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2.xml" ContentType="application/vnd.ms-excel.threadedcomments+xml"/>
  <Override PartName="/xl/tables/table2.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tables/table3.xml" ContentType="application/vnd.openxmlformats-officedocument.spreadsheetml.table+xml"/>
  <Override PartName="/xl/comments5.xml" ContentType="application/vnd.openxmlformats-officedocument.spreadsheetml.comments+xml"/>
  <Override PartName="/xl/threadedComments/threadedComment4.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6.xml" ContentType="application/vnd.openxmlformats-officedocument.spreadsheetml.comments+xml"/>
  <Override PartName="/xl/threadedComments/threadedComment5.xml" ContentType="application/vnd.ms-excel.threadedcomments+xml"/>
  <Override PartName="/xl/namedSheetViews/namedSheetView2.xml" ContentType="application/vnd.ms-excel.namedsheetview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comments7.xml" ContentType="application/vnd.openxmlformats-officedocument.spreadsheetml.comments+xml"/>
  <Override PartName="/xl/threadedComments/threadedComment6.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https://d.docs.live.net/2c82d674fbcce8ed/Data Science/Modules/09 Data Visualisation/datavis/coursework/sources/"/>
    </mc:Choice>
  </mc:AlternateContent>
  <xr:revisionPtr revIDLastSave="1131" documentId="8_{847B30CC-ECC7-4E4D-8D0A-687A59EF886E}" xr6:coauthVersionLast="45" xr6:coauthVersionMax="45" xr10:uidLastSave="{92EE55FC-0608-1349-89C3-53ADBA4F0E3E}"/>
  <bookViews>
    <workbookView xWindow="0" yWindow="460" windowWidth="35840" windowHeight="20340" tabRatio="745" activeTab="4" xr2:uid="{00000000-000D-0000-FFFF-FFFF00000000}"/>
  </bookViews>
  <sheets>
    <sheet name="Overview" sheetId="1" r:id="rId1"/>
    <sheet name="Schedule" sheetId="2" r:id="rId2"/>
    <sheet name="Change Log" sheetId="10" r:id="rId3"/>
    <sheet name="domain" sheetId="3" r:id="rId4"/>
    <sheet name="data_requirement" sheetId="4" r:id="rId5"/>
    <sheet name="requirement_measure_map" sheetId="9" r:id="rId6"/>
    <sheet name="measure" sheetId="13" r:id="rId7"/>
    <sheet name="measure_strength_model" sheetId="15" r:id="rId8"/>
    <sheet name="source" sheetId="14" r:id="rId9"/>
    <sheet name="measure_source_report_map" sheetId="8" r:id="rId10"/>
    <sheet name="report" sheetId="5" r:id="rId11"/>
  </sheets>
  <definedNames>
    <definedName name="str_weights">measure_strength_model!$B$61:$B$69</definedName>
    <definedName name="str_weights_total">measure_strength_model!$B$70</definedName>
    <definedName name="strlu_msr_min_geo_resolution">measure_strength_model!$A$9:$B$20</definedName>
    <definedName name="strlu_msr_population_or_survey">measure_strength_model!$A$4:$B$6</definedName>
    <definedName name="strlu_src_pub_frequency">measure_strength_model!$A$27:$B$32</definedName>
    <definedName name="strlu_src_pub_lag_months">measure_strength_model!$A$35:$B$46</definedName>
    <definedName name="strlu_src_statistic_class">measure_strength_model!$A$49:$B$54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4" i="4" l="1"/>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3" i="4"/>
  <c r="B3" i="9" l="1"/>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2"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4"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695" i="9"/>
  <c r="B696" i="9"/>
  <c r="B697" i="9"/>
  <c r="B698" i="9"/>
  <c r="B699" i="9"/>
  <c r="B700" i="9"/>
  <c r="B701" i="9"/>
  <c r="B702" i="9"/>
  <c r="B703" i="9"/>
  <c r="B704" i="9"/>
  <c r="B705" i="9"/>
  <c r="B706" i="9"/>
  <c r="B707" i="9"/>
  <c r="B708" i="9"/>
  <c r="B709" i="9"/>
  <c r="B710" i="9"/>
  <c r="B711" i="9"/>
  <c r="B712" i="9"/>
  <c r="B713" i="9"/>
  <c r="B714" i="9"/>
  <c r="B715" i="9"/>
  <c r="B716" i="9"/>
  <c r="B717" i="9"/>
  <c r="B718" i="9"/>
  <c r="B719" i="9"/>
  <c r="B720" i="9"/>
  <c r="B721" i="9"/>
  <c r="B722" i="9"/>
  <c r="B723" i="9"/>
  <c r="B724" i="9"/>
  <c r="B725" i="9"/>
  <c r="B726" i="9"/>
  <c r="B727" i="9"/>
  <c r="B728" i="9"/>
  <c r="B729" i="9"/>
  <c r="B730" i="9"/>
  <c r="B731" i="9"/>
  <c r="B732" i="9"/>
  <c r="B733" i="9"/>
  <c r="B734" i="9"/>
  <c r="B735" i="9"/>
  <c r="B736" i="9"/>
  <c r="B737" i="9"/>
  <c r="B738" i="9"/>
  <c r="B739" i="9"/>
  <c r="B740" i="9"/>
  <c r="B741" i="9"/>
  <c r="B742" i="9"/>
  <c r="B743" i="9"/>
  <c r="B744" i="9"/>
  <c r="B745" i="9"/>
  <c r="B746" i="9"/>
  <c r="B747" i="9"/>
  <c r="B748" i="9"/>
  <c r="B749" i="9"/>
  <c r="B750" i="9"/>
  <c r="B751" i="9"/>
  <c r="B752" i="9"/>
  <c r="B753" i="9"/>
  <c r="B754" i="9"/>
  <c r="B755" i="9"/>
  <c r="B756" i="9"/>
  <c r="B757" i="9"/>
  <c r="B758" i="9"/>
  <c r="B759" i="9"/>
  <c r="B760" i="9"/>
  <c r="B761" i="9"/>
  <c r="B762" i="9"/>
  <c r="B763" i="9"/>
  <c r="B764" i="9"/>
  <c r="B765" i="9"/>
  <c r="B766" i="9"/>
  <c r="B767" i="9"/>
  <c r="B768" i="9"/>
  <c r="B769" i="9"/>
  <c r="B770" i="9"/>
  <c r="B771" i="9"/>
  <c r="B772" i="9"/>
  <c r="B773" i="9"/>
  <c r="B774" i="9"/>
  <c r="B775" i="9"/>
  <c r="B776" i="9"/>
  <c r="B777" i="9"/>
  <c r="B778" i="9"/>
  <c r="B779" i="9"/>
  <c r="B780" i="9"/>
  <c r="B781" i="9"/>
  <c r="B782" i="9"/>
  <c r="B783" i="9"/>
  <c r="B784" i="9"/>
  <c r="B785" i="9"/>
  <c r="B786" i="9"/>
  <c r="B787" i="9"/>
  <c r="B788" i="9"/>
  <c r="B789" i="9"/>
  <c r="B790" i="9"/>
  <c r="B791" i="9"/>
  <c r="B792" i="9"/>
  <c r="B793" i="9"/>
  <c r="B794" i="9"/>
  <c r="B795" i="9"/>
  <c r="B796" i="9"/>
  <c r="B797" i="9"/>
  <c r="B798" i="9"/>
  <c r="B799" i="9"/>
  <c r="B800" i="9"/>
  <c r="B801" i="9"/>
  <c r="B802" i="9"/>
  <c r="B803" i="9"/>
  <c r="B804" i="9"/>
  <c r="B805" i="9"/>
  <c r="B806" i="9"/>
  <c r="B807" i="9"/>
  <c r="B808" i="9"/>
  <c r="B809" i="9"/>
  <c r="B810" i="9"/>
  <c r="B811" i="9"/>
  <c r="B812" i="9"/>
  <c r="B813" i="9"/>
  <c r="B814" i="9"/>
  <c r="B815" i="9"/>
  <c r="B816" i="9"/>
  <c r="B817" i="9"/>
  <c r="B818" i="9"/>
  <c r="B819" i="9"/>
  <c r="B820" i="9"/>
  <c r="B821" i="9"/>
  <c r="B822" i="9"/>
  <c r="B823" i="9"/>
  <c r="B824" i="9"/>
  <c r="B825" i="9"/>
  <c r="B826" i="9"/>
  <c r="B827" i="9"/>
  <c r="B828" i="9"/>
  <c r="B829" i="9"/>
  <c r="B830" i="9"/>
  <c r="B831" i="9"/>
  <c r="B832" i="9"/>
  <c r="B833" i="9"/>
  <c r="B834" i="9"/>
  <c r="B835" i="9"/>
  <c r="B836" i="9"/>
  <c r="B837" i="9"/>
  <c r="B838" i="9"/>
  <c r="B839" i="9"/>
  <c r="B840" i="9"/>
  <c r="B841" i="9"/>
  <c r="B842" i="9"/>
  <c r="B843" i="9"/>
  <c r="B844" i="9"/>
  <c r="B845" i="9"/>
  <c r="B846" i="9"/>
  <c r="B847" i="9"/>
  <c r="B848" i="9"/>
  <c r="B849" i="9"/>
  <c r="B850" i="9"/>
  <c r="B851" i="9"/>
  <c r="B852" i="9"/>
  <c r="B853" i="9"/>
  <c r="B854" i="9"/>
  <c r="B855" i="9"/>
  <c r="B856" i="9"/>
  <c r="B857" i="9"/>
  <c r="B858" i="9"/>
  <c r="B859" i="9"/>
  <c r="B860" i="9"/>
  <c r="B861" i="9"/>
  <c r="B862" i="9"/>
  <c r="B863" i="9"/>
  <c r="B864" i="9"/>
  <c r="B865" i="9"/>
  <c r="B866" i="9"/>
  <c r="B867" i="9"/>
  <c r="B868" i="9"/>
  <c r="B869" i="9"/>
  <c r="B870" i="9"/>
  <c r="B871" i="9"/>
  <c r="B872" i="9"/>
  <c r="B873" i="9"/>
  <c r="B874" i="9"/>
  <c r="B875" i="9"/>
  <c r="B876" i="9"/>
  <c r="B877" i="9"/>
  <c r="B878" i="9"/>
  <c r="B879" i="9"/>
  <c r="B880" i="9"/>
  <c r="B881" i="9"/>
  <c r="B882" i="9"/>
  <c r="B883" i="9"/>
  <c r="B884" i="9"/>
  <c r="B885" i="9"/>
  <c r="B886" i="9"/>
  <c r="B887" i="9"/>
  <c r="B888" i="9"/>
  <c r="B889" i="9"/>
  <c r="B890" i="9"/>
  <c r="B891" i="9"/>
  <c r="B892" i="9"/>
  <c r="B893" i="9"/>
  <c r="B894" i="9"/>
  <c r="B895" i="9"/>
  <c r="B896" i="9"/>
  <c r="B897" i="9"/>
  <c r="B898" i="9"/>
  <c r="B899" i="9"/>
  <c r="B900" i="9"/>
  <c r="B901" i="9"/>
  <c r="B902" i="9"/>
  <c r="B903" i="9"/>
  <c r="B904" i="9"/>
  <c r="B905" i="9"/>
  <c r="B906" i="9"/>
  <c r="B907" i="9"/>
  <c r="B908" i="9"/>
  <c r="B909" i="9"/>
  <c r="B910" i="9"/>
  <c r="B911" i="9"/>
  <c r="B912" i="9"/>
  <c r="B913" i="9"/>
  <c r="B914" i="9"/>
  <c r="B915" i="9"/>
  <c r="B916" i="9"/>
  <c r="B917" i="9"/>
  <c r="B918" i="9"/>
  <c r="B919" i="9"/>
  <c r="B920" i="9"/>
  <c r="B921" i="9"/>
  <c r="B922" i="9"/>
  <c r="B923" i="9"/>
  <c r="B924" i="9"/>
  <c r="B925" i="9"/>
  <c r="B926" i="9"/>
  <c r="B927" i="9"/>
  <c r="B928" i="9"/>
  <c r="B929" i="9"/>
  <c r="B930" i="9"/>
  <c r="B931" i="9"/>
  <c r="B932" i="9"/>
  <c r="B933" i="9"/>
  <c r="B934" i="9"/>
  <c r="B935" i="9"/>
  <c r="B936" i="9"/>
  <c r="B937" i="9"/>
  <c r="B938" i="9"/>
  <c r="B939" i="9"/>
  <c r="B940" i="9"/>
  <c r="B941" i="9"/>
  <c r="B942" i="9"/>
  <c r="B943" i="9"/>
  <c r="B944" i="9"/>
  <c r="B945" i="9"/>
  <c r="B946" i="9"/>
  <c r="B947" i="9"/>
  <c r="B948" i="9"/>
  <c r="B949" i="9"/>
  <c r="B950" i="9"/>
  <c r="B951" i="9"/>
  <c r="B952" i="9"/>
  <c r="B953" i="9"/>
  <c r="B954" i="9"/>
  <c r="B955" i="9"/>
  <c r="B956" i="9"/>
  <c r="B957" i="9"/>
  <c r="B958" i="9"/>
  <c r="B959" i="9"/>
  <c r="B960" i="9"/>
  <c r="B961" i="9"/>
  <c r="B962" i="9"/>
  <c r="B963" i="9"/>
  <c r="B964" i="9"/>
  <c r="B965" i="9"/>
  <c r="B966" i="9"/>
  <c r="B967" i="9"/>
  <c r="B968" i="9"/>
  <c r="B969" i="9"/>
  <c r="B970" i="9"/>
  <c r="B971" i="9"/>
  <c r="B972" i="9"/>
  <c r="B973" i="9"/>
  <c r="B974" i="9"/>
  <c r="B975" i="9"/>
  <c r="B976" i="9"/>
  <c r="B977" i="9"/>
  <c r="B978" i="9"/>
  <c r="B979" i="9"/>
  <c r="B980" i="9"/>
  <c r="B981" i="9"/>
  <c r="B982" i="9"/>
  <c r="B983" i="9"/>
  <c r="B984" i="9"/>
  <c r="B985" i="9"/>
  <c r="B986" i="9"/>
  <c r="B987" i="9"/>
  <c r="B988" i="9"/>
  <c r="B989" i="9"/>
  <c r="B990" i="9"/>
  <c r="B991" i="9"/>
  <c r="B992" i="9"/>
  <c r="B993" i="9"/>
  <c r="B994" i="9"/>
  <c r="B995" i="9"/>
  <c r="B996" i="9"/>
  <c r="B997" i="9"/>
  <c r="B998" i="9"/>
  <c r="B999" i="9"/>
  <c r="B1000" i="9"/>
  <c r="B1001" i="9"/>
  <c r="B1002" i="9"/>
  <c r="B1003" i="9"/>
  <c r="B1004" i="9"/>
  <c r="B1005" i="9"/>
  <c r="B1006" i="9"/>
  <c r="B1007" i="9"/>
  <c r="B1008" i="9"/>
  <c r="B1009" i="9"/>
  <c r="B1010" i="9"/>
  <c r="B1011" i="9"/>
  <c r="B1012" i="9"/>
  <c r="B1013" i="9"/>
  <c r="B1014" i="9"/>
  <c r="B1015" i="9"/>
  <c r="B1016" i="9"/>
  <c r="B1017" i="9"/>
  <c r="B1018" i="9"/>
  <c r="B1019" i="9"/>
  <c r="B1020" i="9"/>
  <c r="B1021" i="9"/>
  <c r="B1022" i="9"/>
  <c r="B1023" i="9"/>
  <c r="B1024" i="9"/>
  <c r="B1025" i="9"/>
  <c r="B1026" i="9"/>
  <c r="B1027" i="9"/>
  <c r="B1028" i="9"/>
  <c r="B1029" i="9"/>
  <c r="B1030" i="9"/>
  <c r="B1031" i="9"/>
  <c r="B1032" i="9"/>
  <c r="B1033" i="9"/>
  <c r="B1034" i="9"/>
  <c r="B1035" i="9"/>
  <c r="B1036" i="9"/>
  <c r="B1037" i="9"/>
  <c r="B1038" i="9"/>
  <c r="B1039" i="9"/>
  <c r="B1040" i="9"/>
  <c r="B1041" i="9"/>
  <c r="B1042" i="9"/>
  <c r="B1043" i="9"/>
  <c r="B1044" i="9"/>
  <c r="B1045" i="9"/>
  <c r="B1046" i="9"/>
  <c r="B1047" i="9"/>
  <c r="B1048" i="9"/>
  <c r="B1049" i="9"/>
  <c r="B1050" i="9"/>
  <c r="B1051" i="9"/>
  <c r="B1052" i="9"/>
  <c r="B1053" i="9"/>
  <c r="B1054" i="9"/>
  <c r="B1055" i="9"/>
  <c r="B1056" i="9"/>
  <c r="B1057" i="9"/>
  <c r="B1058" i="9"/>
  <c r="B1059" i="9"/>
  <c r="B1060" i="9"/>
  <c r="B1061" i="9"/>
  <c r="B1062" i="9"/>
  <c r="B1063" i="9"/>
  <c r="B1064" i="9"/>
  <c r="B1065" i="9"/>
  <c r="B1066" i="9"/>
  <c r="B1067" i="9"/>
  <c r="B1068" i="9"/>
  <c r="B1069" i="9"/>
  <c r="B1070" i="9"/>
  <c r="B1071" i="9"/>
  <c r="B1072" i="9"/>
  <c r="B1073" i="9"/>
  <c r="B1074" i="9"/>
  <c r="B1075" i="9"/>
  <c r="B1076" i="9"/>
  <c r="B1077" i="9"/>
  <c r="B1078" i="9"/>
  <c r="B1079" i="9"/>
  <c r="B1080" i="9"/>
  <c r="B1081" i="9"/>
  <c r="B1082" i="9"/>
  <c r="B1083" i="9"/>
  <c r="B1084" i="9"/>
  <c r="B1085" i="9"/>
  <c r="B1086" i="9"/>
  <c r="B1087" i="9"/>
  <c r="B1088" i="9"/>
  <c r="B1089" i="9"/>
  <c r="B1090" i="9"/>
  <c r="B1091" i="9"/>
  <c r="B1092" i="9"/>
  <c r="B1093" i="9"/>
  <c r="B1094" i="9"/>
  <c r="B1095" i="9"/>
  <c r="B1096" i="9"/>
  <c r="B1097" i="9"/>
  <c r="B1098" i="9"/>
  <c r="B1099" i="9"/>
  <c r="B1100" i="9"/>
  <c r="B1101" i="9"/>
  <c r="B1102" i="9"/>
  <c r="B1103" i="9"/>
  <c r="B1104" i="9"/>
  <c r="B1105" i="9"/>
  <c r="B1106" i="9"/>
  <c r="B1107" i="9"/>
  <c r="B1108" i="9"/>
  <c r="B1109" i="9"/>
  <c r="B1110" i="9"/>
  <c r="B1111" i="9"/>
  <c r="B1112" i="9"/>
  <c r="B1113" i="9"/>
  <c r="B1114" i="9"/>
  <c r="B1115" i="9"/>
  <c r="B1116" i="9"/>
  <c r="B1117" i="9"/>
  <c r="B1118" i="9"/>
  <c r="B1119" i="9"/>
  <c r="B1120" i="9"/>
  <c r="B1121" i="9"/>
  <c r="B1122" i="9"/>
  <c r="B1123" i="9"/>
  <c r="B1124" i="9"/>
  <c r="B1125" i="9"/>
  <c r="B1126" i="9"/>
  <c r="B1127" i="9"/>
  <c r="B1128" i="9"/>
  <c r="B1129" i="9"/>
  <c r="B1130" i="9"/>
  <c r="B1131" i="9"/>
  <c r="B1132" i="9"/>
  <c r="B1133" i="9"/>
  <c r="B1134" i="9"/>
  <c r="B1135" i="9"/>
  <c r="B1136" i="9"/>
  <c r="B1137" i="9"/>
  <c r="B1138" i="9"/>
  <c r="B1139" i="9"/>
  <c r="B1140" i="9"/>
  <c r="B1141" i="9"/>
  <c r="B1142" i="9"/>
  <c r="B1143" i="9"/>
  <c r="B1144" i="9"/>
  <c r="B1145" i="9"/>
  <c r="B1146" i="9"/>
  <c r="B1147" i="9"/>
  <c r="B1148" i="9"/>
  <c r="B1149" i="9"/>
  <c r="B1150" i="9"/>
  <c r="B1151" i="9"/>
  <c r="B1152" i="9"/>
  <c r="B1153" i="9"/>
  <c r="B1154" i="9"/>
  <c r="B1155" i="9"/>
  <c r="B1156" i="9"/>
  <c r="B1157" i="9"/>
  <c r="B1158" i="9"/>
  <c r="B1159" i="9"/>
  <c r="B1160" i="9"/>
  <c r="B1161" i="9"/>
  <c r="B1162" i="9"/>
  <c r="B1163" i="9"/>
  <c r="B1164" i="9"/>
  <c r="B1165" i="9"/>
  <c r="B1166" i="9"/>
  <c r="B1167" i="9"/>
  <c r="B1168" i="9"/>
  <c r="B1169" i="9"/>
  <c r="B1170" i="9"/>
  <c r="B1171" i="9"/>
  <c r="B1172" i="9"/>
  <c r="B1173" i="9"/>
  <c r="B1174" i="9"/>
  <c r="B1175" i="9"/>
  <c r="B1176" i="9"/>
  <c r="B1177" i="9"/>
  <c r="B1178" i="9"/>
  <c r="B1179" i="9"/>
  <c r="B1180" i="9"/>
  <c r="B1181" i="9"/>
  <c r="B1182" i="9"/>
  <c r="B1183" i="9"/>
  <c r="B1184" i="9"/>
  <c r="B1185" i="9"/>
  <c r="B1186" i="9"/>
  <c r="B1187" i="9"/>
  <c r="B1188" i="9"/>
  <c r="B1189" i="9"/>
  <c r="B1190" i="9"/>
  <c r="B1191" i="9"/>
  <c r="B1192" i="9"/>
  <c r="B1193" i="9"/>
  <c r="B1194" i="9"/>
  <c r="B1195" i="9"/>
  <c r="B1196" i="9"/>
  <c r="B1197" i="9"/>
  <c r="B1198" i="9"/>
  <c r="B1199" i="9"/>
  <c r="B1200" i="9"/>
  <c r="B1201" i="9"/>
  <c r="B1202" i="9"/>
  <c r="B1203" i="9"/>
  <c r="B1204" i="9"/>
  <c r="B1205" i="9"/>
  <c r="B1206" i="9"/>
  <c r="B1207" i="9"/>
  <c r="B1208" i="9"/>
  <c r="B1209" i="9"/>
  <c r="B1210" i="9"/>
  <c r="B1211" i="9"/>
  <c r="B1212" i="9"/>
  <c r="B1213" i="9"/>
  <c r="B1214" i="9"/>
  <c r="B1215" i="9"/>
  <c r="B1216" i="9"/>
  <c r="B1217" i="9"/>
  <c r="B1218" i="9"/>
  <c r="B1219" i="9"/>
  <c r="B1220" i="9"/>
  <c r="B1221" i="9"/>
  <c r="B1222" i="9"/>
  <c r="B1223" i="9"/>
  <c r="B1224" i="9"/>
  <c r="B1225" i="9"/>
  <c r="B1226" i="9"/>
  <c r="B1227" i="9"/>
  <c r="B1228" i="9"/>
  <c r="B1229" i="9"/>
  <c r="B1230" i="9"/>
  <c r="B1231" i="9"/>
  <c r="B1232" i="9"/>
  <c r="B1233" i="9"/>
  <c r="B1234" i="9"/>
  <c r="B1235" i="9"/>
  <c r="B1236" i="9"/>
  <c r="B1237" i="9"/>
  <c r="B1238" i="9"/>
  <c r="B1239" i="9"/>
  <c r="B1240" i="9"/>
  <c r="B1241" i="9"/>
  <c r="B1242" i="9"/>
  <c r="B1243" i="9"/>
  <c r="B1244" i="9"/>
  <c r="B1245" i="9"/>
  <c r="B1246" i="9"/>
  <c r="B1247" i="9"/>
  <c r="B1248" i="9"/>
  <c r="B1249" i="9"/>
  <c r="B1250" i="9"/>
  <c r="B1251" i="9"/>
  <c r="B1252" i="9"/>
  <c r="B1253" i="9"/>
  <c r="B1254" i="9"/>
  <c r="B1255" i="9"/>
  <c r="B1256" i="9"/>
  <c r="B1257" i="9"/>
  <c r="B1258" i="9"/>
  <c r="B1259" i="9"/>
  <c r="B1260" i="9"/>
  <c r="B1261" i="9"/>
  <c r="B1262" i="9"/>
  <c r="B1263" i="9"/>
  <c r="B1264" i="9"/>
  <c r="B1265" i="9"/>
  <c r="B1266" i="9"/>
  <c r="B1267" i="9"/>
  <c r="B1268" i="9"/>
  <c r="B1269" i="9"/>
  <c r="B1270" i="9"/>
  <c r="B1271" i="9"/>
  <c r="B1272" i="9"/>
  <c r="B1273" i="9"/>
  <c r="B1274" i="9"/>
  <c r="B1275" i="9"/>
  <c r="B1276" i="9"/>
  <c r="B1277" i="9"/>
  <c r="B1278" i="9"/>
  <c r="B1279" i="9"/>
  <c r="B1280" i="9"/>
  <c r="B1281" i="9"/>
  <c r="B1282" i="9"/>
  <c r="B1283" i="9"/>
  <c r="B1284" i="9"/>
  <c r="B1285" i="9"/>
  <c r="B1286" i="9"/>
  <c r="B1287" i="9"/>
  <c r="B1288" i="9"/>
  <c r="B1289" i="9"/>
  <c r="B1290" i="9"/>
  <c r="B1291" i="9"/>
  <c r="B1292" i="9"/>
  <c r="B1293" i="9"/>
  <c r="B1294" i="9"/>
  <c r="B1295" i="9"/>
  <c r="B1296" i="9"/>
  <c r="B1297" i="9"/>
  <c r="B1298" i="9"/>
  <c r="B1299" i="9"/>
  <c r="B1300" i="9"/>
  <c r="B1301" i="9"/>
  <c r="B1302" i="9"/>
  <c r="B1303" i="9"/>
  <c r="B1304" i="9"/>
  <c r="B1305" i="9"/>
  <c r="B1306" i="9"/>
  <c r="B1307" i="9"/>
  <c r="B1308" i="9"/>
  <c r="B1309" i="9"/>
  <c r="B1310" i="9"/>
  <c r="B1311" i="9"/>
  <c r="B1312" i="9"/>
  <c r="B1313" i="9"/>
  <c r="B1314" i="9"/>
  <c r="B1315" i="9"/>
  <c r="B1316" i="9"/>
  <c r="B1317" i="9"/>
  <c r="B1318" i="9"/>
  <c r="B1319" i="9"/>
  <c r="B1320" i="9"/>
  <c r="B1321" i="9"/>
  <c r="B1322" i="9"/>
  <c r="B1323" i="9"/>
  <c r="B1324" i="9"/>
  <c r="B1325" i="9"/>
  <c r="B1326" i="9"/>
  <c r="B1327" i="9"/>
  <c r="B1328" i="9"/>
  <c r="B1329" i="9"/>
  <c r="B1330" i="9"/>
  <c r="B1331" i="9"/>
  <c r="B1332" i="9"/>
  <c r="B1333" i="9"/>
  <c r="B1334" i="9"/>
  <c r="B1335" i="9"/>
  <c r="B1336" i="9"/>
  <c r="B1337" i="9"/>
  <c r="B1338" i="9"/>
  <c r="B1339" i="9"/>
  <c r="B1340" i="9"/>
  <c r="B1341" i="9"/>
  <c r="B1342" i="9"/>
  <c r="B1343" i="9"/>
  <c r="B1344" i="9"/>
  <c r="B1345" i="9"/>
  <c r="B1346" i="9"/>
  <c r="B1347" i="9"/>
  <c r="B1348" i="9"/>
  <c r="B1349" i="9"/>
  <c r="B1350" i="9"/>
  <c r="B1351" i="9"/>
  <c r="B1352" i="9"/>
  <c r="B1353" i="9"/>
  <c r="B1354" i="9"/>
  <c r="B1355" i="9"/>
  <c r="B1356" i="9"/>
  <c r="B1357" i="9"/>
  <c r="B1358" i="9"/>
  <c r="B1359" i="9"/>
  <c r="B1360" i="9"/>
  <c r="B1361" i="9"/>
  <c r="B1362" i="9"/>
  <c r="B1363" i="9"/>
  <c r="B1364" i="9"/>
  <c r="B1365" i="9"/>
  <c r="B1366" i="9"/>
  <c r="B1367" i="9"/>
  <c r="B1368" i="9"/>
  <c r="B1369" i="9"/>
  <c r="B1370" i="9"/>
  <c r="B1371" i="9"/>
  <c r="B1372" i="9"/>
  <c r="B1373" i="9"/>
  <c r="B1374" i="9"/>
  <c r="B1375" i="9"/>
  <c r="B1376" i="9"/>
  <c r="B1377" i="9"/>
  <c r="B1378" i="9"/>
  <c r="B1379" i="9"/>
  <c r="B1380" i="9"/>
  <c r="B1381" i="9"/>
  <c r="B1382" i="9"/>
  <c r="B1383" i="9"/>
  <c r="B1384" i="9"/>
  <c r="B1385" i="9"/>
  <c r="B1386" i="9"/>
  <c r="B1387" i="9"/>
  <c r="B1388" i="9"/>
  <c r="B1389" i="9"/>
  <c r="B1390" i="9"/>
  <c r="B1391" i="9"/>
  <c r="B1392" i="9"/>
  <c r="B1393" i="9"/>
  <c r="B1394" i="9"/>
  <c r="B1395" i="9"/>
  <c r="B1396" i="9"/>
  <c r="B1397" i="9"/>
  <c r="B1398" i="9"/>
  <c r="B1399" i="9"/>
  <c r="B1400" i="9"/>
  <c r="B1401" i="9"/>
  <c r="B1402" i="9"/>
  <c r="B1403" i="9"/>
  <c r="B1404" i="9"/>
  <c r="B1405" i="9"/>
  <c r="B1406" i="9"/>
  <c r="B1407" i="9"/>
  <c r="B1408" i="9"/>
  <c r="B1409" i="9"/>
  <c r="B1410" i="9"/>
  <c r="B1411" i="9"/>
  <c r="B1412" i="9"/>
  <c r="B1413" i="9"/>
  <c r="B1414" i="9"/>
  <c r="B1415" i="9"/>
  <c r="B1416" i="9"/>
  <c r="B1417" i="9"/>
  <c r="B1418" i="9"/>
  <c r="B1419" i="9"/>
  <c r="B1420" i="9"/>
  <c r="B1421" i="9"/>
  <c r="B1422" i="9"/>
  <c r="B1423" i="9"/>
  <c r="B1424" i="9"/>
  <c r="B1425" i="9"/>
  <c r="B1426" i="9"/>
  <c r="B1427" i="9"/>
  <c r="B1428" i="9"/>
  <c r="B1429" i="9"/>
  <c r="B1430" i="9"/>
  <c r="B1431" i="9"/>
  <c r="B1432" i="9"/>
  <c r="B1433" i="9"/>
  <c r="B1434" i="9"/>
  <c r="B1435" i="9"/>
  <c r="B1436" i="9"/>
  <c r="B1437" i="9"/>
  <c r="B1438" i="9"/>
  <c r="B1439" i="9"/>
  <c r="B1440" i="9"/>
  <c r="B1441" i="9"/>
  <c r="B1442" i="9"/>
  <c r="B1443" i="9"/>
  <c r="B1444" i="9"/>
  <c r="B1445" i="9"/>
  <c r="B1446" i="9"/>
  <c r="B1447" i="9"/>
  <c r="B1448" i="9"/>
  <c r="B1449" i="9"/>
  <c r="B1450" i="9"/>
  <c r="B1451" i="9"/>
  <c r="B1452" i="9"/>
  <c r="B1453" i="9"/>
  <c r="B1454" i="9"/>
  <c r="B1455" i="9"/>
  <c r="B1456" i="9"/>
  <c r="B1457" i="9"/>
  <c r="B1458" i="9"/>
  <c r="B1459" i="9"/>
  <c r="B1460" i="9"/>
  <c r="B1461" i="9"/>
  <c r="B1462" i="9"/>
  <c r="B1463" i="9"/>
  <c r="B1464" i="9"/>
  <c r="B1465" i="9"/>
  <c r="B1466" i="9"/>
  <c r="B1467" i="9"/>
  <c r="B1468" i="9"/>
  <c r="B1469" i="9"/>
  <c r="B1470" i="9"/>
  <c r="B1471" i="9"/>
  <c r="B1472" i="9"/>
  <c r="B1473" i="9"/>
  <c r="B1474" i="9"/>
  <c r="B1475" i="9"/>
  <c r="B1476" i="9"/>
  <c r="B1477" i="9"/>
  <c r="B1478" i="9"/>
  <c r="B1479" i="9"/>
  <c r="B1480" i="9"/>
  <c r="B1481" i="9"/>
  <c r="B1482" i="9"/>
  <c r="B1483" i="9"/>
  <c r="B1484" i="9"/>
  <c r="B1485" i="9"/>
  <c r="B1486" i="9"/>
  <c r="B1487" i="9"/>
  <c r="B1488" i="9"/>
  <c r="B1489" i="9"/>
  <c r="B1490" i="9"/>
  <c r="B1491" i="9"/>
  <c r="B1492" i="9"/>
  <c r="B1493" i="9"/>
  <c r="B1494" i="9"/>
  <c r="B1495" i="9"/>
  <c r="B1496" i="9"/>
  <c r="B1497" i="9"/>
  <c r="B1498" i="9"/>
  <c r="B1499" i="9"/>
  <c r="B1500" i="9"/>
  <c r="B1501" i="9"/>
  <c r="B1502" i="9"/>
  <c r="B1503" i="9"/>
  <c r="B1504" i="9"/>
  <c r="B1505" i="9"/>
  <c r="B1506" i="9"/>
  <c r="B1507" i="9"/>
  <c r="B1508" i="9"/>
  <c r="B1509" i="9"/>
  <c r="B1510" i="9"/>
  <c r="B1511" i="9"/>
  <c r="B1512" i="9"/>
  <c r="B1513" i="9"/>
  <c r="B1514" i="9"/>
  <c r="I3" i="4" l="1"/>
  <c r="K3" i="4" s="1"/>
  <c r="I4" i="4"/>
  <c r="K4" i="4" s="1"/>
  <c r="I5" i="4"/>
  <c r="K5" i="4" s="1"/>
  <c r="I6" i="4"/>
  <c r="K6" i="4" s="1"/>
  <c r="I7" i="4"/>
  <c r="K7" i="4" s="1"/>
  <c r="I8" i="4"/>
  <c r="K8" i="4" s="1"/>
  <c r="I9" i="4"/>
  <c r="K9" i="4" s="1"/>
  <c r="I10" i="4"/>
  <c r="K10" i="4" s="1"/>
  <c r="I18" i="4"/>
  <c r="K18" i="4" s="1"/>
  <c r="I11" i="4"/>
  <c r="K11" i="4" s="1"/>
  <c r="I19" i="4"/>
  <c r="K19" i="4" s="1"/>
  <c r="I12" i="4"/>
  <c r="K12" i="4" s="1"/>
  <c r="I13" i="4"/>
  <c r="K13" i="4" s="1"/>
  <c r="I14" i="4"/>
  <c r="K14" i="4" s="1"/>
  <c r="I15" i="4"/>
  <c r="K15" i="4" s="1"/>
  <c r="I16" i="4"/>
  <c r="K16" i="4" s="1"/>
  <c r="I20" i="4"/>
  <c r="K20" i="4" s="1"/>
  <c r="I21" i="4"/>
  <c r="K21" i="4" s="1"/>
  <c r="I22" i="4"/>
  <c r="K22" i="4" s="1"/>
  <c r="I23" i="4"/>
  <c r="K23" i="4" s="1"/>
  <c r="I24" i="4"/>
  <c r="K24" i="4" s="1"/>
  <c r="I25" i="4"/>
  <c r="K25" i="4" s="1"/>
  <c r="I26" i="4"/>
  <c r="K26" i="4" s="1"/>
  <c r="I27" i="4"/>
  <c r="K27" i="4" s="1"/>
  <c r="I28" i="4"/>
  <c r="K28" i="4" s="1"/>
  <c r="I29" i="4"/>
  <c r="K29" i="4" s="1"/>
  <c r="I30" i="4"/>
  <c r="K30" i="4" s="1"/>
  <c r="I50" i="4"/>
  <c r="K50" i="4" s="1"/>
  <c r="I51" i="4"/>
  <c r="K51" i="4" s="1"/>
  <c r="I52" i="4"/>
  <c r="K52" i="4" s="1"/>
  <c r="I53" i="4"/>
  <c r="K53" i="4" s="1"/>
  <c r="I31" i="4"/>
  <c r="K31" i="4" s="1"/>
  <c r="I32" i="4"/>
  <c r="K32" i="4" s="1"/>
  <c r="I33" i="4"/>
  <c r="K33" i="4" s="1"/>
  <c r="I34" i="4"/>
  <c r="K34" i="4" s="1"/>
  <c r="I35" i="4"/>
  <c r="K35" i="4" s="1"/>
  <c r="I54" i="4"/>
  <c r="K54" i="4" s="1"/>
  <c r="I55" i="4"/>
  <c r="K55" i="4" s="1"/>
  <c r="I56" i="4"/>
  <c r="K56" i="4" s="1"/>
  <c r="I57" i="4"/>
  <c r="K57" i="4" s="1"/>
  <c r="I58" i="4"/>
  <c r="K58" i="4" s="1"/>
  <c r="I59" i="4"/>
  <c r="K59" i="4" s="1"/>
  <c r="I60" i="4"/>
  <c r="K60" i="4" s="1"/>
  <c r="I46" i="4"/>
  <c r="K46" i="4" s="1"/>
  <c r="I48" i="4"/>
  <c r="K48" i="4" s="1"/>
  <c r="I49" i="4"/>
  <c r="K49" i="4" s="1"/>
  <c r="I47" i="4"/>
  <c r="K47" i="4" s="1"/>
  <c r="I36" i="4"/>
  <c r="K36" i="4" s="1"/>
  <c r="I38" i="4"/>
  <c r="K38" i="4" s="1"/>
  <c r="I37" i="4"/>
  <c r="K37" i="4" s="1"/>
  <c r="I40" i="4"/>
  <c r="K40" i="4" s="1"/>
  <c r="I41" i="4"/>
  <c r="K41" i="4" s="1"/>
  <c r="I42" i="4"/>
  <c r="K42" i="4" s="1"/>
  <c r="I43" i="4"/>
  <c r="K43" i="4" s="1"/>
  <c r="I39" i="4"/>
  <c r="K39" i="4" s="1"/>
  <c r="I44" i="4"/>
  <c r="K44" i="4" s="1"/>
  <c r="I45" i="4"/>
  <c r="K45" i="4" s="1"/>
  <c r="I89" i="4"/>
  <c r="K89" i="4" s="1"/>
  <c r="I91" i="4"/>
  <c r="K91" i="4" s="1"/>
  <c r="I86" i="4"/>
  <c r="K86" i="4" s="1"/>
  <c r="I87" i="4"/>
  <c r="K87" i="4" s="1"/>
  <c r="I88" i="4"/>
  <c r="K88" i="4" s="1"/>
  <c r="I90" i="4"/>
  <c r="K90" i="4" s="1"/>
  <c r="I92" i="4"/>
  <c r="K92" i="4" s="1"/>
  <c r="I93" i="4"/>
  <c r="K93" i="4" s="1"/>
  <c r="I94" i="4"/>
  <c r="K94" i="4" s="1"/>
  <c r="I95" i="4"/>
  <c r="K95" i="4" s="1"/>
  <c r="I98" i="4"/>
  <c r="K98" i="4" s="1"/>
  <c r="I99" i="4"/>
  <c r="K99" i="4" s="1"/>
  <c r="I100" i="4"/>
  <c r="K100" i="4" s="1"/>
  <c r="I96" i="4"/>
  <c r="K96" i="4" s="1"/>
  <c r="I97" i="4"/>
  <c r="K97" i="4" s="1"/>
  <c r="I101" i="4"/>
  <c r="K101" i="4" s="1"/>
  <c r="I102" i="4"/>
  <c r="K102" i="4" s="1"/>
  <c r="I67" i="4"/>
  <c r="K67" i="4" s="1"/>
  <c r="I68" i="4"/>
  <c r="K68" i="4" s="1"/>
  <c r="I69" i="4"/>
  <c r="K69" i="4" s="1"/>
  <c r="I70" i="4"/>
  <c r="K70" i="4" s="1"/>
  <c r="I71" i="4"/>
  <c r="K71" i="4" s="1"/>
  <c r="I63" i="4"/>
  <c r="K63" i="4" s="1"/>
  <c r="I64" i="4"/>
  <c r="K64" i="4" s="1"/>
  <c r="I65" i="4"/>
  <c r="K65" i="4" s="1"/>
  <c r="I17" i="4"/>
  <c r="K17" i="4" s="1"/>
  <c r="I66" i="4"/>
  <c r="K66" i="4" s="1"/>
  <c r="I61" i="4"/>
  <c r="K61" i="4" s="1"/>
  <c r="I62" i="4"/>
  <c r="K62" i="4" s="1"/>
  <c r="I72" i="4"/>
  <c r="K72" i="4" s="1"/>
  <c r="I73" i="4"/>
  <c r="K73" i="4" s="1"/>
  <c r="I74" i="4"/>
  <c r="K74" i="4" s="1"/>
  <c r="I75" i="4"/>
  <c r="K75" i="4" s="1"/>
  <c r="I76" i="4"/>
  <c r="K76" i="4" s="1"/>
  <c r="I77" i="4"/>
  <c r="K77" i="4" s="1"/>
  <c r="I78" i="4"/>
  <c r="K78" i="4" s="1"/>
  <c r="I79" i="4"/>
  <c r="K79" i="4" s="1"/>
  <c r="I80" i="4"/>
  <c r="K80" i="4" s="1"/>
  <c r="I84" i="4"/>
  <c r="K84" i="4" s="1"/>
  <c r="I85" i="4"/>
  <c r="K85" i="4" s="1"/>
  <c r="I81" i="4"/>
  <c r="K81" i="4" s="1"/>
  <c r="I82" i="4"/>
  <c r="K82" i="4" s="1"/>
  <c r="I83" i="4"/>
  <c r="K83" i="4" s="1"/>
  <c r="H3" i="4"/>
  <c r="H4" i="4"/>
  <c r="H5" i="4"/>
  <c r="H6" i="4"/>
  <c r="H7" i="4"/>
  <c r="H8" i="4"/>
  <c r="H9" i="4"/>
  <c r="H10" i="4"/>
  <c r="H18" i="4"/>
  <c r="H11" i="4"/>
  <c r="H19" i="4"/>
  <c r="H12" i="4"/>
  <c r="H13" i="4"/>
  <c r="H14" i="4"/>
  <c r="H15" i="4"/>
  <c r="H16" i="4"/>
  <c r="H20" i="4"/>
  <c r="H21" i="4"/>
  <c r="H22" i="4"/>
  <c r="H23" i="4"/>
  <c r="H24" i="4"/>
  <c r="H25" i="4"/>
  <c r="H26" i="4"/>
  <c r="H27" i="4"/>
  <c r="H28" i="4"/>
  <c r="H29" i="4"/>
  <c r="H30" i="4"/>
  <c r="H50" i="4"/>
  <c r="H51" i="4"/>
  <c r="H52" i="4"/>
  <c r="H53" i="4"/>
  <c r="H31" i="4"/>
  <c r="H32" i="4"/>
  <c r="H33" i="4"/>
  <c r="H34" i="4"/>
  <c r="H35" i="4"/>
  <c r="H54" i="4"/>
  <c r="H55" i="4"/>
  <c r="H56" i="4"/>
  <c r="H57" i="4"/>
  <c r="H58" i="4"/>
  <c r="H59" i="4"/>
  <c r="H60" i="4"/>
  <c r="H46" i="4"/>
  <c r="H48" i="4"/>
  <c r="H49" i="4"/>
  <c r="H47" i="4"/>
  <c r="H36" i="4"/>
  <c r="H38" i="4"/>
  <c r="H37" i="4"/>
  <c r="H40" i="4"/>
  <c r="H41" i="4"/>
  <c r="H42" i="4"/>
  <c r="H43" i="4"/>
  <c r="H39" i="4"/>
  <c r="H44" i="4"/>
  <c r="H45" i="4"/>
  <c r="H89" i="4"/>
  <c r="H91" i="4"/>
  <c r="H86" i="4"/>
  <c r="H87" i="4"/>
  <c r="H88" i="4"/>
  <c r="H90" i="4"/>
  <c r="H92" i="4"/>
  <c r="H93" i="4"/>
  <c r="H94" i="4"/>
  <c r="H95" i="4"/>
  <c r="H98" i="4"/>
  <c r="H99" i="4"/>
  <c r="H100" i="4"/>
  <c r="H96" i="4"/>
  <c r="H97" i="4"/>
  <c r="H101" i="4"/>
  <c r="H102" i="4"/>
  <c r="H67" i="4"/>
  <c r="H68" i="4"/>
  <c r="H69" i="4"/>
  <c r="H70" i="4"/>
  <c r="H71" i="4"/>
  <c r="H63" i="4"/>
  <c r="H64" i="4"/>
  <c r="H65" i="4"/>
  <c r="H17" i="4"/>
  <c r="H66" i="4"/>
  <c r="H61" i="4"/>
  <c r="H62" i="4"/>
  <c r="H72" i="4"/>
  <c r="H73" i="4"/>
  <c r="H74" i="4"/>
  <c r="H75" i="4"/>
  <c r="H76" i="4"/>
  <c r="H77" i="4"/>
  <c r="H78" i="4"/>
  <c r="H79" i="4"/>
  <c r="H80" i="4"/>
  <c r="H84" i="4"/>
  <c r="H85" i="4"/>
  <c r="H81" i="4"/>
  <c r="H82" i="4"/>
  <c r="H83" i="4"/>
  <c r="G3" i="4"/>
  <c r="G4" i="4"/>
  <c r="G5" i="4"/>
  <c r="G6" i="4"/>
  <c r="G7" i="4"/>
  <c r="G8" i="4"/>
  <c r="G9" i="4"/>
  <c r="G10" i="4"/>
  <c r="G18" i="4"/>
  <c r="G11" i="4"/>
  <c r="G19" i="4"/>
  <c r="G12" i="4"/>
  <c r="G13" i="4"/>
  <c r="G14" i="4"/>
  <c r="G15" i="4"/>
  <c r="G16" i="4"/>
  <c r="G20" i="4"/>
  <c r="G21" i="4"/>
  <c r="G22" i="4"/>
  <c r="G23" i="4"/>
  <c r="G24" i="4"/>
  <c r="G25" i="4"/>
  <c r="G26" i="4"/>
  <c r="G27" i="4"/>
  <c r="G28" i="4"/>
  <c r="G29" i="4"/>
  <c r="G30" i="4"/>
  <c r="G50" i="4"/>
  <c r="G51" i="4"/>
  <c r="G52" i="4"/>
  <c r="G53" i="4"/>
  <c r="G31" i="4"/>
  <c r="G32" i="4"/>
  <c r="G33" i="4"/>
  <c r="G34" i="4"/>
  <c r="G35" i="4"/>
  <c r="G54" i="4"/>
  <c r="G55" i="4"/>
  <c r="G56" i="4"/>
  <c r="G57" i="4"/>
  <c r="G58" i="4"/>
  <c r="G59" i="4"/>
  <c r="G60" i="4"/>
  <c r="G46" i="4"/>
  <c r="G48" i="4"/>
  <c r="G49" i="4"/>
  <c r="G47" i="4"/>
  <c r="G36" i="4"/>
  <c r="G38" i="4"/>
  <c r="G37" i="4"/>
  <c r="G40" i="4"/>
  <c r="G41" i="4"/>
  <c r="G42" i="4"/>
  <c r="G43" i="4"/>
  <c r="G39" i="4"/>
  <c r="G44" i="4"/>
  <c r="G45" i="4"/>
  <c r="G89" i="4"/>
  <c r="G91" i="4"/>
  <c r="G86" i="4"/>
  <c r="G87" i="4"/>
  <c r="G88" i="4"/>
  <c r="G90" i="4"/>
  <c r="G92" i="4"/>
  <c r="G93" i="4"/>
  <c r="G94" i="4"/>
  <c r="G95" i="4"/>
  <c r="G98" i="4"/>
  <c r="G99" i="4"/>
  <c r="G100" i="4"/>
  <c r="G96" i="4"/>
  <c r="G97" i="4"/>
  <c r="G101" i="4"/>
  <c r="G102" i="4"/>
  <c r="G67" i="4"/>
  <c r="G68" i="4"/>
  <c r="G69" i="4"/>
  <c r="G70" i="4"/>
  <c r="G71" i="4"/>
  <c r="G63" i="4"/>
  <c r="G64" i="4"/>
  <c r="G65" i="4"/>
  <c r="G17" i="4"/>
  <c r="G66" i="4"/>
  <c r="G61" i="4"/>
  <c r="G62" i="4"/>
  <c r="G72" i="4"/>
  <c r="G73" i="4"/>
  <c r="G74" i="4"/>
  <c r="G75" i="4"/>
  <c r="G76" i="4"/>
  <c r="G77" i="4"/>
  <c r="G78" i="4"/>
  <c r="G79" i="4"/>
  <c r="G80" i="4"/>
  <c r="G84" i="4"/>
  <c r="G85" i="4"/>
  <c r="G81" i="4"/>
  <c r="G82" i="4"/>
  <c r="G83" i="4"/>
  <c r="F3" i="4"/>
  <c r="F4" i="4"/>
  <c r="F5" i="4"/>
  <c r="F6" i="4"/>
  <c r="F7" i="4"/>
  <c r="F8" i="4"/>
  <c r="F9" i="4"/>
  <c r="F10" i="4"/>
  <c r="F18" i="4"/>
  <c r="F11" i="4"/>
  <c r="F19" i="4"/>
  <c r="F12" i="4"/>
  <c r="F13" i="4"/>
  <c r="F14" i="4"/>
  <c r="F15" i="4"/>
  <c r="F16" i="4"/>
  <c r="F20" i="4"/>
  <c r="F21" i="4"/>
  <c r="F22" i="4"/>
  <c r="F23" i="4"/>
  <c r="F24" i="4"/>
  <c r="F25" i="4"/>
  <c r="F26" i="4"/>
  <c r="F27" i="4"/>
  <c r="F28" i="4"/>
  <c r="F29" i="4"/>
  <c r="F30" i="4"/>
  <c r="F50" i="4"/>
  <c r="F51" i="4"/>
  <c r="F52" i="4"/>
  <c r="F53" i="4"/>
  <c r="F31" i="4"/>
  <c r="F32" i="4"/>
  <c r="F33" i="4"/>
  <c r="F34" i="4"/>
  <c r="F35" i="4"/>
  <c r="F54" i="4"/>
  <c r="F55" i="4"/>
  <c r="F56" i="4"/>
  <c r="F57" i="4"/>
  <c r="F58" i="4"/>
  <c r="F59" i="4"/>
  <c r="F60" i="4"/>
  <c r="F46" i="4"/>
  <c r="F48" i="4"/>
  <c r="F49" i="4"/>
  <c r="F47" i="4"/>
  <c r="F36" i="4"/>
  <c r="F38" i="4"/>
  <c r="F37" i="4"/>
  <c r="F40" i="4"/>
  <c r="F41" i="4"/>
  <c r="F42" i="4"/>
  <c r="F43" i="4"/>
  <c r="F39" i="4"/>
  <c r="F44" i="4"/>
  <c r="F45" i="4"/>
  <c r="F89" i="4"/>
  <c r="F91" i="4"/>
  <c r="F86" i="4"/>
  <c r="F87" i="4"/>
  <c r="F88" i="4"/>
  <c r="F90" i="4"/>
  <c r="F92" i="4"/>
  <c r="F93" i="4"/>
  <c r="F94" i="4"/>
  <c r="F95" i="4"/>
  <c r="F98" i="4"/>
  <c r="F99" i="4"/>
  <c r="F100" i="4"/>
  <c r="F96" i="4"/>
  <c r="F97" i="4"/>
  <c r="F101" i="4"/>
  <c r="F102" i="4"/>
  <c r="F67" i="4"/>
  <c r="F68" i="4"/>
  <c r="F69" i="4"/>
  <c r="F70" i="4"/>
  <c r="F71" i="4"/>
  <c r="F63" i="4"/>
  <c r="F64" i="4"/>
  <c r="F65" i="4"/>
  <c r="F17" i="4"/>
  <c r="F66" i="4"/>
  <c r="F61" i="4"/>
  <c r="F62" i="4"/>
  <c r="F72" i="4"/>
  <c r="F73" i="4"/>
  <c r="F74" i="4"/>
  <c r="F75" i="4"/>
  <c r="F76" i="4"/>
  <c r="F77" i="4"/>
  <c r="F78" i="4"/>
  <c r="F79" i="4"/>
  <c r="F80" i="4"/>
  <c r="F84" i="4"/>
  <c r="F85" i="4"/>
  <c r="F81" i="4"/>
  <c r="F82" i="4"/>
  <c r="F83" i="4"/>
  <c r="B70" i="15"/>
  <c r="N24" i="15"/>
  <c r="N25" i="15"/>
  <c r="N26" i="15"/>
  <c r="N27" i="15"/>
  <c r="N28" i="15"/>
  <c r="N23" i="15"/>
  <c r="K23" i="15"/>
  <c r="L24" i="15"/>
  <c r="L25" i="15"/>
  <c r="L26" i="15"/>
  <c r="L27" i="15"/>
  <c r="L28" i="15"/>
  <c r="L23" i="15"/>
  <c r="K24" i="15"/>
  <c r="K25" i="15"/>
  <c r="K26" i="15"/>
  <c r="K27" i="15"/>
  <c r="K28" i="15"/>
  <c r="J24" i="15"/>
  <c r="J25" i="15"/>
  <c r="M25" i="15" s="1"/>
  <c r="J26" i="15"/>
  <c r="M26" i="15" s="1"/>
  <c r="J27" i="15"/>
  <c r="J28" i="15"/>
  <c r="J23" i="15"/>
  <c r="AP299" i="13"/>
  <c r="AP300" i="13"/>
  <c r="AK3" i="13"/>
  <c r="AK4" i="13"/>
  <c r="AK5" i="13"/>
  <c r="AK6" i="13"/>
  <c r="AK7" i="13"/>
  <c r="AK8" i="13"/>
  <c r="AK9" i="13"/>
  <c r="AK10" i="13"/>
  <c r="AK11" i="13"/>
  <c r="AK12" i="13"/>
  <c r="AK13" i="13"/>
  <c r="AK14" i="13"/>
  <c r="AK15" i="13"/>
  <c r="AK16" i="13"/>
  <c r="AK17" i="13"/>
  <c r="AK18" i="13"/>
  <c r="AK19" i="13"/>
  <c r="AK20" i="13"/>
  <c r="AK21" i="13"/>
  <c r="AK22" i="13"/>
  <c r="AK23" i="13"/>
  <c r="AK24" i="13"/>
  <c r="AK25" i="13"/>
  <c r="AK26" i="13"/>
  <c r="AK27" i="13"/>
  <c r="AK28" i="13"/>
  <c r="AK29" i="13"/>
  <c r="AK30" i="13"/>
  <c r="AK31" i="13"/>
  <c r="AK32" i="13"/>
  <c r="AK33" i="13"/>
  <c r="AK34" i="13"/>
  <c r="AK35" i="13"/>
  <c r="AK36" i="13"/>
  <c r="AK37" i="13"/>
  <c r="AK38" i="13"/>
  <c r="AK39" i="13"/>
  <c r="AK40" i="13"/>
  <c r="AK41" i="13"/>
  <c r="AK42" i="13"/>
  <c r="AK43" i="13"/>
  <c r="AK44" i="13"/>
  <c r="AK45" i="13"/>
  <c r="AK46" i="13"/>
  <c r="AK47" i="13"/>
  <c r="AK48" i="13"/>
  <c r="AK49" i="13"/>
  <c r="AK50" i="13"/>
  <c r="AK51" i="13"/>
  <c r="AK52" i="13"/>
  <c r="AK53" i="13"/>
  <c r="AK54" i="13"/>
  <c r="AK55" i="13"/>
  <c r="AK56" i="13"/>
  <c r="AK57" i="13"/>
  <c r="AK58" i="13"/>
  <c r="AK59" i="13"/>
  <c r="AK60" i="13"/>
  <c r="AK61" i="13"/>
  <c r="AK62" i="13"/>
  <c r="AK63" i="13"/>
  <c r="AK64" i="13"/>
  <c r="AK65" i="13"/>
  <c r="AK66" i="13"/>
  <c r="AK67" i="13"/>
  <c r="AK68" i="13"/>
  <c r="AK69" i="13"/>
  <c r="AK70" i="13"/>
  <c r="AK71" i="13"/>
  <c r="AK72" i="13"/>
  <c r="AK73" i="13"/>
  <c r="AK74" i="13"/>
  <c r="AK75" i="13"/>
  <c r="AK76" i="13"/>
  <c r="AK77" i="13"/>
  <c r="AK78" i="13"/>
  <c r="AK79" i="13"/>
  <c r="AK80" i="13"/>
  <c r="AK81" i="13"/>
  <c r="AK82" i="13"/>
  <c r="AK83" i="13"/>
  <c r="AK84" i="13"/>
  <c r="AK85" i="13"/>
  <c r="AK86" i="13"/>
  <c r="AK87" i="13"/>
  <c r="AK88" i="13"/>
  <c r="AK89" i="13"/>
  <c r="AK90" i="13"/>
  <c r="AK91" i="13"/>
  <c r="AK92" i="13"/>
  <c r="AK93" i="13"/>
  <c r="AK94" i="13"/>
  <c r="AK95" i="13"/>
  <c r="AK96" i="13"/>
  <c r="AK97" i="13"/>
  <c r="AK98" i="13"/>
  <c r="AK99" i="13"/>
  <c r="AK100" i="13"/>
  <c r="AK101" i="13"/>
  <c r="AK102" i="13"/>
  <c r="AK103" i="13"/>
  <c r="AK104" i="13"/>
  <c r="AK105" i="13"/>
  <c r="AK106" i="13"/>
  <c r="AK107" i="13"/>
  <c r="AK108" i="13"/>
  <c r="AK109" i="13"/>
  <c r="AK110" i="13"/>
  <c r="AK111" i="13"/>
  <c r="AK112" i="13"/>
  <c r="AK113" i="13"/>
  <c r="AK114" i="13"/>
  <c r="AK115" i="13"/>
  <c r="AK116" i="13"/>
  <c r="AK117" i="13"/>
  <c r="AK118" i="13"/>
  <c r="AK119" i="13"/>
  <c r="AK120" i="13"/>
  <c r="AK121" i="13"/>
  <c r="AK122" i="13"/>
  <c r="AK123" i="13"/>
  <c r="AK124" i="13"/>
  <c r="AK125" i="13"/>
  <c r="AK126" i="13"/>
  <c r="AK127" i="13"/>
  <c r="AK128" i="13"/>
  <c r="AK129" i="13"/>
  <c r="AK130" i="13"/>
  <c r="AK131" i="13"/>
  <c r="AK132" i="13"/>
  <c r="AK133" i="13"/>
  <c r="AK134" i="13"/>
  <c r="AK135" i="13"/>
  <c r="AK136" i="13"/>
  <c r="AK137" i="13"/>
  <c r="AK138" i="13"/>
  <c r="AK139" i="13"/>
  <c r="AK140" i="13"/>
  <c r="AK141" i="13"/>
  <c r="AK142" i="13"/>
  <c r="AK143" i="13"/>
  <c r="AK144" i="13"/>
  <c r="AK145" i="13"/>
  <c r="AK146" i="13"/>
  <c r="AK147" i="13"/>
  <c r="AK148" i="13"/>
  <c r="AK149" i="13"/>
  <c r="AK150" i="13"/>
  <c r="AK151" i="13"/>
  <c r="AK152" i="13"/>
  <c r="AK153" i="13"/>
  <c r="AK154" i="13"/>
  <c r="AK155" i="13"/>
  <c r="AK156" i="13"/>
  <c r="AK157" i="13"/>
  <c r="AK158" i="13"/>
  <c r="AK159" i="13"/>
  <c r="AK160" i="13"/>
  <c r="AK161" i="13"/>
  <c r="AK162" i="13"/>
  <c r="AK163" i="13"/>
  <c r="AK164" i="13"/>
  <c r="AK165" i="13"/>
  <c r="AK166" i="13"/>
  <c r="AK167" i="13"/>
  <c r="AK168" i="13"/>
  <c r="AK169" i="13"/>
  <c r="AK170" i="13"/>
  <c r="AK171" i="13"/>
  <c r="AK172" i="13"/>
  <c r="AK173" i="13"/>
  <c r="AK174" i="13"/>
  <c r="AK175" i="13"/>
  <c r="AK176" i="13"/>
  <c r="AK177" i="13"/>
  <c r="AK178" i="13"/>
  <c r="AK179" i="13"/>
  <c r="AK180" i="13"/>
  <c r="AK181" i="13"/>
  <c r="AK182" i="13"/>
  <c r="AK183" i="13"/>
  <c r="AK184" i="13"/>
  <c r="AK185" i="13"/>
  <c r="AK186" i="13"/>
  <c r="AK187" i="13"/>
  <c r="AK188" i="13"/>
  <c r="AK189" i="13"/>
  <c r="AK190" i="13"/>
  <c r="AK191" i="13"/>
  <c r="AK192" i="13"/>
  <c r="AK193" i="13"/>
  <c r="AK194" i="13"/>
  <c r="AK195" i="13"/>
  <c r="AK196" i="13"/>
  <c r="AK197" i="13"/>
  <c r="AK198" i="13"/>
  <c r="AK199" i="13"/>
  <c r="AK200" i="13"/>
  <c r="AK201" i="13"/>
  <c r="AK202" i="13"/>
  <c r="AK203" i="13"/>
  <c r="AK204" i="13"/>
  <c r="AK205" i="13"/>
  <c r="AK206" i="13"/>
  <c r="AK207" i="13"/>
  <c r="AK208" i="13"/>
  <c r="AK209" i="13"/>
  <c r="AK210" i="13"/>
  <c r="AK211" i="13"/>
  <c r="AK212" i="13"/>
  <c r="AK213" i="13"/>
  <c r="AK214" i="13"/>
  <c r="AK215" i="13"/>
  <c r="AK216" i="13"/>
  <c r="AK217" i="13"/>
  <c r="AK218" i="13"/>
  <c r="AK219" i="13"/>
  <c r="AK220" i="13"/>
  <c r="AK221" i="13"/>
  <c r="AK222" i="13"/>
  <c r="AK223" i="13"/>
  <c r="AK224" i="13"/>
  <c r="AK225" i="13"/>
  <c r="AK226" i="13"/>
  <c r="AK227" i="13"/>
  <c r="AK228" i="13"/>
  <c r="AK229" i="13"/>
  <c r="AK230" i="13"/>
  <c r="AK231" i="13"/>
  <c r="AK232" i="13"/>
  <c r="AK233" i="13"/>
  <c r="AK234" i="13"/>
  <c r="AK235" i="13"/>
  <c r="AK236" i="13"/>
  <c r="AK237" i="13"/>
  <c r="AK238" i="13"/>
  <c r="AK239" i="13"/>
  <c r="AK240" i="13"/>
  <c r="AK241" i="13"/>
  <c r="AK242" i="13"/>
  <c r="AK243" i="13"/>
  <c r="AK244" i="13"/>
  <c r="AK245" i="13"/>
  <c r="AK246" i="13"/>
  <c r="AK247" i="13"/>
  <c r="AK248" i="13"/>
  <c r="AK249" i="13"/>
  <c r="AK250" i="13"/>
  <c r="AK251" i="13"/>
  <c r="AK252" i="13"/>
  <c r="AK253" i="13"/>
  <c r="AK254" i="13"/>
  <c r="AK255" i="13"/>
  <c r="AK256" i="13"/>
  <c r="AK257" i="13"/>
  <c r="AK258" i="13"/>
  <c r="AK259" i="13"/>
  <c r="AK260" i="13"/>
  <c r="AK261" i="13"/>
  <c r="AK262" i="13"/>
  <c r="AK263" i="13"/>
  <c r="AK264" i="13"/>
  <c r="AK265" i="13"/>
  <c r="AK266" i="13"/>
  <c r="AK267" i="13"/>
  <c r="AK268" i="13"/>
  <c r="AK269" i="13"/>
  <c r="AK270" i="13"/>
  <c r="AK271" i="13"/>
  <c r="AK272" i="13"/>
  <c r="AK273" i="13"/>
  <c r="AK274" i="13"/>
  <c r="AK275" i="13"/>
  <c r="AK276" i="13"/>
  <c r="AK277" i="13"/>
  <c r="AK278" i="13"/>
  <c r="AK279" i="13"/>
  <c r="AK280" i="13"/>
  <c r="AK281" i="13"/>
  <c r="AK282" i="13"/>
  <c r="AK283" i="13"/>
  <c r="AK284" i="13"/>
  <c r="AK285" i="13"/>
  <c r="AK286" i="13"/>
  <c r="AK287" i="13"/>
  <c r="AK288" i="13"/>
  <c r="AK289" i="13"/>
  <c r="AK290" i="13"/>
  <c r="AK291" i="13"/>
  <c r="AK292" i="13"/>
  <c r="AK293" i="13"/>
  <c r="AK294" i="13"/>
  <c r="AK295" i="13"/>
  <c r="AK296" i="13"/>
  <c r="AK297" i="13"/>
  <c r="AK298" i="13"/>
  <c r="AK299" i="13"/>
  <c r="AK300" i="13"/>
  <c r="AK301" i="13"/>
  <c r="AK302" i="13"/>
  <c r="AK303" i="13"/>
  <c r="AK304" i="13"/>
  <c r="AK305" i="13"/>
  <c r="AK306" i="13"/>
  <c r="AK307" i="13"/>
  <c r="AK308" i="13"/>
  <c r="AK309" i="13"/>
  <c r="AK310" i="13"/>
  <c r="AK311" i="13"/>
  <c r="AK312" i="13"/>
  <c r="AK313" i="13"/>
  <c r="AK314" i="13"/>
  <c r="AK315" i="13"/>
  <c r="AK316" i="13"/>
  <c r="AK317" i="13"/>
  <c r="AK318" i="13"/>
  <c r="AK319" i="13"/>
  <c r="AK320" i="13"/>
  <c r="AK321" i="13"/>
  <c r="AK322" i="13"/>
  <c r="AK323" i="13"/>
  <c r="AK324" i="13"/>
  <c r="AK325" i="13"/>
  <c r="AK326" i="13"/>
  <c r="AK327" i="13"/>
  <c r="AK328" i="13"/>
  <c r="AK329" i="13"/>
  <c r="AK330" i="13"/>
  <c r="AK331" i="13"/>
  <c r="AK332" i="13"/>
  <c r="AK333" i="13"/>
  <c r="AK334" i="13"/>
  <c r="AK335" i="13"/>
  <c r="AK336" i="13"/>
  <c r="AK337" i="13"/>
  <c r="AK338" i="13"/>
  <c r="AK339" i="13"/>
  <c r="AK340" i="13"/>
  <c r="AK341" i="13"/>
  <c r="AK342" i="13"/>
  <c r="AK343" i="13"/>
  <c r="AK344" i="13"/>
  <c r="AK345" i="13"/>
  <c r="AK346" i="13"/>
  <c r="AK347" i="13"/>
  <c r="AK348" i="13"/>
  <c r="AK349" i="13"/>
  <c r="AK350" i="13"/>
  <c r="AK351" i="13"/>
  <c r="AK352" i="13"/>
  <c r="AK353" i="13"/>
  <c r="AK354" i="13"/>
  <c r="AK355" i="13"/>
  <c r="AK356" i="13"/>
  <c r="AK357" i="13"/>
  <c r="AK358" i="13"/>
  <c r="AK359" i="13"/>
  <c r="AK360" i="13"/>
  <c r="AK361" i="13"/>
  <c r="AK362" i="13"/>
  <c r="AK363" i="13"/>
  <c r="AK364" i="13"/>
  <c r="AK365" i="13"/>
  <c r="AK366" i="13"/>
  <c r="AK367" i="13"/>
  <c r="AK368" i="13"/>
  <c r="AK369" i="13"/>
  <c r="AK370" i="13"/>
  <c r="AK371" i="13"/>
  <c r="AK372" i="13"/>
  <c r="AK373" i="13"/>
  <c r="AK374" i="13"/>
  <c r="AK375" i="13"/>
  <c r="AK376" i="13"/>
  <c r="AK377" i="13"/>
  <c r="AK378" i="13"/>
  <c r="AK379" i="13"/>
  <c r="AK380" i="13"/>
  <c r="AK381" i="13"/>
  <c r="AK382" i="13"/>
  <c r="AK383" i="13"/>
  <c r="AK384" i="13"/>
  <c r="AK385" i="13"/>
  <c r="AK386" i="13"/>
  <c r="AK387" i="13"/>
  <c r="AK388" i="13"/>
  <c r="AK389" i="13"/>
  <c r="AK390" i="13"/>
  <c r="AK391" i="13"/>
  <c r="AK392" i="13"/>
  <c r="AK393" i="13"/>
  <c r="AK394" i="13"/>
  <c r="AK395" i="13"/>
  <c r="AK396" i="13"/>
  <c r="AK397" i="13"/>
  <c r="AK398" i="13"/>
  <c r="AK399" i="13"/>
  <c r="AK400" i="13"/>
  <c r="AK401" i="13"/>
  <c r="AK402" i="13"/>
  <c r="AK403" i="13"/>
  <c r="AK404" i="13"/>
  <c r="AK405" i="13"/>
  <c r="AK406" i="13"/>
  <c r="AK407" i="13"/>
  <c r="AK408" i="13"/>
  <c r="AK409" i="13"/>
  <c r="AK410" i="13"/>
  <c r="AK411" i="13"/>
  <c r="AK412" i="13"/>
  <c r="AK413" i="13"/>
  <c r="AK414" i="13"/>
  <c r="AK415" i="13"/>
  <c r="AK416" i="13"/>
  <c r="AK417" i="13"/>
  <c r="AK418" i="13"/>
  <c r="AK419" i="13"/>
  <c r="AK420" i="13"/>
  <c r="AK421" i="13"/>
  <c r="AK422" i="13"/>
  <c r="AK423" i="13"/>
  <c r="AK424" i="13"/>
  <c r="AK425" i="13"/>
  <c r="AK426" i="13"/>
  <c r="AK427" i="13"/>
  <c r="AK428" i="13"/>
  <c r="AK429" i="13"/>
  <c r="AK430" i="13"/>
  <c r="AK431" i="13"/>
  <c r="AK432" i="13"/>
  <c r="AK433" i="13"/>
  <c r="AK434" i="13"/>
  <c r="AK435" i="13"/>
  <c r="AK436" i="13"/>
  <c r="AK437" i="13"/>
  <c r="AK438" i="13"/>
  <c r="AK439" i="13"/>
  <c r="AK440" i="13"/>
  <c r="AK441" i="13"/>
  <c r="AK442" i="13"/>
  <c r="AK443" i="13"/>
  <c r="AK444" i="13"/>
  <c r="AK445" i="13"/>
  <c r="AK446" i="13"/>
  <c r="AK447" i="13"/>
  <c r="AK448" i="13"/>
  <c r="AK449" i="13"/>
  <c r="AK450" i="13"/>
  <c r="AK451" i="13"/>
  <c r="AK452" i="13"/>
  <c r="AK453" i="13"/>
  <c r="AK454" i="13"/>
  <c r="AK455" i="13"/>
  <c r="AK456" i="13"/>
  <c r="AK457" i="13"/>
  <c r="AK458" i="13"/>
  <c r="AK459" i="13"/>
  <c r="AK460" i="13"/>
  <c r="AK461" i="13"/>
  <c r="AK462" i="13"/>
  <c r="AK463" i="13"/>
  <c r="AK464" i="13"/>
  <c r="AK465" i="13"/>
  <c r="AK466" i="13"/>
  <c r="AK467" i="13"/>
  <c r="AK468" i="13"/>
  <c r="AK469" i="13"/>
  <c r="AK470" i="13"/>
  <c r="AK471" i="13"/>
  <c r="AK472" i="13"/>
  <c r="AK473" i="13"/>
  <c r="AK474" i="13"/>
  <c r="AK475" i="13"/>
  <c r="AK476" i="13"/>
  <c r="AK477" i="13"/>
  <c r="AK478" i="13"/>
  <c r="AK479" i="13"/>
  <c r="AK480" i="13"/>
  <c r="AK481" i="13"/>
  <c r="AK482" i="13"/>
  <c r="AK483" i="13"/>
  <c r="AK484" i="13"/>
  <c r="AK485" i="13"/>
  <c r="AK486" i="13"/>
  <c r="AK487" i="13"/>
  <c r="AK488" i="13"/>
  <c r="AK489" i="13"/>
  <c r="AK490" i="13"/>
  <c r="AK491" i="13"/>
  <c r="AK492" i="13"/>
  <c r="AK493" i="13"/>
  <c r="AK494" i="13"/>
  <c r="AK495" i="13"/>
  <c r="AK496" i="13"/>
  <c r="AK497" i="13"/>
  <c r="AK498" i="13"/>
  <c r="AK499" i="13"/>
  <c r="AK500" i="13"/>
  <c r="AK501" i="13"/>
  <c r="AK502" i="13"/>
  <c r="AK503" i="13"/>
  <c r="AK504" i="13"/>
  <c r="AK505" i="13"/>
  <c r="AK506" i="13"/>
  <c r="AK507" i="13"/>
  <c r="AK508" i="13"/>
  <c r="AK509" i="13"/>
  <c r="AK510" i="13"/>
  <c r="AK511" i="13"/>
  <c r="AK512" i="13"/>
  <c r="AK513" i="13"/>
  <c r="AK514" i="13"/>
  <c r="AK515" i="13"/>
  <c r="AK516" i="13"/>
  <c r="AK517" i="13"/>
  <c r="AK518" i="13"/>
  <c r="AK519" i="13"/>
  <c r="AK520" i="13"/>
  <c r="AK521" i="13"/>
  <c r="AK522" i="13"/>
  <c r="AK523" i="13"/>
  <c r="AK524" i="13"/>
  <c r="AK525" i="13"/>
  <c r="AK526" i="13"/>
  <c r="AK527" i="13"/>
  <c r="AK528" i="13"/>
  <c r="AK529" i="13"/>
  <c r="AK530" i="13"/>
  <c r="AK531" i="13"/>
  <c r="AK532" i="13"/>
  <c r="AK533" i="13"/>
  <c r="AK534" i="13"/>
  <c r="AK535" i="13"/>
  <c r="AK536" i="13"/>
  <c r="AK537" i="13"/>
  <c r="AK538" i="13"/>
  <c r="AK539" i="13"/>
  <c r="AK540" i="13"/>
  <c r="AK541" i="13"/>
  <c r="AK542" i="13"/>
  <c r="AK543" i="13"/>
  <c r="AK544" i="13"/>
  <c r="AK545" i="13"/>
  <c r="AK546" i="13"/>
  <c r="AK547" i="13"/>
  <c r="AK548" i="13"/>
  <c r="AK549" i="13"/>
  <c r="AK550" i="13"/>
  <c r="AK551" i="13"/>
  <c r="AK552" i="13"/>
  <c r="AJ3" i="13"/>
  <c r="AJ4" i="13"/>
  <c r="AJ5" i="13"/>
  <c r="AJ6" i="13"/>
  <c r="AJ7" i="13"/>
  <c r="AJ8" i="13"/>
  <c r="AJ9" i="13"/>
  <c r="AJ10" i="13"/>
  <c r="AJ11" i="13"/>
  <c r="AJ12" i="13"/>
  <c r="AJ13" i="13"/>
  <c r="AJ14" i="13"/>
  <c r="AJ15" i="13"/>
  <c r="AJ16" i="13"/>
  <c r="AJ17" i="13"/>
  <c r="AJ18" i="13"/>
  <c r="AJ19" i="13"/>
  <c r="AJ20" i="13"/>
  <c r="AJ21" i="13"/>
  <c r="AJ22" i="13"/>
  <c r="AJ23" i="13"/>
  <c r="AJ24" i="13"/>
  <c r="AJ25" i="13"/>
  <c r="AJ26" i="13"/>
  <c r="AJ27" i="13"/>
  <c r="AJ28" i="13"/>
  <c r="AJ29" i="13"/>
  <c r="AJ30" i="13"/>
  <c r="AJ31" i="13"/>
  <c r="AJ32" i="13"/>
  <c r="AJ33" i="13"/>
  <c r="AJ34" i="13"/>
  <c r="AJ35" i="13"/>
  <c r="AJ36" i="13"/>
  <c r="AJ37" i="13"/>
  <c r="AJ38" i="13"/>
  <c r="AJ39" i="13"/>
  <c r="AJ40" i="13"/>
  <c r="AJ41" i="13"/>
  <c r="AJ42" i="13"/>
  <c r="AJ43" i="13"/>
  <c r="AJ44" i="13"/>
  <c r="AJ45" i="13"/>
  <c r="AJ46" i="13"/>
  <c r="AJ47" i="13"/>
  <c r="AJ48" i="13"/>
  <c r="AJ49" i="13"/>
  <c r="AJ50" i="13"/>
  <c r="AJ51" i="13"/>
  <c r="AJ52" i="13"/>
  <c r="AJ53" i="13"/>
  <c r="AJ54" i="13"/>
  <c r="AJ55" i="13"/>
  <c r="AJ56" i="13"/>
  <c r="AJ57" i="13"/>
  <c r="AJ58" i="13"/>
  <c r="AJ59" i="13"/>
  <c r="AJ60" i="13"/>
  <c r="AJ61" i="13"/>
  <c r="AJ62" i="13"/>
  <c r="AJ63" i="13"/>
  <c r="AJ64" i="13"/>
  <c r="AJ65" i="13"/>
  <c r="AJ66" i="13"/>
  <c r="AJ67" i="13"/>
  <c r="AJ68" i="13"/>
  <c r="AJ69" i="13"/>
  <c r="AJ70" i="13"/>
  <c r="AJ71" i="13"/>
  <c r="AJ72" i="13"/>
  <c r="AJ73" i="13"/>
  <c r="AJ74" i="13"/>
  <c r="AJ75" i="13"/>
  <c r="AJ76" i="13"/>
  <c r="AJ77" i="13"/>
  <c r="AJ78" i="13"/>
  <c r="AJ79" i="13"/>
  <c r="AJ80" i="13"/>
  <c r="AJ81" i="13"/>
  <c r="AJ82" i="13"/>
  <c r="AJ83" i="13"/>
  <c r="AJ84" i="13"/>
  <c r="AJ85" i="13"/>
  <c r="AJ86" i="13"/>
  <c r="AJ87" i="13"/>
  <c r="AJ88" i="13"/>
  <c r="AJ89" i="13"/>
  <c r="AJ90" i="13"/>
  <c r="AJ91" i="13"/>
  <c r="AJ92" i="13"/>
  <c r="AJ93" i="13"/>
  <c r="AJ94" i="13"/>
  <c r="AJ95" i="13"/>
  <c r="AJ96" i="13"/>
  <c r="AJ97" i="13"/>
  <c r="AJ98" i="13"/>
  <c r="AJ99" i="13"/>
  <c r="AJ100" i="13"/>
  <c r="AJ101" i="13"/>
  <c r="AJ102" i="13"/>
  <c r="AJ103" i="13"/>
  <c r="AJ104" i="13"/>
  <c r="AJ105" i="13"/>
  <c r="AJ106" i="13"/>
  <c r="AJ107" i="13"/>
  <c r="AJ108" i="13"/>
  <c r="AJ109" i="13"/>
  <c r="AJ110" i="13"/>
  <c r="AJ111" i="13"/>
  <c r="AJ112" i="13"/>
  <c r="AJ113" i="13"/>
  <c r="AJ114" i="13"/>
  <c r="AJ115" i="13"/>
  <c r="AJ116" i="13"/>
  <c r="AJ117" i="13"/>
  <c r="AJ118" i="13"/>
  <c r="AJ119" i="13"/>
  <c r="AJ120" i="13"/>
  <c r="AJ121" i="13"/>
  <c r="AJ122" i="13"/>
  <c r="AJ123" i="13"/>
  <c r="AJ124" i="13"/>
  <c r="AJ125" i="13"/>
  <c r="AJ126" i="13"/>
  <c r="AJ127" i="13"/>
  <c r="AJ128" i="13"/>
  <c r="AJ129" i="13"/>
  <c r="AJ130" i="13"/>
  <c r="AJ131" i="13"/>
  <c r="AJ132" i="13"/>
  <c r="AJ133" i="13"/>
  <c r="AJ134" i="13"/>
  <c r="AJ135" i="13"/>
  <c r="AJ136" i="13"/>
  <c r="AJ137" i="13"/>
  <c r="AJ138" i="13"/>
  <c r="AJ139" i="13"/>
  <c r="AJ140" i="13"/>
  <c r="AJ141" i="13"/>
  <c r="AJ142" i="13"/>
  <c r="AJ143" i="13"/>
  <c r="AJ144" i="13"/>
  <c r="AJ145" i="13"/>
  <c r="AJ146" i="13"/>
  <c r="AJ147" i="13"/>
  <c r="AJ148" i="13"/>
  <c r="AJ149" i="13"/>
  <c r="AJ150" i="13"/>
  <c r="AJ151" i="13"/>
  <c r="AJ152" i="13"/>
  <c r="AJ153" i="13"/>
  <c r="AJ154" i="13"/>
  <c r="AJ155" i="13"/>
  <c r="AJ156" i="13"/>
  <c r="AJ157" i="13"/>
  <c r="AJ158" i="13"/>
  <c r="AJ159" i="13"/>
  <c r="AJ160" i="13"/>
  <c r="AJ161" i="13"/>
  <c r="AJ162" i="13"/>
  <c r="AJ163" i="13"/>
  <c r="AJ164" i="13"/>
  <c r="AJ165" i="13"/>
  <c r="AJ166" i="13"/>
  <c r="AJ167" i="13"/>
  <c r="AJ168" i="13"/>
  <c r="AJ169" i="13"/>
  <c r="AJ170" i="13"/>
  <c r="AJ171" i="13"/>
  <c r="AJ172" i="13"/>
  <c r="AJ173" i="13"/>
  <c r="AJ174" i="13"/>
  <c r="AJ175" i="13"/>
  <c r="AJ176" i="13"/>
  <c r="AJ177" i="13"/>
  <c r="AJ178" i="13"/>
  <c r="AJ179" i="13"/>
  <c r="AJ180" i="13"/>
  <c r="AJ181" i="13"/>
  <c r="AJ182" i="13"/>
  <c r="AJ183" i="13"/>
  <c r="AJ184" i="13"/>
  <c r="AJ185" i="13"/>
  <c r="AJ186" i="13"/>
  <c r="AJ187" i="13"/>
  <c r="AJ188" i="13"/>
  <c r="AJ189" i="13"/>
  <c r="AJ190" i="13"/>
  <c r="AJ191" i="13"/>
  <c r="AJ192" i="13"/>
  <c r="AJ193" i="13"/>
  <c r="AJ194" i="13"/>
  <c r="AJ195" i="13"/>
  <c r="AJ196" i="13"/>
  <c r="AJ197" i="13"/>
  <c r="AJ198" i="13"/>
  <c r="AJ199" i="13"/>
  <c r="AJ200" i="13"/>
  <c r="AJ201" i="13"/>
  <c r="AJ202" i="13"/>
  <c r="AJ203" i="13"/>
  <c r="AJ204" i="13"/>
  <c r="AJ205" i="13"/>
  <c r="AJ206" i="13"/>
  <c r="AJ207" i="13"/>
  <c r="AJ208" i="13"/>
  <c r="AJ209" i="13"/>
  <c r="AJ210" i="13"/>
  <c r="AJ211" i="13"/>
  <c r="AJ212" i="13"/>
  <c r="AJ213" i="13"/>
  <c r="AJ214" i="13"/>
  <c r="AJ215" i="13"/>
  <c r="AJ216" i="13"/>
  <c r="AJ217" i="13"/>
  <c r="AJ218" i="13"/>
  <c r="AJ219" i="13"/>
  <c r="AJ220" i="13"/>
  <c r="AJ221" i="13"/>
  <c r="AJ222" i="13"/>
  <c r="AJ223" i="13"/>
  <c r="AJ224" i="13"/>
  <c r="AJ225" i="13"/>
  <c r="AJ226" i="13"/>
  <c r="AJ227" i="13"/>
  <c r="AJ228" i="13"/>
  <c r="AJ229" i="13"/>
  <c r="AJ230" i="13"/>
  <c r="AJ231" i="13"/>
  <c r="AJ232" i="13"/>
  <c r="AJ233" i="13"/>
  <c r="AJ234" i="13"/>
  <c r="AJ235" i="13"/>
  <c r="AJ236" i="13"/>
  <c r="AJ237" i="13"/>
  <c r="AJ238" i="13"/>
  <c r="AJ239" i="13"/>
  <c r="AJ240" i="13"/>
  <c r="AJ241" i="13"/>
  <c r="AJ242" i="13"/>
  <c r="AJ243" i="13"/>
  <c r="AJ244" i="13"/>
  <c r="AJ245" i="13"/>
  <c r="AJ246" i="13"/>
  <c r="AJ247" i="13"/>
  <c r="AJ248" i="13"/>
  <c r="AJ249" i="13"/>
  <c r="AJ250" i="13"/>
  <c r="AJ251" i="13"/>
  <c r="AJ252" i="13"/>
  <c r="AJ253" i="13"/>
  <c r="AJ254" i="13"/>
  <c r="AJ255" i="13"/>
  <c r="AJ256" i="13"/>
  <c r="AJ257" i="13"/>
  <c r="AJ258" i="13"/>
  <c r="AJ259" i="13"/>
  <c r="AJ260" i="13"/>
  <c r="AJ261" i="13"/>
  <c r="AJ262" i="13"/>
  <c r="AJ263" i="13"/>
  <c r="AJ264" i="13"/>
  <c r="AJ265" i="13"/>
  <c r="AJ266" i="13"/>
  <c r="AJ267" i="13"/>
  <c r="AJ268" i="13"/>
  <c r="AJ269" i="13"/>
  <c r="AJ270" i="13"/>
  <c r="AJ271" i="13"/>
  <c r="AJ272" i="13"/>
  <c r="AJ273" i="13"/>
  <c r="AJ274" i="13"/>
  <c r="AJ275" i="13"/>
  <c r="AJ276" i="13"/>
  <c r="AJ277" i="13"/>
  <c r="AJ278" i="13"/>
  <c r="AJ279" i="13"/>
  <c r="AJ280" i="13"/>
  <c r="AJ281" i="13"/>
  <c r="AJ282" i="13"/>
  <c r="AJ283" i="13"/>
  <c r="AJ284" i="13"/>
  <c r="AJ285" i="13"/>
  <c r="AJ286" i="13"/>
  <c r="AJ287" i="13"/>
  <c r="AJ288" i="13"/>
  <c r="AJ289" i="13"/>
  <c r="AJ290" i="13"/>
  <c r="AJ291" i="13"/>
  <c r="AJ292" i="13"/>
  <c r="AJ293" i="13"/>
  <c r="AJ294" i="13"/>
  <c r="AJ295" i="13"/>
  <c r="AJ296" i="13"/>
  <c r="AJ297" i="13"/>
  <c r="AJ298" i="13"/>
  <c r="AJ299" i="13"/>
  <c r="AJ300" i="13"/>
  <c r="AJ301" i="13"/>
  <c r="AJ302" i="13"/>
  <c r="AJ303" i="13"/>
  <c r="AJ304" i="13"/>
  <c r="AJ305" i="13"/>
  <c r="AJ306" i="13"/>
  <c r="AJ307" i="13"/>
  <c r="AJ308" i="13"/>
  <c r="AJ309" i="13"/>
  <c r="AJ310" i="13"/>
  <c r="AJ311" i="13"/>
  <c r="AJ312" i="13"/>
  <c r="AJ313" i="13"/>
  <c r="AJ314" i="13"/>
  <c r="AJ315" i="13"/>
  <c r="AJ316" i="13"/>
  <c r="AJ317" i="13"/>
  <c r="AJ318" i="13"/>
  <c r="AJ319" i="13"/>
  <c r="AJ320" i="13"/>
  <c r="AJ321" i="13"/>
  <c r="AJ322" i="13"/>
  <c r="AJ323" i="13"/>
  <c r="AJ324" i="13"/>
  <c r="AJ325" i="13"/>
  <c r="AJ326" i="13"/>
  <c r="AJ327" i="13"/>
  <c r="AJ328" i="13"/>
  <c r="AJ329" i="13"/>
  <c r="AJ330" i="13"/>
  <c r="AJ331" i="13"/>
  <c r="AJ332" i="13"/>
  <c r="AJ333" i="13"/>
  <c r="AJ334" i="13"/>
  <c r="AJ335" i="13"/>
  <c r="AJ336" i="13"/>
  <c r="AJ337" i="13"/>
  <c r="AJ338" i="13"/>
  <c r="AJ339" i="13"/>
  <c r="AJ340" i="13"/>
  <c r="AJ341" i="13"/>
  <c r="AJ342" i="13"/>
  <c r="AJ343" i="13"/>
  <c r="AJ344" i="13"/>
  <c r="AJ345" i="13"/>
  <c r="AJ346" i="13"/>
  <c r="AJ347" i="13"/>
  <c r="AJ348" i="13"/>
  <c r="AJ349" i="13"/>
  <c r="AJ350" i="13"/>
  <c r="AJ351" i="13"/>
  <c r="AJ352" i="13"/>
  <c r="AJ353" i="13"/>
  <c r="AJ354" i="13"/>
  <c r="AJ355" i="13"/>
  <c r="AJ356" i="13"/>
  <c r="AJ357" i="13"/>
  <c r="AJ358" i="13"/>
  <c r="AJ359" i="13"/>
  <c r="AJ360" i="13"/>
  <c r="AJ361" i="13"/>
  <c r="AJ362" i="13"/>
  <c r="AJ363" i="13"/>
  <c r="AJ364" i="13"/>
  <c r="AJ365" i="13"/>
  <c r="AJ366" i="13"/>
  <c r="AJ367" i="13"/>
  <c r="AJ368" i="13"/>
  <c r="AJ369" i="13"/>
  <c r="AJ370" i="13"/>
  <c r="AJ371" i="13"/>
  <c r="AJ372" i="13"/>
  <c r="AJ373" i="13"/>
  <c r="AJ374" i="13"/>
  <c r="AJ375" i="13"/>
  <c r="AJ376" i="13"/>
  <c r="AJ377" i="13"/>
  <c r="AJ378" i="13"/>
  <c r="AJ379" i="13"/>
  <c r="AJ380" i="13"/>
  <c r="AJ381" i="13"/>
  <c r="AJ382" i="13"/>
  <c r="AJ383" i="13"/>
  <c r="AJ384" i="13"/>
  <c r="AJ385" i="13"/>
  <c r="AJ386" i="13"/>
  <c r="AJ387" i="13"/>
  <c r="AJ388" i="13"/>
  <c r="AJ389" i="13"/>
  <c r="AJ390" i="13"/>
  <c r="AJ391" i="13"/>
  <c r="AJ392" i="13"/>
  <c r="AJ393" i="13"/>
  <c r="AJ394" i="13"/>
  <c r="AJ395" i="13"/>
  <c r="AJ396" i="13"/>
  <c r="AJ397" i="13"/>
  <c r="AJ398" i="13"/>
  <c r="AJ399" i="13"/>
  <c r="AJ400" i="13"/>
  <c r="AJ401" i="13"/>
  <c r="AJ402" i="13"/>
  <c r="AJ403" i="13"/>
  <c r="AJ404" i="13"/>
  <c r="AJ405" i="13"/>
  <c r="AJ406" i="13"/>
  <c r="AJ407" i="13"/>
  <c r="AJ408" i="13"/>
  <c r="AJ409" i="13"/>
  <c r="AJ410" i="13"/>
  <c r="AJ411" i="13"/>
  <c r="AJ412" i="13"/>
  <c r="AJ413" i="13"/>
  <c r="AJ414" i="13"/>
  <c r="AJ415" i="13"/>
  <c r="AJ416" i="13"/>
  <c r="AJ417" i="13"/>
  <c r="AJ418" i="13"/>
  <c r="AJ419" i="13"/>
  <c r="AJ420" i="13"/>
  <c r="AJ421" i="13"/>
  <c r="AJ422" i="13"/>
  <c r="AJ423" i="13"/>
  <c r="AJ424" i="13"/>
  <c r="AJ425" i="13"/>
  <c r="AJ426" i="13"/>
  <c r="AJ427" i="13"/>
  <c r="AJ428" i="13"/>
  <c r="AJ429" i="13"/>
  <c r="AJ430" i="13"/>
  <c r="AJ431" i="13"/>
  <c r="AJ432" i="13"/>
  <c r="AJ433" i="13"/>
  <c r="AJ434" i="13"/>
  <c r="AJ435" i="13"/>
  <c r="AJ436" i="13"/>
  <c r="AJ437" i="13"/>
  <c r="AJ438" i="13"/>
  <c r="AJ439" i="13"/>
  <c r="AJ440" i="13"/>
  <c r="AJ441" i="13"/>
  <c r="AJ442" i="13"/>
  <c r="AJ443" i="13"/>
  <c r="AJ444" i="13"/>
  <c r="AJ445" i="13"/>
  <c r="AJ446" i="13"/>
  <c r="AJ447" i="13"/>
  <c r="AJ448" i="13"/>
  <c r="AJ449" i="13"/>
  <c r="AJ450" i="13"/>
  <c r="AJ451" i="13"/>
  <c r="AJ452" i="13"/>
  <c r="AJ453" i="13"/>
  <c r="AJ454" i="13"/>
  <c r="AJ455" i="13"/>
  <c r="AJ456" i="13"/>
  <c r="AJ457" i="13"/>
  <c r="AJ458" i="13"/>
  <c r="AJ459" i="13"/>
  <c r="AJ460" i="13"/>
  <c r="AJ461" i="13"/>
  <c r="AJ462" i="13"/>
  <c r="AJ463" i="13"/>
  <c r="AJ464" i="13"/>
  <c r="AJ465" i="13"/>
  <c r="AJ466" i="13"/>
  <c r="AJ467" i="13"/>
  <c r="AJ468" i="13"/>
  <c r="AJ469" i="13"/>
  <c r="AJ470" i="13"/>
  <c r="AJ471" i="13"/>
  <c r="AJ472" i="13"/>
  <c r="AJ473" i="13"/>
  <c r="AJ474" i="13"/>
  <c r="AJ475" i="13"/>
  <c r="AJ476" i="13"/>
  <c r="AJ477" i="13"/>
  <c r="AJ478" i="13"/>
  <c r="AJ479" i="13"/>
  <c r="AJ480" i="13"/>
  <c r="AJ481" i="13"/>
  <c r="AJ482" i="13"/>
  <c r="AJ483" i="13"/>
  <c r="AJ484" i="13"/>
  <c r="AJ485" i="13"/>
  <c r="AJ486" i="13"/>
  <c r="AJ487" i="13"/>
  <c r="AJ488" i="13"/>
  <c r="AJ489" i="13"/>
  <c r="AJ490" i="13"/>
  <c r="AJ491" i="13"/>
  <c r="AJ492" i="13"/>
  <c r="AJ493" i="13"/>
  <c r="AJ494" i="13"/>
  <c r="AJ495" i="13"/>
  <c r="AJ496" i="13"/>
  <c r="AJ497" i="13"/>
  <c r="AJ498" i="13"/>
  <c r="AJ499" i="13"/>
  <c r="AJ500" i="13"/>
  <c r="AJ501" i="13"/>
  <c r="AJ502" i="13"/>
  <c r="AJ503" i="13"/>
  <c r="AJ504" i="13"/>
  <c r="AJ505" i="13"/>
  <c r="AJ506" i="13"/>
  <c r="AJ507" i="13"/>
  <c r="AJ508" i="13"/>
  <c r="AJ509" i="13"/>
  <c r="AJ510" i="13"/>
  <c r="AJ511" i="13"/>
  <c r="AJ512" i="13"/>
  <c r="AJ513" i="13"/>
  <c r="AJ514" i="13"/>
  <c r="AJ515" i="13"/>
  <c r="AJ516" i="13"/>
  <c r="AJ517" i="13"/>
  <c r="AJ518" i="13"/>
  <c r="AJ519" i="13"/>
  <c r="AJ520" i="13"/>
  <c r="AJ521" i="13"/>
  <c r="AJ522" i="13"/>
  <c r="AJ523" i="13"/>
  <c r="AJ524" i="13"/>
  <c r="AJ525" i="13"/>
  <c r="AJ526" i="13"/>
  <c r="AJ527" i="13"/>
  <c r="AJ528" i="13"/>
  <c r="AJ529" i="13"/>
  <c r="AJ530" i="13"/>
  <c r="AJ531" i="13"/>
  <c r="AJ532" i="13"/>
  <c r="AJ533" i="13"/>
  <c r="AJ534" i="13"/>
  <c r="AJ535" i="13"/>
  <c r="AJ536" i="13"/>
  <c r="AJ537" i="13"/>
  <c r="AJ538" i="13"/>
  <c r="AJ539" i="13"/>
  <c r="AJ540" i="13"/>
  <c r="AJ541" i="13"/>
  <c r="AJ542" i="13"/>
  <c r="AJ543" i="13"/>
  <c r="AJ544" i="13"/>
  <c r="AJ545" i="13"/>
  <c r="AJ546" i="13"/>
  <c r="AJ547" i="13"/>
  <c r="AJ548" i="13"/>
  <c r="AJ549" i="13"/>
  <c r="AJ550" i="13"/>
  <c r="AJ551" i="13"/>
  <c r="AJ552" i="13"/>
  <c r="AF3" i="13"/>
  <c r="AF4" i="13"/>
  <c r="AF5" i="13"/>
  <c r="AF6" i="13"/>
  <c r="AF7" i="13"/>
  <c r="AF8" i="13"/>
  <c r="AF9" i="13"/>
  <c r="AF10" i="13"/>
  <c r="AF11" i="13"/>
  <c r="AF12" i="13"/>
  <c r="AF13" i="13"/>
  <c r="AF14" i="13"/>
  <c r="AF15" i="13"/>
  <c r="AF16" i="13"/>
  <c r="AF17" i="13"/>
  <c r="AF18" i="13"/>
  <c r="AF19" i="13"/>
  <c r="AF20" i="13"/>
  <c r="AF21" i="13"/>
  <c r="AF22" i="13"/>
  <c r="AF23" i="13"/>
  <c r="AF24" i="13"/>
  <c r="AF25" i="13"/>
  <c r="AF26" i="13"/>
  <c r="AF27" i="13"/>
  <c r="AF28" i="13"/>
  <c r="AF29" i="13"/>
  <c r="AF30" i="13"/>
  <c r="AF31" i="13"/>
  <c r="AF32" i="13"/>
  <c r="AF33" i="13"/>
  <c r="AF34" i="13"/>
  <c r="AF35" i="13"/>
  <c r="AF36" i="13"/>
  <c r="AF37" i="13"/>
  <c r="AF38" i="13"/>
  <c r="AF39" i="13"/>
  <c r="AF40" i="13"/>
  <c r="AF41" i="13"/>
  <c r="AF42" i="13"/>
  <c r="AF43" i="13"/>
  <c r="AF44" i="13"/>
  <c r="AF45" i="13"/>
  <c r="AF46" i="13"/>
  <c r="AF47" i="13"/>
  <c r="AF48" i="13"/>
  <c r="AF49" i="13"/>
  <c r="AF50" i="13"/>
  <c r="AF51" i="13"/>
  <c r="AF52" i="13"/>
  <c r="AF53" i="13"/>
  <c r="AF54" i="13"/>
  <c r="AF55" i="13"/>
  <c r="AF56" i="13"/>
  <c r="AF57" i="13"/>
  <c r="AF58" i="13"/>
  <c r="AF59" i="13"/>
  <c r="AF60" i="13"/>
  <c r="AF61" i="13"/>
  <c r="AF62" i="13"/>
  <c r="AF63" i="13"/>
  <c r="AF64" i="13"/>
  <c r="AF65" i="13"/>
  <c r="AF66" i="13"/>
  <c r="AF67" i="13"/>
  <c r="AF68" i="13"/>
  <c r="AF69" i="13"/>
  <c r="AF70" i="13"/>
  <c r="AF71" i="13"/>
  <c r="AF72" i="13"/>
  <c r="AF73" i="13"/>
  <c r="AF74" i="13"/>
  <c r="AF75" i="13"/>
  <c r="AF76" i="13"/>
  <c r="AF77" i="13"/>
  <c r="AF78" i="13"/>
  <c r="AF79" i="13"/>
  <c r="AF80" i="13"/>
  <c r="AF81" i="13"/>
  <c r="AF82" i="13"/>
  <c r="AF83" i="13"/>
  <c r="AF84" i="13"/>
  <c r="AF85" i="13"/>
  <c r="AF86" i="13"/>
  <c r="AF87" i="13"/>
  <c r="AF88" i="13"/>
  <c r="AF89" i="13"/>
  <c r="AF90" i="13"/>
  <c r="AF91" i="13"/>
  <c r="AF92" i="13"/>
  <c r="AF93" i="13"/>
  <c r="AF94" i="13"/>
  <c r="AF95" i="13"/>
  <c r="AF96" i="13"/>
  <c r="AF97" i="13"/>
  <c r="AF98" i="13"/>
  <c r="AF99" i="13"/>
  <c r="AF100" i="13"/>
  <c r="AF101" i="13"/>
  <c r="AF102" i="13"/>
  <c r="AF103" i="13"/>
  <c r="AF104" i="13"/>
  <c r="AF105" i="13"/>
  <c r="AF106" i="13"/>
  <c r="AF107" i="13"/>
  <c r="AF108" i="13"/>
  <c r="AF109" i="13"/>
  <c r="AF110" i="13"/>
  <c r="AF111" i="13"/>
  <c r="AF112" i="13"/>
  <c r="AF113" i="13"/>
  <c r="AF114" i="13"/>
  <c r="AF115" i="13"/>
  <c r="AF116" i="13"/>
  <c r="AF117" i="13"/>
  <c r="AF118" i="13"/>
  <c r="AF119" i="13"/>
  <c r="AF120" i="13"/>
  <c r="AF121" i="13"/>
  <c r="AF122" i="13"/>
  <c r="AF123" i="13"/>
  <c r="AF124" i="13"/>
  <c r="AF125" i="13"/>
  <c r="AF126" i="13"/>
  <c r="AF127" i="13"/>
  <c r="AF128" i="13"/>
  <c r="AF129" i="13"/>
  <c r="AF130" i="13"/>
  <c r="AF131" i="13"/>
  <c r="AF132" i="13"/>
  <c r="AF133" i="13"/>
  <c r="AF134" i="13"/>
  <c r="AF135" i="13"/>
  <c r="AF136" i="13"/>
  <c r="AF137" i="13"/>
  <c r="AF138" i="13"/>
  <c r="AF139" i="13"/>
  <c r="AF140" i="13"/>
  <c r="AF141" i="13"/>
  <c r="AF142" i="13"/>
  <c r="AF143" i="13"/>
  <c r="AF144" i="13"/>
  <c r="AF145" i="13"/>
  <c r="AF146" i="13"/>
  <c r="AF147" i="13"/>
  <c r="AF148" i="13"/>
  <c r="AF149" i="13"/>
  <c r="AF150" i="13"/>
  <c r="AF151" i="13"/>
  <c r="AF152" i="13"/>
  <c r="AF153" i="13"/>
  <c r="AF154" i="13"/>
  <c r="AF155" i="13"/>
  <c r="AF156" i="13"/>
  <c r="AF157" i="13"/>
  <c r="AF158" i="13"/>
  <c r="AF159" i="13"/>
  <c r="AF160" i="13"/>
  <c r="AF161" i="13"/>
  <c r="AF162" i="13"/>
  <c r="AF163" i="13"/>
  <c r="AF164" i="13"/>
  <c r="AF165" i="13"/>
  <c r="AF166" i="13"/>
  <c r="AF167" i="13"/>
  <c r="AF168" i="13"/>
  <c r="AF169" i="13"/>
  <c r="AF170" i="13"/>
  <c r="AF171" i="13"/>
  <c r="AF172" i="13"/>
  <c r="AF173" i="13"/>
  <c r="AF174" i="13"/>
  <c r="AF175" i="13"/>
  <c r="AF176" i="13"/>
  <c r="AF177" i="13"/>
  <c r="AF178" i="13"/>
  <c r="AF179" i="13"/>
  <c r="AF180" i="13"/>
  <c r="AF181" i="13"/>
  <c r="AF182" i="13"/>
  <c r="AF183" i="13"/>
  <c r="AF184" i="13"/>
  <c r="AF185" i="13"/>
  <c r="AF186" i="13"/>
  <c r="AF187" i="13"/>
  <c r="AF188" i="13"/>
  <c r="AF189" i="13"/>
  <c r="AF190" i="13"/>
  <c r="AF191" i="13"/>
  <c r="AF192" i="13"/>
  <c r="AF193" i="13"/>
  <c r="AF194" i="13"/>
  <c r="AF195" i="13"/>
  <c r="AF196" i="13"/>
  <c r="AF197" i="13"/>
  <c r="AF198" i="13"/>
  <c r="AF199" i="13"/>
  <c r="AF200" i="13"/>
  <c r="AF201" i="13"/>
  <c r="AF202" i="13"/>
  <c r="AF203" i="13"/>
  <c r="AF204" i="13"/>
  <c r="AF205" i="13"/>
  <c r="AF206" i="13"/>
  <c r="AF207" i="13"/>
  <c r="AF208" i="13"/>
  <c r="AF209" i="13"/>
  <c r="AF210" i="13"/>
  <c r="AF211" i="13"/>
  <c r="AF212" i="13"/>
  <c r="AF213" i="13"/>
  <c r="AF214" i="13"/>
  <c r="AF215" i="13"/>
  <c r="AF216" i="13"/>
  <c r="AF217" i="13"/>
  <c r="AF218" i="13"/>
  <c r="AF219" i="13"/>
  <c r="AF220" i="13"/>
  <c r="AF221" i="13"/>
  <c r="AF222" i="13"/>
  <c r="AF223" i="13"/>
  <c r="AF224" i="13"/>
  <c r="AF225" i="13"/>
  <c r="AF226" i="13"/>
  <c r="AF227" i="13"/>
  <c r="AF228" i="13"/>
  <c r="AF229" i="13"/>
  <c r="AF230" i="13"/>
  <c r="AF231" i="13"/>
  <c r="AF232" i="13"/>
  <c r="AF233" i="13"/>
  <c r="AF234" i="13"/>
  <c r="AF235" i="13"/>
  <c r="AF236" i="13"/>
  <c r="AF237" i="13"/>
  <c r="AF238" i="13"/>
  <c r="AF239" i="13"/>
  <c r="AF240" i="13"/>
  <c r="AF241" i="13"/>
  <c r="AF242" i="13"/>
  <c r="AF243" i="13"/>
  <c r="AF244" i="13"/>
  <c r="AF245" i="13"/>
  <c r="AF246" i="13"/>
  <c r="AF247" i="13"/>
  <c r="AF248" i="13"/>
  <c r="AF249" i="13"/>
  <c r="AF250" i="13"/>
  <c r="AF251" i="13"/>
  <c r="AF252" i="13"/>
  <c r="AF253" i="13"/>
  <c r="AF254" i="13"/>
  <c r="AF255" i="13"/>
  <c r="AF256" i="13"/>
  <c r="AF257" i="13"/>
  <c r="AF258" i="13"/>
  <c r="AF259" i="13"/>
  <c r="AF260" i="13"/>
  <c r="AF261" i="13"/>
  <c r="AF262" i="13"/>
  <c r="AF263" i="13"/>
  <c r="AF264" i="13"/>
  <c r="AF265" i="13"/>
  <c r="AF266" i="13"/>
  <c r="AF267" i="13"/>
  <c r="AF268" i="13"/>
  <c r="AF269" i="13"/>
  <c r="AF270" i="13"/>
  <c r="AF271" i="13"/>
  <c r="AF272" i="13"/>
  <c r="AF273" i="13"/>
  <c r="AF274" i="13"/>
  <c r="AF275" i="13"/>
  <c r="AF276" i="13"/>
  <c r="AF277" i="13"/>
  <c r="AF278" i="13"/>
  <c r="AF279" i="13"/>
  <c r="AF280" i="13"/>
  <c r="AF281" i="13"/>
  <c r="AF282" i="13"/>
  <c r="AF283" i="13"/>
  <c r="AF284" i="13"/>
  <c r="AF285" i="13"/>
  <c r="AF286" i="13"/>
  <c r="AF287" i="13"/>
  <c r="AF288" i="13"/>
  <c r="AF289" i="13"/>
  <c r="AF290" i="13"/>
  <c r="AF291" i="13"/>
  <c r="AF292" i="13"/>
  <c r="AF293" i="13"/>
  <c r="AF294" i="13"/>
  <c r="AF295" i="13"/>
  <c r="AF296" i="13"/>
  <c r="AF297" i="13"/>
  <c r="AF298" i="13"/>
  <c r="AF299" i="13"/>
  <c r="AF300" i="13"/>
  <c r="AF301" i="13"/>
  <c r="AF302" i="13"/>
  <c r="AF303" i="13"/>
  <c r="AF304" i="13"/>
  <c r="AF305" i="13"/>
  <c r="AF306" i="13"/>
  <c r="AF307" i="13"/>
  <c r="AF308" i="13"/>
  <c r="AF309" i="13"/>
  <c r="AF310" i="13"/>
  <c r="AF311" i="13"/>
  <c r="AF312" i="13"/>
  <c r="AF313" i="13"/>
  <c r="AF314" i="13"/>
  <c r="AF315" i="13"/>
  <c r="AF316" i="13"/>
  <c r="AF317" i="13"/>
  <c r="AF318" i="13"/>
  <c r="AF319" i="13"/>
  <c r="AF320" i="13"/>
  <c r="AF321" i="13"/>
  <c r="AF322" i="13"/>
  <c r="AF323" i="13"/>
  <c r="AF324" i="13"/>
  <c r="AF325" i="13"/>
  <c r="AF326" i="13"/>
  <c r="AF327" i="13"/>
  <c r="AF328" i="13"/>
  <c r="AF329" i="13"/>
  <c r="AF330" i="13"/>
  <c r="AF331" i="13"/>
  <c r="AF332" i="13"/>
  <c r="AF333" i="13"/>
  <c r="AF334" i="13"/>
  <c r="AF335" i="13"/>
  <c r="AF336" i="13"/>
  <c r="AF337" i="13"/>
  <c r="AF338" i="13"/>
  <c r="AF339" i="13"/>
  <c r="AF340" i="13"/>
  <c r="AF341" i="13"/>
  <c r="AF342" i="13"/>
  <c r="AF343" i="13"/>
  <c r="AF344" i="13"/>
  <c r="AF345" i="13"/>
  <c r="AF346" i="13"/>
  <c r="AF347" i="13"/>
  <c r="AF348" i="13"/>
  <c r="AF349" i="13"/>
  <c r="AF350" i="13"/>
  <c r="AF351" i="13"/>
  <c r="AF352" i="13"/>
  <c r="AF353" i="13"/>
  <c r="AF354" i="13"/>
  <c r="AF355" i="13"/>
  <c r="AF356" i="13"/>
  <c r="AF357" i="13"/>
  <c r="AF358" i="13"/>
  <c r="AF359" i="13"/>
  <c r="AF360" i="13"/>
  <c r="AF361" i="13"/>
  <c r="AF362" i="13"/>
  <c r="AF363" i="13"/>
  <c r="AF364" i="13"/>
  <c r="AF365" i="13"/>
  <c r="AF366" i="13"/>
  <c r="AF367" i="13"/>
  <c r="AF368" i="13"/>
  <c r="AF369" i="13"/>
  <c r="AF370" i="13"/>
  <c r="AF371" i="13"/>
  <c r="AF372" i="13"/>
  <c r="AF373" i="13"/>
  <c r="AF374" i="13"/>
  <c r="AF375" i="13"/>
  <c r="AF376" i="13"/>
  <c r="AF377" i="13"/>
  <c r="AF378" i="13"/>
  <c r="AF379" i="13"/>
  <c r="AF380" i="13"/>
  <c r="AF381" i="13"/>
  <c r="AF382" i="13"/>
  <c r="AF383" i="13"/>
  <c r="AF384" i="13"/>
  <c r="AF385" i="13"/>
  <c r="AF386" i="13"/>
  <c r="AF387" i="13"/>
  <c r="AF388" i="13"/>
  <c r="AF389" i="13"/>
  <c r="AF390" i="13"/>
  <c r="AF391" i="13"/>
  <c r="AF392" i="13"/>
  <c r="AF393" i="13"/>
  <c r="AF394" i="13"/>
  <c r="AF395" i="13"/>
  <c r="AF396" i="13"/>
  <c r="AF397" i="13"/>
  <c r="AF398" i="13"/>
  <c r="AF399" i="13"/>
  <c r="AF400" i="13"/>
  <c r="AF401" i="13"/>
  <c r="AF402" i="13"/>
  <c r="AF403" i="13"/>
  <c r="AF404" i="13"/>
  <c r="AF405" i="13"/>
  <c r="AF406" i="13"/>
  <c r="AF407" i="13"/>
  <c r="AF408" i="13"/>
  <c r="AF409" i="13"/>
  <c r="AF410" i="13"/>
  <c r="AF411" i="13"/>
  <c r="AF412" i="13"/>
  <c r="AF413" i="13"/>
  <c r="AF414" i="13"/>
  <c r="AF415" i="13"/>
  <c r="AF416" i="13"/>
  <c r="AF417" i="13"/>
  <c r="AF418" i="13"/>
  <c r="AF419" i="13"/>
  <c r="AF420" i="13"/>
  <c r="AF421" i="13"/>
  <c r="AF422" i="13"/>
  <c r="AF423" i="13"/>
  <c r="AF424" i="13"/>
  <c r="AF425" i="13"/>
  <c r="AF426" i="13"/>
  <c r="AF427" i="13"/>
  <c r="AF428" i="13"/>
  <c r="AF429" i="13"/>
  <c r="AF430" i="13"/>
  <c r="AF431" i="13"/>
  <c r="AF432" i="13"/>
  <c r="AF433" i="13"/>
  <c r="AF434" i="13"/>
  <c r="AF435" i="13"/>
  <c r="AF436" i="13"/>
  <c r="AF437" i="13"/>
  <c r="AF438" i="13"/>
  <c r="AF439" i="13"/>
  <c r="AF440" i="13"/>
  <c r="AF441" i="13"/>
  <c r="AF442" i="13"/>
  <c r="AF443" i="13"/>
  <c r="AF444" i="13"/>
  <c r="AF445" i="13"/>
  <c r="AF446" i="13"/>
  <c r="AF447" i="13"/>
  <c r="AF448" i="13"/>
  <c r="AF449" i="13"/>
  <c r="AF450" i="13"/>
  <c r="AF451" i="13"/>
  <c r="AF452" i="13"/>
  <c r="AF453" i="13"/>
  <c r="AF454" i="13"/>
  <c r="AF455" i="13"/>
  <c r="AF456" i="13"/>
  <c r="AF457" i="13"/>
  <c r="AF458" i="13"/>
  <c r="AF459" i="13"/>
  <c r="AF460" i="13"/>
  <c r="AF461" i="13"/>
  <c r="AF462" i="13"/>
  <c r="AF463" i="13"/>
  <c r="AF464" i="13"/>
  <c r="AF465" i="13"/>
  <c r="AF466" i="13"/>
  <c r="AF467" i="13"/>
  <c r="AF468" i="13"/>
  <c r="AF469" i="13"/>
  <c r="AF470" i="13"/>
  <c r="AF471" i="13"/>
  <c r="AF472" i="13"/>
  <c r="AF473" i="13"/>
  <c r="AF474" i="13"/>
  <c r="AF475" i="13"/>
  <c r="AF476" i="13"/>
  <c r="AF477" i="13"/>
  <c r="AF478" i="13"/>
  <c r="AF479" i="13"/>
  <c r="AF480" i="13"/>
  <c r="AF481" i="13"/>
  <c r="AF482" i="13"/>
  <c r="AF483" i="13"/>
  <c r="AF484" i="13"/>
  <c r="AF485" i="13"/>
  <c r="AF486" i="13"/>
  <c r="AF487" i="13"/>
  <c r="AF488" i="13"/>
  <c r="AF489" i="13"/>
  <c r="AF490" i="13"/>
  <c r="AF491" i="13"/>
  <c r="AF492" i="13"/>
  <c r="AF493" i="13"/>
  <c r="AF494" i="13"/>
  <c r="AF495" i="13"/>
  <c r="AF496" i="13"/>
  <c r="AF497" i="13"/>
  <c r="AF498" i="13"/>
  <c r="AF499" i="13"/>
  <c r="AF500" i="13"/>
  <c r="AF501" i="13"/>
  <c r="AF502" i="13"/>
  <c r="AF503" i="13"/>
  <c r="AF504" i="13"/>
  <c r="AF505" i="13"/>
  <c r="AF506" i="13"/>
  <c r="AF507" i="13"/>
  <c r="AF508" i="13"/>
  <c r="AF509" i="13"/>
  <c r="AF510" i="13"/>
  <c r="AF511" i="13"/>
  <c r="AF512" i="13"/>
  <c r="AF513" i="13"/>
  <c r="AF514" i="13"/>
  <c r="AF515" i="13"/>
  <c r="AF516" i="13"/>
  <c r="AF517" i="13"/>
  <c r="AF518" i="13"/>
  <c r="AF519" i="13"/>
  <c r="AF520" i="13"/>
  <c r="AF521" i="13"/>
  <c r="AF522" i="13"/>
  <c r="AF523" i="13"/>
  <c r="AF524" i="13"/>
  <c r="AF525" i="13"/>
  <c r="AF526" i="13"/>
  <c r="AF527" i="13"/>
  <c r="AF528" i="13"/>
  <c r="AF529" i="13"/>
  <c r="AF530" i="13"/>
  <c r="AF531" i="13"/>
  <c r="AF532" i="13"/>
  <c r="AF533" i="13"/>
  <c r="AF534" i="13"/>
  <c r="AF535" i="13"/>
  <c r="AF536" i="13"/>
  <c r="AF537" i="13"/>
  <c r="AF538" i="13"/>
  <c r="AF539" i="13"/>
  <c r="AF540" i="13"/>
  <c r="AF541" i="13"/>
  <c r="AF542" i="13"/>
  <c r="AF543" i="13"/>
  <c r="AF544" i="13"/>
  <c r="AF545" i="13"/>
  <c r="AF546" i="13"/>
  <c r="AF547" i="13"/>
  <c r="AF548" i="13"/>
  <c r="AF549" i="13"/>
  <c r="AF550" i="13"/>
  <c r="AF551" i="13"/>
  <c r="AF552" i="13"/>
  <c r="AI3" i="13"/>
  <c r="AR3" i="13" s="1"/>
  <c r="AI4" i="13"/>
  <c r="AR4" i="13" s="1"/>
  <c r="AI5" i="13"/>
  <c r="AR5" i="13" s="1"/>
  <c r="AI6" i="13"/>
  <c r="AR6" i="13" s="1"/>
  <c r="AI7" i="13"/>
  <c r="AR7" i="13" s="1"/>
  <c r="AI8" i="13"/>
  <c r="AR8" i="13" s="1"/>
  <c r="AI9" i="13"/>
  <c r="AR9" i="13" s="1"/>
  <c r="AI10" i="13"/>
  <c r="AR10" i="13" s="1"/>
  <c r="AI11" i="13"/>
  <c r="AR11" i="13" s="1"/>
  <c r="AI12" i="13"/>
  <c r="AR12" i="13" s="1"/>
  <c r="AI13" i="13"/>
  <c r="AR13" i="13" s="1"/>
  <c r="AI14" i="13"/>
  <c r="AR14" i="13" s="1"/>
  <c r="AI15" i="13"/>
  <c r="AR15" i="13" s="1"/>
  <c r="AI16" i="13"/>
  <c r="AR16" i="13" s="1"/>
  <c r="AI17" i="13"/>
  <c r="AR17" i="13" s="1"/>
  <c r="AI18" i="13"/>
  <c r="AR18" i="13" s="1"/>
  <c r="AI19" i="13"/>
  <c r="AR19" i="13" s="1"/>
  <c r="AI20" i="13"/>
  <c r="AR20" i="13" s="1"/>
  <c r="AI21" i="13"/>
  <c r="AR21" i="13" s="1"/>
  <c r="AI22" i="13"/>
  <c r="AR22" i="13" s="1"/>
  <c r="AI23" i="13"/>
  <c r="AR23" i="13" s="1"/>
  <c r="AI24" i="13"/>
  <c r="AR24" i="13" s="1"/>
  <c r="AI25" i="13"/>
  <c r="AR25" i="13" s="1"/>
  <c r="AI26" i="13"/>
  <c r="AR26" i="13" s="1"/>
  <c r="AI27" i="13"/>
  <c r="AR27" i="13" s="1"/>
  <c r="AI28" i="13"/>
  <c r="AR28" i="13" s="1"/>
  <c r="AI29" i="13"/>
  <c r="AR29" i="13" s="1"/>
  <c r="AI30" i="13"/>
  <c r="AR30" i="13" s="1"/>
  <c r="AI31" i="13"/>
  <c r="AR31" i="13" s="1"/>
  <c r="AI32" i="13"/>
  <c r="AR32" i="13" s="1"/>
  <c r="AI33" i="13"/>
  <c r="AR33" i="13" s="1"/>
  <c r="AI34" i="13"/>
  <c r="AR34" i="13" s="1"/>
  <c r="AI35" i="13"/>
  <c r="AR35" i="13" s="1"/>
  <c r="AI36" i="13"/>
  <c r="AR36" i="13" s="1"/>
  <c r="AI37" i="13"/>
  <c r="AR37" i="13" s="1"/>
  <c r="AI38" i="13"/>
  <c r="AR38" i="13" s="1"/>
  <c r="AI39" i="13"/>
  <c r="AR39" i="13" s="1"/>
  <c r="AI40" i="13"/>
  <c r="AR40" i="13" s="1"/>
  <c r="AI41" i="13"/>
  <c r="AR41" i="13" s="1"/>
  <c r="AI42" i="13"/>
  <c r="AR42" i="13" s="1"/>
  <c r="AI43" i="13"/>
  <c r="AR43" i="13" s="1"/>
  <c r="AI44" i="13"/>
  <c r="AR44" i="13" s="1"/>
  <c r="AI45" i="13"/>
  <c r="AR45" i="13" s="1"/>
  <c r="AI46" i="13"/>
  <c r="AR46" i="13" s="1"/>
  <c r="AI47" i="13"/>
  <c r="AR47" i="13" s="1"/>
  <c r="AI48" i="13"/>
  <c r="AR48" i="13" s="1"/>
  <c r="AI49" i="13"/>
  <c r="AR49" i="13" s="1"/>
  <c r="AI50" i="13"/>
  <c r="AR50" i="13" s="1"/>
  <c r="AI51" i="13"/>
  <c r="AR51" i="13" s="1"/>
  <c r="AI52" i="13"/>
  <c r="AR52" i="13" s="1"/>
  <c r="AI53" i="13"/>
  <c r="AR53" i="13" s="1"/>
  <c r="AI54" i="13"/>
  <c r="AR54" i="13" s="1"/>
  <c r="AI55" i="13"/>
  <c r="AR55" i="13" s="1"/>
  <c r="AI56" i="13"/>
  <c r="AR56" i="13" s="1"/>
  <c r="AI57" i="13"/>
  <c r="AR57" i="13" s="1"/>
  <c r="AI58" i="13"/>
  <c r="AR58" i="13" s="1"/>
  <c r="AI59" i="13"/>
  <c r="AR59" i="13" s="1"/>
  <c r="AI60" i="13"/>
  <c r="AR60" i="13" s="1"/>
  <c r="AI61" i="13"/>
  <c r="AR61" i="13" s="1"/>
  <c r="AI62" i="13"/>
  <c r="AR62" i="13" s="1"/>
  <c r="AI63" i="13"/>
  <c r="AR63" i="13" s="1"/>
  <c r="AI64" i="13"/>
  <c r="AR64" i="13" s="1"/>
  <c r="AI65" i="13"/>
  <c r="AR65" i="13" s="1"/>
  <c r="AI66" i="13"/>
  <c r="AR66" i="13" s="1"/>
  <c r="AI67" i="13"/>
  <c r="AR67" i="13" s="1"/>
  <c r="AI68" i="13"/>
  <c r="AR68" i="13" s="1"/>
  <c r="AI69" i="13"/>
  <c r="AR69" i="13" s="1"/>
  <c r="AI70" i="13"/>
  <c r="AR70" i="13" s="1"/>
  <c r="AI71" i="13"/>
  <c r="AR71" i="13" s="1"/>
  <c r="AI72" i="13"/>
  <c r="AR72" i="13" s="1"/>
  <c r="AI73" i="13"/>
  <c r="AR73" i="13" s="1"/>
  <c r="AI74" i="13"/>
  <c r="AR74" i="13" s="1"/>
  <c r="AI75" i="13"/>
  <c r="AR75" i="13" s="1"/>
  <c r="AI76" i="13"/>
  <c r="AR76" i="13" s="1"/>
  <c r="AI77" i="13"/>
  <c r="AR77" i="13" s="1"/>
  <c r="AI78" i="13"/>
  <c r="AR78" i="13" s="1"/>
  <c r="AI79" i="13"/>
  <c r="AR79" i="13" s="1"/>
  <c r="AI80" i="13"/>
  <c r="AR80" i="13" s="1"/>
  <c r="AI81" i="13"/>
  <c r="AR81" i="13" s="1"/>
  <c r="AI82" i="13"/>
  <c r="AR82" i="13" s="1"/>
  <c r="AI83" i="13"/>
  <c r="AR83" i="13" s="1"/>
  <c r="AI84" i="13"/>
  <c r="AR84" i="13" s="1"/>
  <c r="AI85" i="13"/>
  <c r="AR85" i="13" s="1"/>
  <c r="AI86" i="13"/>
  <c r="AR86" i="13" s="1"/>
  <c r="AI87" i="13"/>
  <c r="AR87" i="13" s="1"/>
  <c r="AI88" i="13"/>
  <c r="AR88" i="13" s="1"/>
  <c r="AI89" i="13"/>
  <c r="AR89" i="13" s="1"/>
  <c r="AI90" i="13"/>
  <c r="AR90" i="13" s="1"/>
  <c r="AI91" i="13"/>
  <c r="AR91" i="13" s="1"/>
  <c r="AI92" i="13"/>
  <c r="AR92" i="13" s="1"/>
  <c r="AI93" i="13"/>
  <c r="AR93" i="13" s="1"/>
  <c r="AI94" i="13"/>
  <c r="AR94" i="13" s="1"/>
  <c r="AI95" i="13"/>
  <c r="AR95" i="13" s="1"/>
  <c r="AI96" i="13"/>
  <c r="AR96" i="13" s="1"/>
  <c r="AI97" i="13"/>
  <c r="AR97" i="13" s="1"/>
  <c r="AI98" i="13"/>
  <c r="AR98" i="13" s="1"/>
  <c r="AI99" i="13"/>
  <c r="AR99" i="13" s="1"/>
  <c r="AI100" i="13"/>
  <c r="AR100" i="13" s="1"/>
  <c r="AI101" i="13"/>
  <c r="AR101" i="13" s="1"/>
  <c r="AI102" i="13"/>
  <c r="AR102" i="13" s="1"/>
  <c r="AI103" i="13"/>
  <c r="AR103" i="13" s="1"/>
  <c r="AI104" i="13"/>
  <c r="AR104" i="13" s="1"/>
  <c r="AI105" i="13"/>
  <c r="AR105" i="13" s="1"/>
  <c r="AI106" i="13"/>
  <c r="AR106" i="13" s="1"/>
  <c r="AI107" i="13"/>
  <c r="AR107" i="13" s="1"/>
  <c r="AI108" i="13"/>
  <c r="AR108" i="13" s="1"/>
  <c r="AI109" i="13"/>
  <c r="AR109" i="13" s="1"/>
  <c r="AI110" i="13"/>
  <c r="AR110" i="13" s="1"/>
  <c r="AI111" i="13"/>
  <c r="AR111" i="13" s="1"/>
  <c r="AI112" i="13"/>
  <c r="AR112" i="13" s="1"/>
  <c r="AI113" i="13"/>
  <c r="AR113" i="13" s="1"/>
  <c r="AI114" i="13"/>
  <c r="AR114" i="13" s="1"/>
  <c r="AI115" i="13"/>
  <c r="AR115" i="13" s="1"/>
  <c r="AI116" i="13"/>
  <c r="AR116" i="13" s="1"/>
  <c r="AI117" i="13"/>
  <c r="AR117" i="13" s="1"/>
  <c r="AI118" i="13"/>
  <c r="AR118" i="13" s="1"/>
  <c r="AI119" i="13"/>
  <c r="AR119" i="13" s="1"/>
  <c r="AI120" i="13"/>
  <c r="AR120" i="13" s="1"/>
  <c r="AI121" i="13"/>
  <c r="AR121" i="13" s="1"/>
  <c r="AI122" i="13"/>
  <c r="AR122" i="13" s="1"/>
  <c r="AI123" i="13"/>
  <c r="AR123" i="13" s="1"/>
  <c r="AI124" i="13"/>
  <c r="AR124" i="13" s="1"/>
  <c r="AI125" i="13"/>
  <c r="AR125" i="13" s="1"/>
  <c r="AI126" i="13"/>
  <c r="AR126" i="13" s="1"/>
  <c r="AI127" i="13"/>
  <c r="AR127" i="13" s="1"/>
  <c r="AI128" i="13"/>
  <c r="AR128" i="13" s="1"/>
  <c r="AI129" i="13"/>
  <c r="AR129" i="13" s="1"/>
  <c r="AI130" i="13"/>
  <c r="AR130" i="13" s="1"/>
  <c r="AI131" i="13"/>
  <c r="AR131" i="13" s="1"/>
  <c r="AI132" i="13"/>
  <c r="AR132" i="13" s="1"/>
  <c r="AI133" i="13"/>
  <c r="AR133" i="13" s="1"/>
  <c r="AI134" i="13"/>
  <c r="AR134" i="13" s="1"/>
  <c r="AI135" i="13"/>
  <c r="AR135" i="13" s="1"/>
  <c r="AI136" i="13"/>
  <c r="AR136" i="13" s="1"/>
  <c r="AI137" i="13"/>
  <c r="AR137" i="13" s="1"/>
  <c r="AI138" i="13"/>
  <c r="AR138" i="13" s="1"/>
  <c r="AI139" i="13"/>
  <c r="AR139" i="13" s="1"/>
  <c r="AI140" i="13"/>
  <c r="AR140" i="13" s="1"/>
  <c r="AI141" i="13"/>
  <c r="AR141" i="13" s="1"/>
  <c r="AI142" i="13"/>
  <c r="AR142" i="13" s="1"/>
  <c r="AI143" i="13"/>
  <c r="AR143" i="13" s="1"/>
  <c r="AI144" i="13"/>
  <c r="AR144" i="13" s="1"/>
  <c r="AI145" i="13"/>
  <c r="AR145" i="13" s="1"/>
  <c r="AI146" i="13"/>
  <c r="AR146" i="13" s="1"/>
  <c r="AI147" i="13"/>
  <c r="AR147" i="13" s="1"/>
  <c r="AI148" i="13"/>
  <c r="AR148" i="13" s="1"/>
  <c r="AI149" i="13"/>
  <c r="AR149" i="13" s="1"/>
  <c r="AI150" i="13"/>
  <c r="AR150" i="13" s="1"/>
  <c r="AI151" i="13"/>
  <c r="AR151" i="13" s="1"/>
  <c r="AI152" i="13"/>
  <c r="AR152" i="13" s="1"/>
  <c r="AI153" i="13"/>
  <c r="AR153" i="13" s="1"/>
  <c r="AI154" i="13"/>
  <c r="AR154" i="13" s="1"/>
  <c r="AI155" i="13"/>
  <c r="AR155" i="13" s="1"/>
  <c r="AI156" i="13"/>
  <c r="AR156" i="13" s="1"/>
  <c r="AI157" i="13"/>
  <c r="AR157" i="13" s="1"/>
  <c r="AI158" i="13"/>
  <c r="AR158" i="13" s="1"/>
  <c r="AI159" i="13"/>
  <c r="AR159" i="13" s="1"/>
  <c r="AI160" i="13"/>
  <c r="AR160" i="13" s="1"/>
  <c r="AI161" i="13"/>
  <c r="AR161" i="13" s="1"/>
  <c r="AI162" i="13"/>
  <c r="AR162" i="13" s="1"/>
  <c r="AI163" i="13"/>
  <c r="AR163" i="13" s="1"/>
  <c r="AI164" i="13"/>
  <c r="AR164" i="13" s="1"/>
  <c r="AI165" i="13"/>
  <c r="AR165" i="13" s="1"/>
  <c r="AI166" i="13"/>
  <c r="AR166" i="13" s="1"/>
  <c r="AI167" i="13"/>
  <c r="AR167" i="13" s="1"/>
  <c r="AI168" i="13"/>
  <c r="AR168" i="13" s="1"/>
  <c r="AI169" i="13"/>
  <c r="AR169" i="13" s="1"/>
  <c r="AI170" i="13"/>
  <c r="AR170" i="13" s="1"/>
  <c r="AI171" i="13"/>
  <c r="AR171" i="13" s="1"/>
  <c r="AI172" i="13"/>
  <c r="AR172" i="13" s="1"/>
  <c r="AI173" i="13"/>
  <c r="AR173" i="13" s="1"/>
  <c r="AI174" i="13"/>
  <c r="AR174" i="13" s="1"/>
  <c r="AI175" i="13"/>
  <c r="AR175" i="13" s="1"/>
  <c r="AI176" i="13"/>
  <c r="AR176" i="13" s="1"/>
  <c r="AI177" i="13"/>
  <c r="AR177" i="13" s="1"/>
  <c r="AI178" i="13"/>
  <c r="AR178" i="13" s="1"/>
  <c r="AI179" i="13"/>
  <c r="AR179" i="13" s="1"/>
  <c r="AI180" i="13"/>
  <c r="AR180" i="13" s="1"/>
  <c r="AI181" i="13"/>
  <c r="AR181" i="13" s="1"/>
  <c r="AI182" i="13"/>
  <c r="AR182" i="13" s="1"/>
  <c r="AI183" i="13"/>
  <c r="AR183" i="13" s="1"/>
  <c r="AI184" i="13"/>
  <c r="AR184" i="13" s="1"/>
  <c r="AI185" i="13"/>
  <c r="AR185" i="13" s="1"/>
  <c r="AI186" i="13"/>
  <c r="AR186" i="13" s="1"/>
  <c r="AI187" i="13"/>
  <c r="AR187" i="13" s="1"/>
  <c r="AI188" i="13"/>
  <c r="AR188" i="13" s="1"/>
  <c r="AI189" i="13"/>
  <c r="AR189" i="13" s="1"/>
  <c r="AI190" i="13"/>
  <c r="AR190" i="13" s="1"/>
  <c r="AI191" i="13"/>
  <c r="AR191" i="13" s="1"/>
  <c r="AI192" i="13"/>
  <c r="AR192" i="13" s="1"/>
  <c r="AI193" i="13"/>
  <c r="AR193" i="13" s="1"/>
  <c r="AI194" i="13"/>
  <c r="AR194" i="13" s="1"/>
  <c r="AI195" i="13"/>
  <c r="AR195" i="13" s="1"/>
  <c r="AI196" i="13"/>
  <c r="AR196" i="13" s="1"/>
  <c r="AI197" i="13"/>
  <c r="AR197" i="13" s="1"/>
  <c r="AI198" i="13"/>
  <c r="AR198" i="13" s="1"/>
  <c r="AI199" i="13"/>
  <c r="AR199" i="13" s="1"/>
  <c r="AI200" i="13"/>
  <c r="AR200" i="13" s="1"/>
  <c r="AI201" i="13"/>
  <c r="AR201" i="13" s="1"/>
  <c r="AI202" i="13"/>
  <c r="AR202" i="13" s="1"/>
  <c r="AI203" i="13"/>
  <c r="AR203" i="13" s="1"/>
  <c r="AI204" i="13"/>
  <c r="AR204" i="13" s="1"/>
  <c r="AI205" i="13"/>
  <c r="AR205" i="13" s="1"/>
  <c r="AI206" i="13"/>
  <c r="AR206" i="13" s="1"/>
  <c r="AI207" i="13"/>
  <c r="AR207" i="13" s="1"/>
  <c r="AI208" i="13"/>
  <c r="AR208" i="13" s="1"/>
  <c r="AI209" i="13"/>
  <c r="AR209" i="13" s="1"/>
  <c r="AI210" i="13"/>
  <c r="AR210" i="13" s="1"/>
  <c r="AI211" i="13"/>
  <c r="AR211" i="13" s="1"/>
  <c r="AI212" i="13"/>
  <c r="AR212" i="13" s="1"/>
  <c r="AI213" i="13"/>
  <c r="AR213" i="13" s="1"/>
  <c r="AI214" i="13"/>
  <c r="AR214" i="13" s="1"/>
  <c r="AI215" i="13"/>
  <c r="AR215" i="13" s="1"/>
  <c r="AI216" i="13"/>
  <c r="AR216" i="13" s="1"/>
  <c r="AI217" i="13"/>
  <c r="AR217" i="13" s="1"/>
  <c r="AI218" i="13"/>
  <c r="AR218" i="13" s="1"/>
  <c r="AI219" i="13"/>
  <c r="AR219" i="13" s="1"/>
  <c r="AI220" i="13"/>
  <c r="AR220" i="13" s="1"/>
  <c r="AI221" i="13"/>
  <c r="AR221" i="13" s="1"/>
  <c r="AI222" i="13"/>
  <c r="AR222" i="13" s="1"/>
  <c r="AI223" i="13"/>
  <c r="AR223" i="13" s="1"/>
  <c r="AI224" i="13"/>
  <c r="AR224" i="13" s="1"/>
  <c r="AI225" i="13"/>
  <c r="AR225" i="13" s="1"/>
  <c r="AI226" i="13"/>
  <c r="AR226" i="13" s="1"/>
  <c r="AI227" i="13"/>
  <c r="AR227" i="13" s="1"/>
  <c r="AI228" i="13"/>
  <c r="AR228" i="13" s="1"/>
  <c r="AI229" i="13"/>
  <c r="AR229" i="13" s="1"/>
  <c r="AI230" i="13"/>
  <c r="AR230" i="13" s="1"/>
  <c r="AI231" i="13"/>
  <c r="AR231" i="13" s="1"/>
  <c r="AI232" i="13"/>
  <c r="AR232" i="13" s="1"/>
  <c r="AI233" i="13"/>
  <c r="AR233" i="13" s="1"/>
  <c r="AI234" i="13"/>
  <c r="AR234" i="13" s="1"/>
  <c r="AI235" i="13"/>
  <c r="AR235" i="13" s="1"/>
  <c r="AI236" i="13"/>
  <c r="AR236" i="13" s="1"/>
  <c r="AI237" i="13"/>
  <c r="AR237" i="13" s="1"/>
  <c r="AI238" i="13"/>
  <c r="AR238" i="13" s="1"/>
  <c r="AI239" i="13"/>
  <c r="AR239" i="13" s="1"/>
  <c r="AI240" i="13"/>
  <c r="AR240" i="13" s="1"/>
  <c r="AI241" i="13"/>
  <c r="AR241" i="13" s="1"/>
  <c r="AI242" i="13"/>
  <c r="AR242" i="13" s="1"/>
  <c r="AI243" i="13"/>
  <c r="AR243" i="13" s="1"/>
  <c r="AI244" i="13"/>
  <c r="AR244" i="13" s="1"/>
  <c r="AI245" i="13"/>
  <c r="AR245" i="13" s="1"/>
  <c r="AI246" i="13"/>
  <c r="AR246" i="13" s="1"/>
  <c r="AI247" i="13"/>
  <c r="AR247" i="13" s="1"/>
  <c r="AI248" i="13"/>
  <c r="AR248" i="13" s="1"/>
  <c r="AI249" i="13"/>
  <c r="AR249" i="13" s="1"/>
  <c r="AI250" i="13"/>
  <c r="AR250" i="13" s="1"/>
  <c r="AI251" i="13"/>
  <c r="AR251" i="13" s="1"/>
  <c r="AI252" i="13"/>
  <c r="AR252" i="13" s="1"/>
  <c r="AI253" i="13"/>
  <c r="AR253" i="13" s="1"/>
  <c r="AI254" i="13"/>
  <c r="AR254" i="13" s="1"/>
  <c r="AI255" i="13"/>
  <c r="AR255" i="13" s="1"/>
  <c r="AI256" i="13"/>
  <c r="AR256" i="13" s="1"/>
  <c r="AI257" i="13"/>
  <c r="AR257" i="13" s="1"/>
  <c r="AI258" i="13"/>
  <c r="AR258" i="13" s="1"/>
  <c r="AI259" i="13"/>
  <c r="AR259" i="13" s="1"/>
  <c r="AI260" i="13"/>
  <c r="AR260" i="13" s="1"/>
  <c r="AI261" i="13"/>
  <c r="AR261" i="13" s="1"/>
  <c r="AI262" i="13"/>
  <c r="AR262" i="13" s="1"/>
  <c r="AI263" i="13"/>
  <c r="AR263" i="13" s="1"/>
  <c r="AI264" i="13"/>
  <c r="AR264" i="13" s="1"/>
  <c r="AI265" i="13"/>
  <c r="AR265" i="13" s="1"/>
  <c r="AI266" i="13"/>
  <c r="AR266" i="13" s="1"/>
  <c r="AI267" i="13"/>
  <c r="AR267" i="13" s="1"/>
  <c r="AI268" i="13"/>
  <c r="AR268" i="13" s="1"/>
  <c r="AI269" i="13"/>
  <c r="AR269" i="13" s="1"/>
  <c r="AI270" i="13"/>
  <c r="AR270" i="13" s="1"/>
  <c r="AI271" i="13"/>
  <c r="AR271" i="13" s="1"/>
  <c r="AI272" i="13"/>
  <c r="AR272" i="13" s="1"/>
  <c r="AI273" i="13"/>
  <c r="AR273" i="13" s="1"/>
  <c r="AI274" i="13"/>
  <c r="AR274" i="13" s="1"/>
  <c r="AI275" i="13"/>
  <c r="AR275" i="13" s="1"/>
  <c r="AI276" i="13"/>
  <c r="AR276" i="13" s="1"/>
  <c r="AI277" i="13"/>
  <c r="AR277" i="13" s="1"/>
  <c r="AI278" i="13"/>
  <c r="AR278" i="13" s="1"/>
  <c r="AI279" i="13"/>
  <c r="AR279" i="13" s="1"/>
  <c r="AI280" i="13"/>
  <c r="AR280" i="13" s="1"/>
  <c r="AI281" i="13"/>
  <c r="AR281" i="13" s="1"/>
  <c r="AI282" i="13"/>
  <c r="AR282" i="13" s="1"/>
  <c r="AI283" i="13"/>
  <c r="AR283" i="13" s="1"/>
  <c r="AI284" i="13"/>
  <c r="AR284" i="13" s="1"/>
  <c r="AI285" i="13"/>
  <c r="AR285" i="13" s="1"/>
  <c r="AI286" i="13"/>
  <c r="AR286" i="13" s="1"/>
  <c r="AI287" i="13"/>
  <c r="AR287" i="13" s="1"/>
  <c r="AI288" i="13"/>
  <c r="AR288" i="13" s="1"/>
  <c r="AI289" i="13"/>
  <c r="AR289" i="13" s="1"/>
  <c r="AI290" i="13"/>
  <c r="AR290" i="13" s="1"/>
  <c r="AI291" i="13"/>
  <c r="AR291" i="13" s="1"/>
  <c r="AI292" i="13"/>
  <c r="AR292" i="13" s="1"/>
  <c r="AI293" i="13"/>
  <c r="AR293" i="13" s="1"/>
  <c r="AI294" i="13"/>
  <c r="AR294" i="13" s="1"/>
  <c r="AI295" i="13"/>
  <c r="AR295" i="13" s="1"/>
  <c r="AI296" i="13"/>
  <c r="AR296" i="13" s="1"/>
  <c r="AI297" i="13"/>
  <c r="AR297" i="13" s="1"/>
  <c r="AI298" i="13"/>
  <c r="AR298" i="13" s="1"/>
  <c r="AI299" i="13"/>
  <c r="AR299" i="13" s="1"/>
  <c r="AI300" i="13"/>
  <c r="AR300" i="13" s="1"/>
  <c r="AI301" i="13"/>
  <c r="AR301" i="13" s="1"/>
  <c r="AI302" i="13"/>
  <c r="AR302" i="13" s="1"/>
  <c r="AI303" i="13"/>
  <c r="AR303" i="13" s="1"/>
  <c r="AI304" i="13"/>
  <c r="AR304" i="13" s="1"/>
  <c r="AI305" i="13"/>
  <c r="AR305" i="13" s="1"/>
  <c r="AI306" i="13"/>
  <c r="AR306" i="13" s="1"/>
  <c r="AI307" i="13"/>
  <c r="AR307" i="13" s="1"/>
  <c r="AI308" i="13"/>
  <c r="AR308" i="13" s="1"/>
  <c r="AI309" i="13"/>
  <c r="AR309" i="13" s="1"/>
  <c r="AI310" i="13"/>
  <c r="AR310" i="13" s="1"/>
  <c r="AI311" i="13"/>
  <c r="AR311" i="13" s="1"/>
  <c r="AI312" i="13"/>
  <c r="AR312" i="13" s="1"/>
  <c r="AI313" i="13"/>
  <c r="AR313" i="13" s="1"/>
  <c r="AI314" i="13"/>
  <c r="AR314" i="13" s="1"/>
  <c r="AI315" i="13"/>
  <c r="AR315" i="13" s="1"/>
  <c r="AI316" i="13"/>
  <c r="AR316" i="13" s="1"/>
  <c r="AI317" i="13"/>
  <c r="AR317" i="13" s="1"/>
  <c r="AI318" i="13"/>
  <c r="AR318" i="13" s="1"/>
  <c r="AI319" i="13"/>
  <c r="AR319" i="13" s="1"/>
  <c r="AI320" i="13"/>
  <c r="AR320" i="13" s="1"/>
  <c r="AI321" i="13"/>
  <c r="AR321" i="13" s="1"/>
  <c r="AI322" i="13"/>
  <c r="AR322" i="13" s="1"/>
  <c r="AI323" i="13"/>
  <c r="AR323" i="13" s="1"/>
  <c r="AI324" i="13"/>
  <c r="AR324" i="13" s="1"/>
  <c r="AI325" i="13"/>
  <c r="AR325" i="13" s="1"/>
  <c r="AI326" i="13"/>
  <c r="AR326" i="13" s="1"/>
  <c r="AI327" i="13"/>
  <c r="AR327" i="13" s="1"/>
  <c r="AI328" i="13"/>
  <c r="AR328" i="13" s="1"/>
  <c r="AI329" i="13"/>
  <c r="AR329" i="13" s="1"/>
  <c r="AI330" i="13"/>
  <c r="AR330" i="13" s="1"/>
  <c r="AI331" i="13"/>
  <c r="AR331" i="13" s="1"/>
  <c r="AI332" i="13"/>
  <c r="AR332" i="13" s="1"/>
  <c r="AI333" i="13"/>
  <c r="AR333" i="13" s="1"/>
  <c r="AI334" i="13"/>
  <c r="AR334" i="13" s="1"/>
  <c r="AI335" i="13"/>
  <c r="AR335" i="13" s="1"/>
  <c r="AI336" i="13"/>
  <c r="AR336" i="13" s="1"/>
  <c r="AI337" i="13"/>
  <c r="AR337" i="13" s="1"/>
  <c r="AI338" i="13"/>
  <c r="AR338" i="13" s="1"/>
  <c r="AI339" i="13"/>
  <c r="AR339" i="13" s="1"/>
  <c r="AI340" i="13"/>
  <c r="AR340" i="13" s="1"/>
  <c r="AI341" i="13"/>
  <c r="AR341" i="13" s="1"/>
  <c r="AI342" i="13"/>
  <c r="AR342" i="13" s="1"/>
  <c r="AI343" i="13"/>
  <c r="AR343" i="13" s="1"/>
  <c r="AI344" i="13"/>
  <c r="AR344" i="13" s="1"/>
  <c r="AI345" i="13"/>
  <c r="AR345" i="13" s="1"/>
  <c r="AI346" i="13"/>
  <c r="AR346" i="13" s="1"/>
  <c r="AI347" i="13"/>
  <c r="AR347" i="13" s="1"/>
  <c r="AI348" i="13"/>
  <c r="AR348" i="13" s="1"/>
  <c r="AI349" i="13"/>
  <c r="AR349" i="13" s="1"/>
  <c r="AI350" i="13"/>
  <c r="AR350" i="13" s="1"/>
  <c r="AI351" i="13"/>
  <c r="AR351" i="13" s="1"/>
  <c r="AI352" i="13"/>
  <c r="AR352" i="13" s="1"/>
  <c r="AI353" i="13"/>
  <c r="AR353" i="13" s="1"/>
  <c r="AI354" i="13"/>
  <c r="AR354" i="13" s="1"/>
  <c r="AI355" i="13"/>
  <c r="AR355" i="13" s="1"/>
  <c r="AI356" i="13"/>
  <c r="AR356" i="13" s="1"/>
  <c r="AI357" i="13"/>
  <c r="AR357" i="13" s="1"/>
  <c r="AI358" i="13"/>
  <c r="AR358" i="13" s="1"/>
  <c r="AI359" i="13"/>
  <c r="AR359" i="13" s="1"/>
  <c r="AI360" i="13"/>
  <c r="AR360" i="13" s="1"/>
  <c r="AI361" i="13"/>
  <c r="AR361" i="13" s="1"/>
  <c r="AI362" i="13"/>
  <c r="AR362" i="13" s="1"/>
  <c r="AI363" i="13"/>
  <c r="AR363" i="13" s="1"/>
  <c r="AI364" i="13"/>
  <c r="AR364" i="13" s="1"/>
  <c r="AI365" i="13"/>
  <c r="AR365" i="13" s="1"/>
  <c r="AI366" i="13"/>
  <c r="AR366" i="13" s="1"/>
  <c r="AI367" i="13"/>
  <c r="AR367" i="13" s="1"/>
  <c r="AI368" i="13"/>
  <c r="AR368" i="13" s="1"/>
  <c r="AI369" i="13"/>
  <c r="AR369" i="13" s="1"/>
  <c r="AI370" i="13"/>
  <c r="AR370" i="13" s="1"/>
  <c r="AI371" i="13"/>
  <c r="AR371" i="13" s="1"/>
  <c r="AI372" i="13"/>
  <c r="AR372" i="13" s="1"/>
  <c r="AI373" i="13"/>
  <c r="AR373" i="13" s="1"/>
  <c r="AI374" i="13"/>
  <c r="AR374" i="13" s="1"/>
  <c r="AI375" i="13"/>
  <c r="AR375" i="13" s="1"/>
  <c r="AI376" i="13"/>
  <c r="AR376" i="13" s="1"/>
  <c r="AI377" i="13"/>
  <c r="AR377" i="13" s="1"/>
  <c r="AI378" i="13"/>
  <c r="AR378" i="13" s="1"/>
  <c r="AI379" i="13"/>
  <c r="AR379" i="13" s="1"/>
  <c r="AI380" i="13"/>
  <c r="AR380" i="13" s="1"/>
  <c r="AI381" i="13"/>
  <c r="AR381" i="13" s="1"/>
  <c r="AI382" i="13"/>
  <c r="AR382" i="13" s="1"/>
  <c r="AI383" i="13"/>
  <c r="AR383" i="13" s="1"/>
  <c r="AI384" i="13"/>
  <c r="AR384" i="13" s="1"/>
  <c r="AI385" i="13"/>
  <c r="AR385" i="13" s="1"/>
  <c r="AI386" i="13"/>
  <c r="AR386" i="13" s="1"/>
  <c r="AI387" i="13"/>
  <c r="AR387" i="13" s="1"/>
  <c r="AI388" i="13"/>
  <c r="AR388" i="13" s="1"/>
  <c r="AI389" i="13"/>
  <c r="AR389" i="13" s="1"/>
  <c r="AI390" i="13"/>
  <c r="AR390" i="13" s="1"/>
  <c r="AI391" i="13"/>
  <c r="AR391" i="13" s="1"/>
  <c r="AI392" i="13"/>
  <c r="AR392" i="13" s="1"/>
  <c r="AI393" i="13"/>
  <c r="AR393" i="13" s="1"/>
  <c r="AI394" i="13"/>
  <c r="AR394" i="13" s="1"/>
  <c r="AI395" i="13"/>
  <c r="AR395" i="13" s="1"/>
  <c r="AI396" i="13"/>
  <c r="AR396" i="13" s="1"/>
  <c r="AI397" i="13"/>
  <c r="AR397" i="13" s="1"/>
  <c r="AI398" i="13"/>
  <c r="AR398" i="13" s="1"/>
  <c r="AI399" i="13"/>
  <c r="AR399" i="13" s="1"/>
  <c r="AI400" i="13"/>
  <c r="AR400" i="13" s="1"/>
  <c r="AI401" i="13"/>
  <c r="AR401" i="13" s="1"/>
  <c r="AI402" i="13"/>
  <c r="AR402" i="13" s="1"/>
  <c r="AI403" i="13"/>
  <c r="AR403" i="13" s="1"/>
  <c r="AI404" i="13"/>
  <c r="AR404" i="13" s="1"/>
  <c r="AI405" i="13"/>
  <c r="AR405" i="13" s="1"/>
  <c r="AI406" i="13"/>
  <c r="AR406" i="13" s="1"/>
  <c r="AI407" i="13"/>
  <c r="AR407" i="13" s="1"/>
  <c r="AI408" i="13"/>
  <c r="AR408" i="13" s="1"/>
  <c r="AI409" i="13"/>
  <c r="AR409" i="13" s="1"/>
  <c r="AI410" i="13"/>
  <c r="AR410" i="13" s="1"/>
  <c r="AI411" i="13"/>
  <c r="AR411" i="13" s="1"/>
  <c r="AI412" i="13"/>
  <c r="AR412" i="13" s="1"/>
  <c r="AI413" i="13"/>
  <c r="AR413" i="13" s="1"/>
  <c r="AI414" i="13"/>
  <c r="AR414" i="13" s="1"/>
  <c r="AI415" i="13"/>
  <c r="AR415" i="13" s="1"/>
  <c r="AI416" i="13"/>
  <c r="AR416" i="13" s="1"/>
  <c r="AI417" i="13"/>
  <c r="AR417" i="13" s="1"/>
  <c r="AI418" i="13"/>
  <c r="AR418" i="13" s="1"/>
  <c r="AI419" i="13"/>
  <c r="AR419" i="13" s="1"/>
  <c r="AI420" i="13"/>
  <c r="AR420" i="13" s="1"/>
  <c r="AI421" i="13"/>
  <c r="AR421" i="13" s="1"/>
  <c r="AI422" i="13"/>
  <c r="AR422" i="13" s="1"/>
  <c r="AI423" i="13"/>
  <c r="AR423" i="13" s="1"/>
  <c r="AI424" i="13"/>
  <c r="AR424" i="13" s="1"/>
  <c r="AI425" i="13"/>
  <c r="AR425" i="13" s="1"/>
  <c r="AI426" i="13"/>
  <c r="AR426" i="13" s="1"/>
  <c r="AI427" i="13"/>
  <c r="AR427" i="13" s="1"/>
  <c r="AI428" i="13"/>
  <c r="AR428" i="13" s="1"/>
  <c r="AI429" i="13"/>
  <c r="AR429" i="13" s="1"/>
  <c r="AI430" i="13"/>
  <c r="AR430" i="13" s="1"/>
  <c r="AI431" i="13"/>
  <c r="AR431" i="13" s="1"/>
  <c r="AI432" i="13"/>
  <c r="AR432" i="13" s="1"/>
  <c r="AI433" i="13"/>
  <c r="AR433" i="13" s="1"/>
  <c r="AI434" i="13"/>
  <c r="AR434" i="13" s="1"/>
  <c r="AI435" i="13"/>
  <c r="AR435" i="13" s="1"/>
  <c r="AI436" i="13"/>
  <c r="AR436" i="13" s="1"/>
  <c r="AI437" i="13"/>
  <c r="AR437" i="13" s="1"/>
  <c r="AI438" i="13"/>
  <c r="AR438" i="13" s="1"/>
  <c r="AI439" i="13"/>
  <c r="AR439" i="13" s="1"/>
  <c r="AI440" i="13"/>
  <c r="AR440" i="13" s="1"/>
  <c r="AI441" i="13"/>
  <c r="AR441" i="13" s="1"/>
  <c r="AI442" i="13"/>
  <c r="AR442" i="13" s="1"/>
  <c r="AI443" i="13"/>
  <c r="AR443" i="13" s="1"/>
  <c r="AI444" i="13"/>
  <c r="AR444" i="13" s="1"/>
  <c r="AI445" i="13"/>
  <c r="AR445" i="13" s="1"/>
  <c r="AI446" i="13"/>
  <c r="AR446" i="13" s="1"/>
  <c r="AI447" i="13"/>
  <c r="AR447" i="13" s="1"/>
  <c r="AI448" i="13"/>
  <c r="AR448" i="13" s="1"/>
  <c r="AI449" i="13"/>
  <c r="AR449" i="13" s="1"/>
  <c r="AI450" i="13"/>
  <c r="AR450" i="13" s="1"/>
  <c r="AI451" i="13"/>
  <c r="AR451" i="13" s="1"/>
  <c r="AI452" i="13"/>
  <c r="AR452" i="13" s="1"/>
  <c r="AI453" i="13"/>
  <c r="AR453" i="13" s="1"/>
  <c r="AI454" i="13"/>
  <c r="AR454" i="13" s="1"/>
  <c r="AI455" i="13"/>
  <c r="AR455" i="13" s="1"/>
  <c r="AI456" i="13"/>
  <c r="AR456" i="13" s="1"/>
  <c r="AI457" i="13"/>
  <c r="AR457" i="13" s="1"/>
  <c r="AI458" i="13"/>
  <c r="AR458" i="13" s="1"/>
  <c r="AI459" i="13"/>
  <c r="AR459" i="13" s="1"/>
  <c r="AI460" i="13"/>
  <c r="AR460" i="13" s="1"/>
  <c r="AI461" i="13"/>
  <c r="AR461" i="13" s="1"/>
  <c r="AI462" i="13"/>
  <c r="AR462" i="13" s="1"/>
  <c r="AI463" i="13"/>
  <c r="AR463" i="13" s="1"/>
  <c r="AI464" i="13"/>
  <c r="AR464" i="13" s="1"/>
  <c r="AI465" i="13"/>
  <c r="AR465" i="13" s="1"/>
  <c r="AI466" i="13"/>
  <c r="AR466" i="13" s="1"/>
  <c r="AI467" i="13"/>
  <c r="AR467" i="13" s="1"/>
  <c r="AI468" i="13"/>
  <c r="AR468" i="13" s="1"/>
  <c r="AI469" i="13"/>
  <c r="AR469" i="13" s="1"/>
  <c r="AI470" i="13"/>
  <c r="AR470" i="13" s="1"/>
  <c r="AI471" i="13"/>
  <c r="AR471" i="13" s="1"/>
  <c r="AI472" i="13"/>
  <c r="AR472" i="13" s="1"/>
  <c r="AI473" i="13"/>
  <c r="AR473" i="13" s="1"/>
  <c r="AI474" i="13"/>
  <c r="AR474" i="13" s="1"/>
  <c r="AI475" i="13"/>
  <c r="AR475" i="13" s="1"/>
  <c r="AI476" i="13"/>
  <c r="AR476" i="13" s="1"/>
  <c r="AI477" i="13"/>
  <c r="AR477" i="13" s="1"/>
  <c r="AI478" i="13"/>
  <c r="AR478" i="13" s="1"/>
  <c r="AI479" i="13"/>
  <c r="AR479" i="13" s="1"/>
  <c r="AI480" i="13"/>
  <c r="AR480" i="13" s="1"/>
  <c r="AI481" i="13"/>
  <c r="AR481" i="13" s="1"/>
  <c r="AI482" i="13"/>
  <c r="AR482" i="13" s="1"/>
  <c r="AI483" i="13"/>
  <c r="AR483" i="13" s="1"/>
  <c r="AI484" i="13"/>
  <c r="AR484" i="13" s="1"/>
  <c r="AI485" i="13"/>
  <c r="AR485" i="13" s="1"/>
  <c r="AI486" i="13"/>
  <c r="AR486" i="13" s="1"/>
  <c r="AI487" i="13"/>
  <c r="AR487" i="13" s="1"/>
  <c r="AI488" i="13"/>
  <c r="AR488" i="13" s="1"/>
  <c r="AI489" i="13"/>
  <c r="AR489" i="13" s="1"/>
  <c r="AI490" i="13"/>
  <c r="AR490" i="13" s="1"/>
  <c r="AI491" i="13"/>
  <c r="AR491" i="13" s="1"/>
  <c r="AI492" i="13"/>
  <c r="AR492" i="13" s="1"/>
  <c r="AI493" i="13"/>
  <c r="AR493" i="13" s="1"/>
  <c r="AI494" i="13"/>
  <c r="AR494" i="13" s="1"/>
  <c r="AI495" i="13"/>
  <c r="AR495" i="13" s="1"/>
  <c r="AI496" i="13"/>
  <c r="AR496" i="13" s="1"/>
  <c r="AI497" i="13"/>
  <c r="AR497" i="13" s="1"/>
  <c r="AI498" i="13"/>
  <c r="AR498" i="13" s="1"/>
  <c r="AI499" i="13"/>
  <c r="AR499" i="13" s="1"/>
  <c r="AI500" i="13"/>
  <c r="AR500" i="13" s="1"/>
  <c r="AI501" i="13"/>
  <c r="AR501" i="13" s="1"/>
  <c r="AI502" i="13"/>
  <c r="AR502" i="13" s="1"/>
  <c r="AI503" i="13"/>
  <c r="AR503" i="13" s="1"/>
  <c r="AI504" i="13"/>
  <c r="AR504" i="13" s="1"/>
  <c r="AI505" i="13"/>
  <c r="AR505" i="13" s="1"/>
  <c r="AI506" i="13"/>
  <c r="AR506" i="13" s="1"/>
  <c r="AI507" i="13"/>
  <c r="AR507" i="13" s="1"/>
  <c r="AI508" i="13"/>
  <c r="AR508" i="13" s="1"/>
  <c r="AI509" i="13"/>
  <c r="AR509" i="13" s="1"/>
  <c r="AI510" i="13"/>
  <c r="AR510" i="13" s="1"/>
  <c r="AI511" i="13"/>
  <c r="AR511" i="13" s="1"/>
  <c r="AI512" i="13"/>
  <c r="AR512" i="13" s="1"/>
  <c r="AI513" i="13"/>
  <c r="AR513" i="13" s="1"/>
  <c r="AI514" i="13"/>
  <c r="AR514" i="13" s="1"/>
  <c r="AI515" i="13"/>
  <c r="AR515" i="13" s="1"/>
  <c r="AI516" i="13"/>
  <c r="AR516" i="13" s="1"/>
  <c r="AI517" i="13"/>
  <c r="AR517" i="13" s="1"/>
  <c r="AI518" i="13"/>
  <c r="AR518" i="13" s="1"/>
  <c r="AI519" i="13"/>
  <c r="AR519" i="13" s="1"/>
  <c r="AI520" i="13"/>
  <c r="AR520" i="13" s="1"/>
  <c r="AI521" i="13"/>
  <c r="AR521" i="13" s="1"/>
  <c r="AI522" i="13"/>
  <c r="AR522" i="13" s="1"/>
  <c r="AI523" i="13"/>
  <c r="AR523" i="13" s="1"/>
  <c r="AI524" i="13"/>
  <c r="AR524" i="13" s="1"/>
  <c r="AI525" i="13"/>
  <c r="AR525" i="13" s="1"/>
  <c r="AI526" i="13"/>
  <c r="AR526" i="13" s="1"/>
  <c r="AI527" i="13"/>
  <c r="AR527" i="13" s="1"/>
  <c r="AI528" i="13"/>
  <c r="AR528" i="13" s="1"/>
  <c r="AI529" i="13"/>
  <c r="AR529" i="13" s="1"/>
  <c r="AI530" i="13"/>
  <c r="AR530" i="13" s="1"/>
  <c r="AI531" i="13"/>
  <c r="AR531" i="13" s="1"/>
  <c r="AI532" i="13"/>
  <c r="AR532" i="13" s="1"/>
  <c r="AI533" i="13"/>
  <c r="AR533" i="13" s="1"/>
  <c r="AI534" i="13"/>
  <c r="AR534" i="13" s="1"/>
  <c r="AI535" i="13"/>
  <c r="AR535" i="13" s="1"/>
  <c r="AI536" i="13"/>
  <c r="AR536" i="13" s="1"/>
  <c r="AI537" i="13"/>
  <c r="AR537" i="13" s="1"/>
  <c r="AI538" i="13"/>
  <c r="AR538" i="13" s="1"/>
  <c r="AI539" i="13"/>
  <c r="AR539" i="13" s="1"/>
  <c r="AI540" i="13"/>
  <c r="AR540" i="13" s="1"/>
  <c r="AI541" i="13"/>
  <c r="AR541" i="13" s="1"/>
  <c r="AI542" i="13"/>
  <c r="AR542" i="13" s="1"/>
  <c r="AI543" i="13"/>
  <c r="AR543" i="13" s="1"/>
  <c r="AI544" i="13"/>
  <c r="AR544" i="13" s="1"/>
  <c r="AI545" i="13"/>
  <c r="AR545" i="13" s="1"/>
  <c r="AI546" i="13"/>
  <c r="AR546" i="13" s="1"/>
  <c r="AI547" i="13"/>
  <c r="AR547" i="13" s="1"/>
  <c r="AI548" i="13"/>
  <c r="AR548" i="13" s="1"/>
  <c r="AI549" i="13"/>
  <c r="AR549" i="13" s="1"/>
  <c r="AI550" i="13"/>
  <c r="AR550" i="13" s="1"/>
  <c r="AI551" i="13"/>
  <c r="AR551" i="13" s="1"/>
  <c r="AI552" i="13"/>
  <c r="AR552" i="13" s="1"/>
  <c r="AH3" i="13"/>
  <c r="AQ3" i="13" s="1"/>
  <c r="AH4" i="13"/>
  <c r="AQ4" i="13" s="1"/>
  <c r="AH5" i="13"/>
  <c r="AQ5" i="13" s="1"/>
  <c r="AH6" i="13"/>
  <c r="AQ6" i="13" s="1"/>
  <c r="AH7" i="13"/>
  <c r="AQ7" i="13" s="1"/>
  <c r="AH8" i="13"/>
  <c r="AQ8" i="13" s="1"/>
  <c r="AH9" i="13"/>
  <c r="AQ9" i="13" s="1"/>
  <c r="AH10" i="13"/>
  <c r="AQ10" i="13" s="1"/>
  <c r="AH11" i="13"/>
  <c r="AQ11" i="13" s="1"/>
  <c r="AH12" i="13"/>
  <c r="AQ12" i="13" s="1"/>
  <c r="AH13" i="13"/>
  <c r="AQ13" i="13" s="1"/>
  <c r="AH14" i="13"/>
  <c r="AQ14" i="13" s="1"/>
  <c r="AH15" i="13"/>
  <c r="AQ15" i="13" s="1"/>
  <c r="AH16" i="13"/>
  <c r="AQ16" i="13" s="1"/>
  <c r="AH17" i="13"/>
  <c r="AQ17" i="13" s="1"/>
  <c r="AH18" i="13"/>
  <c r="AQ18" i="13" s="1"/>
  <c r="AH19" i="13"/>
  <c r="AQ19" i="13" s="1"/>
  <c r="AH20" i="13"/>
  <c r="AQ20" i="13" s="1"/>
  <c r="AH21" i="13"/>
  <c r="AQ21" i="13" s="1"/>
  <c r="AH22" i="13"/>
  <c r="AQ22" i="13" s="1"/>
  <c r="AH23" i="13"/>
  <c r="AQ23" i="13" s="1"/>
  <c r="AH24" i="13"/>
  <c r="AQ24" i="13" s="1"/>
  <c r="AH25" i="13"/>
  <c r="AQ25" i="13" s="1"/>
  <c r="AH26" i="13"/>
  <c r="AQ26" i="13" s="1"/>
  <c r="AH27" i="13"/>
  <c r="AQ27" i="13" s="1"/>
  <c r="AH28" i="13"/>
  <c r="AQ28" i="13" s="1"/>
  <c r="AH29" i="13"/>
  <c r="AQ29" i="13" s="1"/>
  <c r="AH30" i="13"/>
  <c r="AQ30" i="13" s="1"/>
  <c r="AH31" i="13"/>
  <c r="AQ31" i="13" s="1"/>
  <c r="AH32" i="13"/>
  <c r="AQ32" i="13" s="1"/>
  <c r="AH33" i="13"/>
  <c r="AQ33" i="13" s="1"/>
  <c r="AH34" i="13"/>
  <c r="AQ34" i="13" s="1"/>
  <c r="AH35" i="13"/>
  <c r="AQ35" i="13" s="1"/>
  <c r="AH36" i="13"/>
  <c r="AQ36" i="13" s="1"/>
  <c r="AH37" i="13"/>
  <c r="AQ37" i="13" s="1"/>
  <c r="AH38" i="13"/>
  <c r="AQ38" i="13" s="1"/>
  <c r="AH39" i="13"/>
  <c r="AQ39" i="13" s="1"/>
  <c r="AH40" i="13"/>
  <c r="AQ40" i="13" s="1"/>
  <c r="AH41" i="13"/>
  <c r="AQ41" i="13" s="1"/>
  <c r="AH42" i="13"/>
  <c r="AQ42" i="13" s="1"/>
  <c r="AH43" i="13"/>
  <c r="AQ43" i="13" s="1"/>
  <c r="AH44" i="13"/>
  <c r="AQ44" i="13" s="1"/>
  <c r="AH45" i="13"/>
  <c r="AQ45" i="13" s="1"/>
  <c r="AH46" i="13"/>
  <c r="AQ46" i="13" s="1"/>
  <c r="AH47" i="13"/>
  <c r="AQ47" i="13" s="1"/>
  <c r="AH48" i="13"/>
  <c r="AQ48" i="13" s="1"/>
  <c r="AH49" i="13"/>
  <c r="AQ49" i="13" s="1"/>
  <c r="AH50" i="13"/>
  <c r="AQ50" i="13" s="1"/>
  <c r="AH51" i="13"/>
  <c r="AQ51" i="13" s="1"/>
  <c r="AH52" i="13"/>
  <c r="AQ52" i="13" s="1"/>
  <c r="AH53" i="13"/>
  <c r="AQ53" i="13" s="1"/>
  <c r="AH54" i="13"/>
  <c r="AQ54" i="13" s="1"/>
  <c r="AH55" i="13"/>
  <c r="AQ55" i="13" s="1"/>
  <c r="AH56" i="13"/>
  <c r="AQ56" i="13" s="1"/>
  <c r="AH57" i="13"/>
  <c r="AQ57" i="13" s="1"/>
  <c r="AH58" i="13"/>
  <c r="AQ58" i="13" s="1"/>
  <c r="AH59" i="13"/>
  <c r="AQ59" i="13" s="1"/>
  <c r="AH60" i="13"/>
  <c r="AQ60" i="13" s="1"/>
  <c r="AH61" i="13"/>
  <c r="AQ61" i="13" s="1"/>
  <c r="AH62" i="13"/>
  <c r="AQ62" i="13" s="1"/>
  <c r="AH63" i="13"/>
  <c r="AQ63" i="13" s="1"/>
  <c r="AH64" i="13"/>
  <c r="AQ64" i="13" s="1"/>
  <c r="AH65" i="13"/>
  <c r="AQ65" i="13" s="1"/>
  <c r="AH66" i="13"/>
  <c r="AQ66" i="13" s="1"/>
  <c r="AH67" i="13"/>
  <c r="AQ67" i="13" s="1"/>
  <c r="AH68" i="13"/>
  <c r="AQ68" i="13" s="1"/>
  <c r="AH69" i="13"/>
  <c r="AQ69" i="13" s="1"/>
  <c r="AH70" i="13"/>
  <c r="AQ70" i="13" s="1"/>
  <c r="AH71" i="13"/>
  <c r="AQ71" i="13" s="1"/>
  <c r="AH72" i="13"/>
  <c r="AQ72" i="13" s="1"/>
  <c r="AH73" i="13"/>
  <c r="AQ73" i="13" s="1"/>
  <c r="AH74" i="13"/>
  <c r="AQ74" i="13" s="1"/>
  <c r="AH75" i="13"/>
  <c r="AQ75" i="13" s="1"/>
  <c r="AH76" i="13"/>
  <c r="AQ76" i="13" s="1"/>
  <c r="AH77" i="13"/>
  <c r="AQ77" i="13" s="1"/>
  <c r="AH78" i="13"/>
  <c r="AQ78" i="13" s="1"/>
  <c r="AH79" i="13"/>
  <c r="AQ79" i="13" s="1"/>
  <c r="AH80" i="13"/>
  <c r="AQ80" i="13" s="1"/>
  <c r="AH81" i="13"/>
  <c r="AQ81" i="13" s="1"/>
  <c r="AH82" i="13"/>
  <c r="AQ82" i="13" s="1"/>
  <c r="AH83" i="13"/>
  <c r="AQ83" i="13" s="1"/>
  <c r="AH84" i="13"/>
  <c r="AQ84" i="13" s="1"/>
  <c r="AH85" i="13"/>
  <c r="AQ85" i="13" s="1"/>
  <c r="AH86" i="13"/>
  <c r="AQ86" i="13" s="1"/>
  <c r="AH87" i="13"/>
  <c r="AQ87" i="13" s="1"/>
  <c r="AH88" i="13"/>
  <c r="AQ88" i="13" s="1"/>
  <c r="AH89" i="13"/>
  <c r="AQ89" i="13" s="1"/>
  <c r="AH90" i="13"/>
  <c r="AQ90" i="13" s="1"/>
  <c r="AH91" i="13"/>
  <c r="AQ91" i="13" s="1"/>
  <c r="AH92" i="13"/>
  <c r="AQ92" i="13" s="1"/>
  <c r="AH93" i="13"/>
  <c r="AQ93" i="13" s="1"/>
  <c r="AH94" i="13"/>
  <c r="AQ94" i="13" s="1"/>
  <c r="AH95" i="13"/>
  <c r="AQ95" i="13" s="1"/>
  <c r="AH96" i="13"/>
  <c r="AQ96" i="13" s="1"/>
  <c r="AH97" i="13"/>
  <c r="AQ97" i="13" s="1"/>
  <c r="AH98" i="13"/>
  <c r="AQ98" i="13" s="1"/>
  <c r="AH99" i="13"/>
  <c r="AQ99" i="13" s="1"/>
  <c r="AH100" i="13"/>
  <c r="AQ100" i="13" s="1"/>
  <c r="AH101" i="13"/>
  <c r="AQ101" i="13" s="1"/>
  <c r="AH102" i="13"/>
  <c r="AQ102" i="13" s="1"/>
  <c r="AH103" i="13"/>
  <c r="AQ103" i="13" s="1"/>
  <c r="AH104" i="13"/>
  <c r="AQ104" i="13" s="1"/>
  <c r="AH105" i="13"/>
  <c r="AQ105" i="13" s="1"/>
  <c r="AH106" i="13"/>
  <c r="AQ106" i="13" s="1"/>
  <c r="AH107" i="13"/>
  <c r="AQ107" i="13" s="1"/>
  <c r="AH108" i="13"/>
  <c r="AQ108" i="13" s="1"/>
  <c r="AH109" i="13"/>
  <c r="AQ109" i="13" s="1"/>
  <c r="AH110" i="13"/>
  <c r="AQ110" i="13" s="1"/>
  <c r="AH111" i="13"/>
  <c r="AQ111" i="13" s="1"/>
  <c r="AH112" i="13"/>
  <c r="AQ112" i="13" s="1"/>
  <c r="AH113" i="13"/>
  <c r="AQ113" i="13" s="1"/>
  <c r="AH114" i="13"/>
  <c r="AQ114" i="13" s="1"/>
  <c r="AH115" i="13"/>
  <c r="AQ115" i="13" s="1"/>
  <c r="AH116" i="13"/>
  <c r="AQ116" i="13" s="1"/>
  <c r="AH117" i="13"/>
  <c r="AQ117" i="13" s="1"/>
  <c r="AH118" i="13"/>
  <c r="AQ118" i="13" s="1"/>
  <c r="AH119" i="13"/>
  <c r="AQ119" i="13" s="1"/>
  <c r="AH120" i="13"/>
  <c r="AQ120" i="13" s="1"/>
  <c r="AH121" i="13"/>
  <c r="AQ121" i="13" s="1"/>
  <c r="AH122" i="13"/>
  <c r="AQ122" i="13" s="1"/>
  <c r="AH123" i="13"/>
  <c r="AQ123" i="13" s="1"/>
  <c r="AH124" i="13"/>
  <c r="AQ124" i="13" s="1"/>
  <c r="AH125" i="13"/>
  <c r="AQ125" i="13" s="1"/>
  <c r="AH126" i="13"/>
  <c r="AQ126" i="13" s="1"/>
  <c r="AH127" i="13"/>
  <c r="AQ127" i="13" s="1"/>
  <c r="AH128" i="13"/>
  <c r="AQ128" i="13" s="1"/>
  <c r="AH129" i="13"/>
  <c r="AQ129" i="13" s="1"/>
  <c r="AH130" i="13"/>
  <c r="AQ130" i="13" s="1"/>
  <c r="AH131" i="13"/>
  <c r="AQ131" i="13" s="1"/>
  <c r="AH132" i="13"/>
  <c r="AQ132" i="13" s="1"/>
  <c r="AH133" i="13"/>
  <c r="AQ133" i="13" s="1"/>
  <c r="AH134" i="13"/>
  <c r="AQ134" i="13" s="1"/>
  <c r="AH135" i="13"/>
  <c r="AQ135" i="13" s="1"/>
  <c r="AH136" i="13"/>
  <c r="AQ136" i="13" s="1"/>
  <c r="AH137" i="13"/>
  <c r="AQ137" i="13" s="1"/>
  <c r="AH138" i="13"/>
  <c r="AQ138" i="13" s="1"/>
  <c r="AH139" i="13"/>
  <c r="AQ139" i="13" s="1"/>
  <c r="AH140" i="13"/>
  <c r="AQ140" i="13" s="1"/>
  <c r="AH141" i="13"/>
  <c r="AQ141" i="13" s="1"/>
  <c r="AH142" i="13"/>
  <c r="AQ142" i="13" s="1"/>
  <c r="AH143" i="13"/>
  <c r="AQ143" i="13" s="1"/>
  <c r="AH144" i="13"/>
  <c r="AQ144" i="13" s="1"/>
  <c r="AH145" i="13"/>
  <c r="AQ145" i="13" s="1"/>
  <c r="AH146" i="13"/>
  <c r="AQ146" i="13" s="1"/>
  <c r="AH147" i="13"/>
  <c r="AQ147" i="13" s="1"/>
  <c r="AH148" i="13"/>
  <c r="AQ148" i="13" s="1"/>
  <c r="AH149" i="13"/>
  <c r="AQ149" i="13" s="1"/>
  <c r="AH150" i="13"/>
  <c r="AQ150" i="13" s="1"/>
  <c r="AH151" i="13"/>
  <c r="AQ151" i="13" s="1"/>
  <c r="AH152" i="13"/>
  <c r="AQ152" i="13" s="1"/>
  <c r="AH153" i="13"/>
  <c r="AQ153" i="13" s="1"/>
  <c r="AH154" i="13"/>
  <c r="AQ154" i="13" s="1"/>
  <c r="AH155" i="13"/>
  <c r="AQ155" i="13" s="1"/>
  <c r="AH156" i="13"/>
  <c r="AQ156" i="13" s="1"/>
  <c r="AH157" i="13"/>
  <c r="AQ157" i="13" s="1"/>
  <c r="AH158" i="13"/>
  <c r="AQ158" i="13" s="1"/>
  <c r="AH159" i="13"/>
  <c r="AQ159" i="13" s="1"/>
  <c r="AH160" i="13"/>
  <c r="AQ160" i="13" s="1"/>
  <c r="AH161" i="13"/>
  <c r="AQ161" i="13" s="1"/>
  <c r="AH162" i="13"/>
  <c r="AQ162" i="13" s="1"/>
  <c r="AH163" i="13"/>
  <c r="AQ163" i="13" s="1"/>
  <c r="AH164" i="13"/>
  <c r="AQ164" i="13" s="1"/>
  <c r="AH165" i="13"/>
  <c r="AQ165" i="13" s="1"/>
  <c r="AH166" i="13"/>
  <c r="AQ166" i="13" s="1"/>
  <c r="AH167" i="13"/>
  <c r="AQ167" i="13" s="1"/>
  <c r="AH168" i="13"/>
  <c r="AQ168" i="13" s="1"/>
  <c r="AH169" i="13"/>
  <c r="AQ169" i="13" s="1"/>
  <c r="AH170" i="13"/>
  <c r="AQ170" i="13" s="1"/>
  <c r="AH171" i="13"/>
  <c r="AQ171" i="13" s="1"/>
  <c r="AH172" i="13"/>
  <c r="AQ172" i="13" s="1"/>
  <c r="AH173" i="13"/>
  <c r="AQ173" i="13" s="1"/>
  <c r="AH174" i="13"/>
  <c r="AQ174" i="13" s="1"/>
  <c r="AH175" i="13"/>
  <c r="AQ175" i="13" s="1"/>
  <c r="AH176" i="13"/>
  <c r="AQ176" i="13" s="1"/>
  <c r="AH177" i="13"/>
  <c r="AQ177" i="13" s="1"/>
  <c r="AH178" i="13"/>
  <c r="AQ178" i="13" s="1"/>
  <c r="AH179" i="13"/>
  <c r="AQ179" i="13" s="1"/>
  <c r="AH180" i="13"/>
  <c r="AQ180" i="13" s="1"/>
  <c r="AH181" i="13"/>
  <c r="AQ181" i="13" s="1"/>
  <c r="AH182" i="13"/>
  <c r="AQ182" i="13" s="1"/>
  <c r="AH183" i="13"/>
  <c r="AQ183" i="13" s="1"/>
  <c r="AH184" i="13"/>
  <c r="AQ184" i="13" s="1"/>
  <c r="AH185" i="13"/>
  <c r="AQ185" i="13" s="1"/>
  <c r="AH186" i="13"/>
  <c r="AQ186" i="13" s="1"/>
  <c r="AH187" i="13"/>
  <c r="AQ187" i="13" s="1"/>
  <c r="AH188" i="13"/>
  <c r="AQ188" i="13" s="1"/>
  <c r="AH189" i="13"/>
  <c r="AQ189" i="13" s="1"/>
  <c r="AH190" i="13"/>
  <c r="AQ190" i="13" s="1"/>
  <c r="AH191" i="13"/>
  <c r="AQ191" i="13" s="1"/>
  <c r="AH192" i="13"/>
  <c r="AQ192" i="13" s="1"/>
  <c r="AH193" i="13"/>
  <c r="AQ193" i="13" s="1"/>
  <c r="AH194" i="13"/>
  <c r="AQ194" i="13" s="1"/>
  <c r="AH195" i="13"/>
  <c r="AQ195" i="13" s="1"/>
  <c r="AH196" i="13"/>
  <c r="AQ196" i="13" s="1"/>
  <c r="AH197" i="13"/>
  <c r="AQ197" i="13" s="1"/>
  <c r="AH198" i="13"/>
  <c r="AQ198" i="13" s="1"/>
  <c r="AH199" i="13"/>
  <c r="AQ199" i="13" s="1"/>
  <c r="AH200" i="13"/>
  <c r="AQ200" i="13" s="1"/>
  <c r="AH201" i="13"/>
  <c r="AQ201" i="13" s="1"/>
  <c r="AH202" i="13"/>
  <c r="AQ202" i="13" s="1"/>
  <c r="AH203" i="13"/>
  <c r="AQ203" i="13" s="1"/>
  <c r="AH204" i="13"/>
  <c r="AQ204" i="13" s="1"/>
  <c r="AH205" i="13"/>
  <c r="AQ205" i="13" s="1"/>
  <c r="AH206" i="13"/>
  <c r="AQ206" i="13" s="1"/>
  <c r="AH207" i="13"/>
  <c r="AQ207" i="13" s="1"/>
  <c r="AH208" i="13"/>
  <c r="AQ208" i="13" s="1"/>
  <c r="AH209" i="13"/>
  <c r="AQ209" i="13" s="1"/>
  <c r="AH210" i="13"/>
  <c r="AQ210" i="13" s="1"/>
  <c r="AH211" i="13"/>
  <c r="AQ211" i="13" s="1"/>
  <c r="AH212" i="13"/>
  <c r="AQ212" i="13" s="1"/>
  <c r="AH213" i="13"/>
  <c r="AQ213" i="13" s="1"/>
  <c r="AH214" i="13"/>
  <c r="AQ214" i="13" s="1"/>
  <c r="AH215" i="13"/>
  <c r="AQ215" i="13" s="1"/>
  <c r="AH216" i="13"/>
  <c r="AQ216" i="13" s="1"/>
  <c r="AH217" i="13"/>
  <c r="AQ217" i="13" s="1"/>
  <c r="AH218" i="13"/>
  <c r="AQ218" i="13" s="1"/>
  <c r="AH219" i="13"/>
  <c r="AQ219" i="13" s="1"/>
  <c r="AH220" i="13"/>
  <c r="AQ220" i="13" s="1"/>
  <c r="AH221" i="13"/>
  <c r="AQ221" i="13" s="1"/>
  <c r="AH222" i="13"/>
  <c r="AQ222" i="13" s="1"/>
  <c r="AH223" i="13"/>
  <c r="AQ223" i="13" s="1"/>
  <c r="AH224" i="13"/>
  <c r="AQ224" i="13" s="1"/>
  <c r="AH225" i="13"/>
  <c r="AQ225" i="13" s="1"/>
  <c r="AH226" i="13"/>
  <c r="AQ226" i="13" s="1"/>
  <c r="AH227" i="13"/>
  <c r="AQ227" i="13" s="1"/>
  <c r="AH228" i="13"/>
  <c r="AQ228" i="13" s="1"/>
  <c r="AH229" i="13"/>
  <c r="AQ229" i="13" s="1"/>
  <c r="AH230" i="13"/>
  <c r="AQ230" i="13" s="1"/>
  <c r="AH231" i="13"/>
  <c r="AQ231" i="13" s="1"/>
  <c r="AH232" i="13"/>
  <c r="AQ232" i="13" s="1"/>
  <c r="AH233" i="13"/>
  <c r="AQ233" i="13" s="1"/>
  <c r="AH234" i="13"/>
  <c r="AQ234" i="13" s="1"/>
  <c r="AH235" i="13"/>
  <c r="AQ235" i="13" s="1"/>
  <c r="AH236" i="13"/>
  <c r="AQ236" i="13" s="1"/>
  <c r="AH237" i="13"/>
  <c r="AQ237" i="13" s="1"/>
  <c r="AH238" i="13"/>
  <c r="AQ238" i="13" s="1"/>
  <c r="AH239" i="13"/>
  <c r="AQ239" i="13" s="1"/>
  <c r="AH240" i="13"/>
  <c r="AQ240" i="13" s="1"/>
  <c r="AH241" i="13"/>
  <c r="AQ241" i="13" s="1"/>
  <c r="AH242" i="13"/>
  <c r="AQ242" i="13" s="1"/>
  <c r="AH243" i="13"/>
  <c r="AQ243" i="13" s="1"/>
  <c r="AH244" i="13"/>
  <c r="AQ244" i="13" s="1"/>
  <c r="AH245" i="13"/>
  <c r="AQ245" i="13" s="1"/>
  <c r="AH246" i="13"/>
  <c r="AQ246" i="13" s="1"/>
  <c r="AH247" i="13"/>
  <c r="AQ247" i="13" s="1"/>
  <c r="AH248" i="13"/>
  <c r="AQ248" i="13" s="1"/>
  <c r="AH249" i="13"/>
  <c r="AQ249" i="13" s="1"/>
  <c r="AH250" i="13"/>
  <c r="AQ250" i="13" s="1"/>
  <c r="AH251" i="13"/>
  <c r="AQ251" i="13" s="1"/>
  <c r="AH252" i="13"/>
  <c r="AQ252" i="13" s="1"/>
  <c r="AH253" i="13"/>
  <c r="AQ253" i="13" s="1"/>
  <c r="AH254" i="13"/>
  <c r="AQ254" i="13" s="1"/>
  <c r="AH255" i="13"/>
  <c r="AQ255" i="13" s="1"/>
  <c r="AH256" i="13"/>
  <c r="AQ256" i="13" s="1"/>
  <c r="AH257" i="13"/>
  <c r="AQ257" i="13" s="1"/>
  <c r="AH258" i="13"/>
  <c r="AQ258" i="13" s="1"/>
  <c r="AH259" i="13"/>
  <c r="AQ259" i="13" s="1"/>
  <c r="AH260" i="13"/>
  <c r="AQ260" i="13" s="1"/>
  <c r="AH261" i="13"/>
  <c r="AQ261" i="13" s="1"/>
  <c r="AH262" i="13"/>
  <c r="AQ262" i="13" s="1"/>
  <c r="AH263" i="13"/>
  <c r="AQ263" i="13" s="1"/>
  <c r="AH264" i="13"/>
  <c r="AQ264" i="13" s="1"/>
  <c r="AH265" i="13"/>
  <c r="AQ265" i="13" s="1"/>
  <c r="AH266" i="13"/>
  <c r="AQ266" i="13" s="1"/>
  <c r="AH267" i="13"/>
  <c r="AQ267" i="13" s="1"/>
  <c r="AH268" i="13"/>
  <c r="AQ268" i="13" s="1"/>
  <c r="AH269" i="13"/>
  <c r="AQ269" i="13" s="1"/>
  <c r="AH270" i="13"/>
  <c r="AQ270" i="13" s="1"/>
  <c r="AH271" i="13"/>
  <c r="AQ271" i="13" s="1"/>
  <c r="AH272" i="13"/>
  <c r="AQ272" i="13" s="1"/>
  <c r="AH273" i="13"/>
  <c r="AQ273" i="13" s="1"/>
  <c r="AH274" i="13"/>
  <c r="AQ274" i="13" s="1"/>
  <c r="AH275" i="13"/>
  <c r="AQ275" i="13" s="1"/>
  <c r="AH276" i="13"/>
  <c r="AQ276" i="13" s="1"/>
  <c r="AH277" i="13"/>
  <c r="AQ277" i="13" s="1"/>
  <c r="AH278" i="13"/>
  <c r="AQ278" i="13" s="1"/>
  <c r="AH279" i="13"/>
  <c r="AQ279" i="13" s="1"/>
  <c r="AH280" i="13"/>
  <c r="AQ280" i="13" s="1"/>
  <c r="AH281" i="13"/>
  <c r="AQ281" i="13" s="1"/>
  <c r="AH282" i="13"/>
  <c r="AQ282" i="13" s="1"/>
  <c r="AH283" i="13"/>
  <c r="AQ283" i="13" s="1"/>
  <c r="AH284" i="13"/>
  <c r="AQ284" i="13" s="1"/>
  <c r="AH285" i="13"/>
  <c r="AQ285" i="13" s="1"/>
  <c r="AH286" i="13"/>
  <c r="AQ286" i="13" s="1"/>
  <c r="AH287" i="13"/>
  <c r="AQ287" i="13" s="1"/>
  <c r="AH288" i="13"/>
  <c r="AQ288" i="13" s="1"/>
  <c r="AH289" i="13"/>
  <c r="AQ289" i="13" s="1"/>
  <c r="AH290" i="13"/>
  <c r="AQ290" i="13" s="1"/>
  <c r="AH291" i="13"/>
  <c r="AQ291" i="13" s="1"/>
  <c r="AH292" i="13"/>
  <c r="AQ292" i="13" s="1"/>
  <c r="AH293" i="13"/>
  <c r="AQ293" i="13" s="1"/>
  <c r="AH294" i="13"/>
  <c r="AQ294" i="13" s="1"/>
  <c r="AH295" i="13"/>
  <c r="AQ295" i="13" s="1"/>
  <c r="AH296" i="13"/>
  <c r="AQ296" i="13" s="1"/>
  <c r="AH297" i="13"/>
  <c r="AQ297" i="13" s="1"/>
  <c r="AH298" i="13"/>
  <c r="AQ298" i="13" s="1"/>
  <c r="AH299" i="13"/>
  <c r="AQ299" i="13" s="1"/>
  <c r="AH300" i="13"/>
  <c r="AQ300" i="13" s="1"/>
  <c r="AH301" i="13"/>
  <c r="AQ301" i="13" s="1"/>
  <c r="AH302" i="13"/>
  <c r="AQ302" i="13" s="1"/>
  <c r="AH303" i="13"/>
  <c r="AQ303" i="13" s="1"/>
  <c r="AH304" i="13"/>
  <c r="AQ304" i="13" s="1"/>
  <c r="AH305" i="13"/>
  <c r="AQ305" i="13" s="1"/>
  <c r="AH306" i="13"/>
  <c r="AQ306" i="13" s="1"/>
  <c r="AH307" i="13"/>
  <c r="AQ307" i="13" s="1"/>
  <c r="AH308" i="13"/>
  <c r="AQ308" i="13" s="1"/>
  <c r="AH309" i="13"/>
  <c r="AQ309" i="13" s="1"/>
  <c r="AH310" i="13"/>
  <c r="AQ310" i="13" s="1"/>
  <c r="AH311" i="13"/>
  <c r="AQ311" i="13" s="1"/>
  <c r="AH312" i="13"/>
  <c r="AQ312" i="13" s="1"/>
  <c r="AH313" i="13"/>
  <c r="AQ313" i="13" s="1"/>
  <c r="AH314" i="13"/>
  <c r="AQ314" i="13" s="1"/>
  <c r="AH315" i="13"/>
  <c r="AQ315" i="13" s="1"/>
  <c r="AH316" i="13"/>
  <c r="AQ316" i="13" s="1"/>
  <c r="AH317" i="13"/>
  <c r="AQ317" i="13" s="1"/>
  <c r="AH318" i="13"/>
  <c r="AQ318" i="13" s="1"/>
  <c r="AH319" i="13"/>
  <c r="AQ319" i="13" s="1"/>
  <c r="AH320" i="13"/>
  <c r="AQ320" i="13" s="1"/>
  <c r="AH321" i="13"/>
  <c r="AQ321" i="13" s="1"/>
  <c r="AH322" i="13"/>
  <c r="AQ322" i="13" s="1"/>
  <c r="AH323" i="13"/>
  <c r="AQ323" i="13" s="1"/>
  <c r="AH324" i="13"/>
  <c r="AQ324" i="13" s="1"/>
  <c r="AH325" i="13"/>
  <c r="AQ325" i="13" s="1"/>
  <c r="AH326" i="13"/>
  <c r="AQ326" i="13" s="1"/>
  <c r="AH327" i="13"/>
  <c r="AQ327" i="13" s="1"/>
  <c r="AH328" i="13"/>
  <c r="AQ328" i="13" s="1"/>
  <c r="AH329" i="13"/>
  <c r="AQ329" i="13" s="1"/>
  <c r="AH330" i="13"/>
  <c r="AQ330" i="13" s="1"/>
  <c r="AH331" i="13"/>
  <c r="AQ331" i="13" s="1"/>
  <c r="AH332" i="13"/>
  <c r="AQ332" i="13" s="1"/>
  <c r="AH333" i="13"/>
  <c r="AQ333" i="13" s="1"/>
  <c r="AH334" i="13"/>
  <c r="AQ334" i="13" s="1"/>
  <c r="AH335" i="13"/>
  <c r="AQ335" i="13" s="1"/>
  <c r="AH336" i="13"/>
  <c r="AQ336" i="13" s="1"/>
  <c r="AH337" i="13"/>
  <c r="AQ337" i="13" s="1"/>
  <c r="AH338" i="13"/>
  <c r="AQ338" i="13" s="1"/>
  <c r="AH339" i="13"/>
  <c r="AQ339" i="13" s="1"/>
  <c r="AH340" i="13"/>
  <c r="AQ340" i="13" s="1"/>
  <c r="AH341" i="13"/>
  <c r="AQ341" i="13" s="1"/>
  <c r="AH342" i="13"/>
  <c r="AQ342" i="13" s="1"/>
  <c r="AH343" i="13"/>
  <c r="AQ343" i="13" s="1"/>
  <c r="AH344" i="13"/>
  <c r="AQ344" i="13" s="1"/>
  <c r="AH345" i="13"/>
  <c r="AQ345" i="13" s="1"/>
  <c r="AH346" i="13"/>
  <c r="AQ346" i="13" s="1"/>
  <c r="AH347" i="13"/>
  <c r="AQ347" i="13" s="1"/>
  <c r="AH348" i="13"/>
  <c r="AQ348" i="13" s="1"/>
  <c r="AH349" i="13"/>
  <c r="AQ349" i="13" s="1"/>
  <c r="AH350" i="13"/>
  <c r="AQ350" i="13" s="1"/>
  <c r="AH351" i="13"/>
  <c r="AQ351" i="13" s="1"/>
  <c r="AH352" i="13"/>
  <c r="AQ352" i="13" s="1"/>
  <c r="AH353" i="13"/>
  <c r="AQ353" i="13" s="1"/>
  <c r="AH354" i="13"/>
  <c r="AQ354" i="13" s="1"/>
  <c r="AH355" i="13"/>
  <c r="AQ355" i="13" s="1"/>
  <c r="AH356" i="13"/>
  <c r="AQ356" i="13" s="1"/>
  <c r="AH357" i="13"/>
  <c r="AQ357" i="13" s="1"/>
  <c r="AH358" i="13"/>
  <c r="AQ358" i="13" s="1"/>
  <c r="AH359" i="13"/>
  <c r="AQ359" i="13" s="1"/>
  <c r="AH360" i="13"/>
  <c r="AQ360" i="13" s="1"/>
  <c r="AH361" i="13"/>
  <c r="AQ361" i="13" s="1"/>
  <c r="AH362" i="13"/>
  <c r="AQ362" i="13" s="1"/>
  <c r="AH363" i="13"/>
  <c r="AQ363" i="13" s="1"/>
  <c r="AH364" i="13"/>
  <c r="AQ364" i="13" s="1"/>
  <c r="AH365" i="13"/>
  <c r="AQ365" i="13" s="1"/>
  <c r="AH366" i="13"/>
  <c r="AQ366" i="13" s="1"/>
  <c r="AH367" i="13"/>
  <c r="AQ367" i="13" s="1"/>
  <c r="AH368" i="13"/>
  <c r="AQ368" i="13" s="1"/>
  <c r="AH369" i="13"/>
  <c r="AQ369" i="13" s="1"/>
  <c r="AH370" i="13"/>
  <c r="AQ370" i="13" s="1"/>
  <c r="AH371" i="13"/>
  <c r="AQ371" i="13" s="1"/>
  <c r="AH372" i="13"/>
  <c r="AQ372" i="13" s="1"/>
  <c r="AH373" i="13"/>
  <c r="AQ373" i="13" s="1"/>
  <c r="AH374" i="13"/>
  <c r="AQ374" i="13" s="1"/>
  <c r="AH375" i="13"/>
  <c r="AQ375" i="13" s="1"/>
  <c r="AH376" i="13"/>
  <c r="AQ376" i="13" s="1"/>
  <c r="AH377" i="13"/>
  <c r="AQ377" i="13" s="1"/>
  <c r="AH378" i="13"/>
  <c r="AQ378" i="13" s="1"/>
  <c r="AH379" i="13"/>
  <c r="AQ379" i="13" s="1"/>
  <c r="AH380" i="13"/>
  <c r="AQ380" i="13" s="1"/>
  <c r="AH381" i="13"/>
  <c r="AQ381" i="13" s="1"/>
  <c r="AH382" i="13"/>
  <c r="AQ382" i="13" s="1"/>
  <c r="AH383" i="13"/>
  <c r="AQ383" i="13" s="1"/>
  <c r="AH384" i="13"/>
  <c r="AQ384" i="13" s="1"/>
  <c r="AH385" i="13"/>
  <c r="AQ385" i="13" s="1"/>
  <c r="AH386" i="13"/>
  <c r="AQ386" i="13" s="1"/>
  <c r="AH387" i="13"/>
  <c r="AQ387" i="13" s="1"/>
  <c r="AH388" i="13"/>
  <c r="AQ388" i="13" s="1"/>
  <c r="AH389" i="13"/>
  <c r="AQ389" i="13" s="1"/>
  <c r="AH390" i="13"/>
  <c r="AQ390" i="13" s="1"/>
  <c r="AH391" i="13"/>
  <c r="AQ391" i="13" s="1"/>
  <c r="AH392" i="13"/>
  <c r="AQ392" i="13" s="1"/>
  <c r="AH393" i="13"/>
  <c r="AQ393" i="13" s="1"/>
  <c r="AH394" i="13"/>
  <c r="AQ394" i="13" s="1"/>
  <c r="AH395" i="13"/>
  <c r="AQ395" i="13" s="1"/>
  <c r="AH396" i="13"/>
  <c r="AQ396" i="13" s="1"/>
  <c r="AH397" i="13"/>
  <c r="AQ397" i="13" s="1"/>
  <c r="AH398" i="13"/>
  <c r="AQ398" i="13" s="1"/>
  <c r="AH399" i="13"/>
  <c r="AQ399" i="13" s="1"/>
  <c r="AH400" i="13"/>
  <c r="AQ400" i="13" s="1"/>
  <c r="AH401" i="13"/>
  <c r="AQ401" i="13" s="1"/>
  <c r="AH402" i="13"/>
  <c r="AQ402" i="13" s="1"/>
  <c r="AH403" i="13"/>
  <c r="AQ403" i="13" s="1"/>
  <c r="AH404" i="13"/>
  <c r="AQ404" i="13" s="1"/>
  <c r="AH405" i="13"/>
  <c r="AQ405" i="13" s="1"/>
  <c r="AH406" i="13"/>
  <c r="AQ406" i="13" s="1"/>
  <c r="AH407" i="13"/>
  <c r="AQ407" i="13" s="1"/>
  <c r="AH408" i="13"/>
  <c r="AQ408" i="13" s="1"/>
  <c r="AH409" i="13"/>
  <c r="AQ409" i="13" s="1"/>
  <c r="AH410" i="13"/>
  <c r="AQ410" i="13" s="1"/>
  <c r="AH411" i="13"/>
  <c r="AQ411" i="13" s="1"/>
  <c r="AH412" i="13"/>
  <c r="AQ412" i="13" s="1"/>
  <c r="AH413" i="13"/>
  <c r="AQ413" i="13" s="1"/>
  <c r="AH414" i="13"/>
  <c r="AQ414" i="13" s="1"/>
  <c r="AH415" i="13"/>
  <c r="AQ415" i="13" s="1"/>
  <c r="AH416" i="13"/>
  <c r="AQ416" i="13" s="1"/>
  <c r="AH417" i="13"/>
  <c r="AQ417" i="13" s="1"/>
  <c r="AH418" i="13"/>
  <c r="AQ418" i="13" s="1"/>
  <c r="AH419" i="13"/>
  <c r="AQ419" i="13" s="1"/>
  <c r="AH420" i="13"/>
  <c r="AQ420" i="13" s="1"/>
  <c r="AH421" i="13"/>
  <c r="AQ421" i="13" s="1"/>
  <c r="AH422" i="13"/>
  <c r="AQ422" i="13" s="1"/>
  <c r="AH423" i="13"/>
  <c r="AQ423" i="13" s="1"/>
  <c r="AH424" i="13"/>
  <c r="AQ424" i="13" s="1"/>
  <c r="AH425" i="13"/>
  <c r="AQ425" i="13" s="1"/>
  <c r="AH426" i="13"/>
  <c r="AQ426" i="13" s="1"/>
  <c r="AH427" i="13"/>
  <c r="AQ427" i="13" s="1"/>
  <c r="AH428" i="13"/>
  <c r="AQ428" i="13" s="1"/>
  <c r="AH429" i="13"/>
  <c r="AQ429" i="13" s="1"/>
  <c r="AH430" i="13"/>
  <c r="AQ430" i="13" s="1"/>
  <c r="AH431" i="13"/>
  <c r="AQ431" i="13" s="1"/>
  <c r="AH432" i="13"/>
  <c r="AQ432" i="13" s="1"/>
  <c r="AH433" i="13"/>
  <c r="AQ433" i="13" s="1"/>
  <c r="AH434" i="13"/>
  <c r="AQ434" i="13" s="1"/>
  <c r="AH435" i="13"/>
  <c r="AQ435" i="13" s="1"/>
  <c r="AH436" i="13"/>
  <c r="AQ436" i="13" s="1"/>
  <c r="AH437" i="13"/>
  <c r="AQ437" i="13" s="1"/>
  <c r="AH438" i="13"/>
  <c r="AQ438" i="13" s="1"/>
  <c r="AH439" i="13"/>
  <c r="AQ439" i="13" s="1"/>
  <c r="AH440" i="13"/>
  <c r="AQ440" i="13" s="1"/>
  <c r="AH441" i="13"/>
  <c r="AQ441" i="13" s="1"/>
  <c r="AH442" i="13"/>
  <c r="AQ442" i="13" s="1"/>
  <c r="AH443" i="13"/>
  <c r="AQ443" i="13" s="1"/>
  <c r="AH444" i="13"/>
  <c r="AQ444" i="13" s="1"/>
  <c r="AH445" i="13"/>
  <c r="AQ445" i="13" s="1"/>
  <c r="AH446" i="13"/>
  <c r="AQ446" i="13" s="1"/>
  <c r="AH447" i="13"/>
  <c r="AQ447" i="13" s="1"/>
  <c r="AH448" i="13"/>
  <c r="AQ448" i="13" s="1"/>
  <c r="AH449" i="13"/>
  <c r="AQ449" i="13" s="1"/>
  <c r="AH450" i="13"/>
  <c r="AQ450" i="13" s="1"/>
  <c r="AH451" i="13"/>
  <c r="AQ451" i="13" s="1"/>
  <c r="AH452" i="13"/>
  <c r="AQ452" i="13" s="1"/>
  <c r="AH453" i="13"/>
  <c r="AQ453" i="13" s="1"/>
  <c r="AH454" i="13"/>
  <c r="AQ454" i="13" s="1"/>
  <c r="AH455" i="13"/>
  <c r="AQ455" i="13" s="1"/>
  <c r="AH456" i="13"/>
  <c r="AQ456" i="13" s="1"/>
  <c r="AH457" i="13"/>
  <c r="AQ457" i="13" s="1"/>
  <c r="AH458" i="13"/>
  <c r="AQ458" i="13" s="1"/>
  <c r="AH459" i="13"/>
  <c r="AQ459" i="13" s="1"/>
  <c r="AH460" i="13"/>
  <c r="AQ460" i="13" s="1"/>
  <c r="AH461" i="13"/>
  <c r="AQ461" i="13" s="1"/>
  <c r="AH462" i="13"/>
  <c r="AQ462" i="13" s="1"/>
  <c r="AH463" i="13"/>
  <c r="AQ463" i="13" s="1"/>
  <c r="AH464" i="13"/>
  <c r="AQ464" i="13" s="1"/>
  <c r="AH465" i="13"/>
  <c r="AQ465" i="13" s="1"/>
  <c r="AH466" i="13"/>
  <c r="AQ466" i="13" s="1"/>
  <c r="AH467" i="13"/>
  <c r="AQ467" i="13" s="1"/>
  <c r="AH468" i="13"/>
  <c r="AQ468" i="13" s="1"/>
  <c r="AH469" i="13"/>
  <c r="AQ469" i="13" s="1"/>
  <c r="AH470" i="13"/>
  <c r="AQ470" i="13" s="1"/>
  <c r="AH471" i="13"/>
  <c r="AQ471" i="13" s="1"/>
  <c r="AH472" i="13"/>
  <c r="AQ472" i="13" s="1"/>
  <c r="AH473" i="13"/>
  <c r="AQ473" i="13" s="1"/>
  <c r="AH474" i="13"/>
  <c r="AQ474" i="13" s="1"/>
  <c r="AH475" i="13"/>
  <c r="AQ475" i="13" s="1"/>
  <c r="AH476" i="13"/>
  <c r="AQ476" i="13" s="1"/>
  <c r="AH477" i="13"/>
  <c r="AQ477" i="13" s="1"/>
  <c r="AH478" i="13"/>
  <c r="AQ478" i="13" s="1"/>
  <c r="AH479" i="13"/>
  <c r="AQ479" i="13" s="1"/>
  <c r="AH480" i="13"/>
  <c r="AQ480" i="13" s="1"/>
  <c r="AH481" i="13"/>
  <c r="AQ481" i="13" s="1"/>
  <c r="AH482" i="13"/>
  <c r="AQ482" i="13" s="1"/>
  <c r="AH483" i="13"/>
  <c r="AQ483" i="13" s="1"/>
  <c r="AH484" i="13"/>
  <c r="AQ484" i="13" s="1"/>
  <c r="AH485" i="13"/>
  <c r="AQ485" i="13" s="1"/>
  <c r="AH486" i="13"/>
  <c r="AQ486" i="13" s="1"/>
  <c r="AH487" i="13"/>
  <c r="AQ487" i="13" s="1"/>
  <c r="AH488" i="13"/>
  <c r="AQ488" i="13" s="1"/>
  <c r="AH489" i="13"/>
  <c r="AQ489" i="13" s="1"/>
  <c r="AH490" i="13"/>
  <c r="AQ490" i="13" s="1"/>
  <c r="AH491" i="13"/>
  <c r="AQ491" i="13" s="1"/>
  <c r="AH492" i="13"/>
  <c r="AQ492" i="13" s="1"/>
  <c r="AH493" i="13"/>
  <c r="AQ493" i="13" s="1"/>
  <c r="AH494" i="13"/>
  <c r="AQ494" i="13" s="1"/>
  <c r="AH495" i="13"/>
  <c r="AQ495" i="13" s="1"/>
  <c r="AH496" i="13"/>
  <c r="AQ496" i="13" s="1"/>
  <c r="AH497" i="13"/>
  <c r="AQ497" i="13" s="1"/>
  <c r="AH498" i="13"/>
  <c r="AQ498" i="13" s="1"/>
  <c r="AH499" i="13"/>
  <c r="AQ499" i="13" s="1"/>
  <c r="AH500" i="13"/>
  <c r="AQ500" i="13" s="1"/>
  <c r="AH501" i="13"/>
  <c r="AQ501" i="13" s="1"/>
  <c r="AH502" i="13"/>
  <c r="AQ502" i="13" s="1"/>
  <c r="AH503" i="13"/>
  <c r="AQ503" i="13" s="1"/>
  <c r="AH504" i="13"/>
  <c r="AQ504" i="13" s="1"/>
  <c r="AH505" i="13"/>
  <c r="AQ505" i="13" s="1"/>
  <c r="AH506" i="13"/>
  <c r="AQ506" i="13" s="1"/>
  <c r="AH507" i="13"/>
  <c r="AQ507" i="13" s="1"/>
  <c r="AH508" i="13"/>
  <c r="AQ508" i="13" s="1"/>
  <c r="AH509" i="13"/>
  <c r="AQ509" i="13" s="1"/>
  <c r="AH510" i="13"/>
  <c r="AQ510" i="13" s="1"/>
  <c r="AH511" i="13"/>
  <c r="AQ511" i="13" s="1"/>
  <c r="AH512" i="13"/>
  <c r="AQ512" i="13" s="1"/>
  <c r="AH513" i="13"/>
  <c r="AQ513" i="13" s="1"/>
  <c r="AH514" i="13"/>
  <c r="AQ514" i="13" s="1"/>
  <c r="AH515" i="13"/>
  <c r="AQ515" i="13" s="1"/>
  <c r="AH516" i="13"/>
  <c r="AQ516" i="13" s="1"/>
  <c r="AH517" i="13"/>
  <c r="AQ517" i="13" s="1"/>
  <c r="AH518" i="13"/>
  <c r="AQ518" i="13" s="1"/>
  <c r="AH519" i="13"/>
  <c r="AQ519" i="13" s="1"/>
  <c r="AH520" i="13"/>
  <c r="AQ520" i="13" s="1"/>
  <c r="AH521" i="13"/>
  <c r="AQ521" i="13" s="1"/>
  <c r="AH522" i="13"/>
  <c r="AQ522" i="13" s="1"/>
  <c r="AH523" i="13"/>
  <c r="AQ523" i="13" s="1"/>
  <c r="AH524" i="13"/>
  <c r="AQ524" i="13" s="1"/>
  <c r="AH525" i="13"/>
  <c r="AQ525" i="13" s="1"/>
  <c r="AH526" i="13"/>
  <c r="AQ526" i="13" s="1"/>
  <c r="AH527" i="13"/>
  <c r="AQ527" i="13" s="1"/>
  <c r="AH528" i="13"/>
  <c r="AQ528" i="13" s="1"/>
  <c r="AH529" i="13"/>
  <c r="AQ529" i="13" s="1"/>
  <c r="AH530" i="13"/>
  <c r="AQ530" i="13" s="1"/>
  <c r="AH531" i="13"/>
  <c r="AQ531" i="13" s="1"/>
  <c r="AH532" i="13"/>
  <c r="AQ532" i="13" s="1"/>
  <c r="AH533" i="13"/>
  <c r="AQ533" i="13" s="1"/>
  <c r="AH534" i="13"/>
  <c r="AQ534" i="13" s="1"/>
  <c r="AH535" i="13"/>
  <c r="AQ535" i="13" s="1"/>
  <c r="AH536" i="13"/>
  <c r="AQ536" i="13" s="1"/>
  <c r="AH537" i="13"/>
  <c r="AQ537" i="13" s="1"/>
  <c r="AH538" i="13"/>
  <c r="AQ538" i="13" s="1"/>
  <c r="AH539" i="13"/>
  <c r="AQ539" i="13" s="1"/>
  <c r="AH540" i="13"/>
  <c r="AQ540" i="13" s="1"/>
  <c r="AH541" i="13"/>
  <c r="AQ541" i="13" s="1"/>
  <c r="AH542" i="13"/>
  <c r="AQ542" i="13" s="1"/>
  <c r="AH543" i="13"/>
  <c r="AQ543" i="13" s="1"/>
  <c r="AH544" i="13"/>
  <c r="AQ544" i="13" s="1"/>
  <c r="AH545" i="13"/>
  <c r="AQ545" i="13" s="1"/>
  <c r="AH546" i="13"/>
  <c r="AQ546" i="13" s="1"/>
  <c r="AH547" i="13"/>
  <c r="AQ547" i="13" s="1"/>
  <c r="AH548" i="13"/>
  <c r="AQ548" i="13" s="1"/>
  <c r="AH549" i="13"/>
  <c r="AQ549" i="13" s="1"/>
  <c r="AH550" i="13"/>
  <c r="AQ550" i="13" s="1"/>
  <c r="AH551" i="13"/>
  <c r="AQ551" i="13" s="1"/>
  <c r="AH552" i="13"/>
  <c r="AQ552" i="13" s="1"/>
  <c r="AG3" i="13"/>
  <c r="AP3" i="13" s="1"/>
  <c r="AG4" i="13"/>
  <c r="AP4" i="13" s="1"/>
  <c r="AG5" i="13"/>
  <c r="AP5" i="13" s="1"/>
  <c r="AG6" i="13"/>
  <c r="AP6" i="13" s="1"/>
  <c r="AG7" i="13"/>
  <c r="AP7" i="13" s="1"/>
  <c r="AG8" i="13"/>
  <c r="AP8" i="13" s="1"/>
  <c r="AG9" i="13"/>
  <c r="AP9" i="13" s="1"/>
  <c r="AG10" i="13"/>
  <c r="AP10" i="13" s="1"/>
  <c r="AG11" i="13"/>
  <c r="AP11" i="13" s="1"/>
  <c r="AG12" i="13"/>
  <c r="AP12" i="13" s="1"/>
  <c r="AG13" i="13"/>
  <c r="AP13" i="13" s="1"/>
  <c r="AG14" i="13"/>
  <c r="AP14" i="13" s="1"/>
  <c r="AG15" i="13"/>
  <c r="AP15" i="13" s="1"/>
  <c r="AG16" i="13"/>
  <c r="AP16" i="13" s="1"/>
  <c r="AG17" i="13"/>
  <c r="AP17" i="13" s="1"/>
  <c r="AG18" i="13"/>
  <c r="AP18" i="13" s="1"/>
  <c r="AG19" i="13"/>
  <c r="AP19" i="13" s="1"/>
  <c r="AG20" i="13"/>
  <c r="AP20" i="13" s="1"/>
  <c r="AG21" i="13"/>
  <c r="AP21" i="13" s="1"/>
  <c r="AG22" i="13"/>
  <c r="AP22" i="13" s="1"/>
  <c r="AG23" i="13"/>
  <c r="AP23" i="13" s="1"/>
  <c r="AG24" i="13"/>
  <c r="AP24" i="13" s="1"/>
  <c r="AG25" i="13"/>
  <c r="AP25" i="13" s="1"/>
  <c r="AG26" i="13"/>
  <c r="AP26" i="13" s="1"/>
  <c r="AG27" i="13"/>
  <c r="AP27" i="13" s="1"/>
  <c r="AG28" i="13"/>
  <c r="AP28" i="13" s="1"/>
  <c r="AG29" i="13"/>
  <c r="AP29" i="13" s="1"/>
  <c r="AG30" i="13"/>
  <c r="AP30" i="13" s="1"/>
  <c r="AG31" i="13"/>
  <c r="AP31" i="13" s="1"/>
  <c r="AG32" i="13"/>
  <c r="AP32" i="13" s="1"/>
  <c r="AG33" i="13"/>
  <c r="AP33" i="13" s="1"/>
  <c r="AG34" i="13"/>
  <c r="AP34" i="13" s="1"/>
  <c r="AG35" i="13"/>
  <c r="AP35" i="13" s="1"/>
  <c r="AG36" i="13"/>
  <c r="AP36" i="13" s="1"/>
  <c r="AG37" i="13"/>
  <c r="AP37" i="13" s="1"/>
  <c r="AG38" i="13"/>
  <c r="AP38" i="13" s="1"/>
  <c r="AG39" i="13"/>
  <c r="AP39" i="13" s="1"/>
  <c r="AG40" i="13"/>
  <c r="AP40" i="13" s="1"/>
  <c r="AG41" i="13"/>
  <c r="AP41" i="13" s="1"/>
  <c r="AG42" i="13"/>
  <c r="AP42" i="13" s="1"/>
  <c r="AG43" i="13"/>
  <c r="AP43" i="13" s="1"/>
  <c r="AG44" i="13"/>
  <c r="AP44" i="13" s="1"/>
  <c r="AG45" i="13"/>
  <c r="AP45" i="13" s="1"/>
  <c r="AG46" i="13"/>
  <c r="AP46" i="13" s="1"/>
  <c r="AG47" i="13"/>
  <c r="AP47" i="13" s="1"/>
  <c r="AG48" i="13"/>
  <c r="AP48" i="13" s="1"/>
  <c r="AG49" i="13"/>
  <c r="AP49" i="13" s="1"/>
  <c r="AG50" i="13"/>
  <c r="AP50" i="13" s="1"/>
  <c r="AG51" i="13"/>
  <c r="AP51" i="13" s="1"/>
  <c r="AG52" i="13"/>
  <c r="AP52" i="13" s="1"/>
  <c r="AG53" i="13"/>
  <c r="AP53" i="13" s="1"/>
  <c r="AG54" i="13"/>
  <c r="AP54" i="13" s="1"/>
  <c r="AG55" i="13"/>
  <c r="AP55" i="13" s="1"/>
  <c r="AG56" i="13"/>
  <c r="AP56" i="13" s="1"/>
  <c r="AG57" i="13"/>
  <c r="AP57" i="13" s="1"/>
  <c r="AG58" i="13"/>
  <c r="AP58" i="13" s="1"/>
  <c r="AG59" i="13"/>
  <c r="AP59" i="13" s="1"/>
  <c r="AG60" i="13"/>
  <c r="AP60" i="13" s="1"/>
  <c r="AG61" i="13"/>
  <c r="AP61" i="13" s="1"/>
  <c r="AG62" i="13"/>
  <c r="AP62" i="13" s="1"/>
  <c r="AG63" i="13"/>
  <c r="AP63" i="13" s="1"/>
  <c r="AG64" i="13"/>
  <c r="AP64" i="13" s="1"/>
  <c r="AG65" i="13"/>
  <c r="AP65" i="13" s="1"/>
  <c r="AG66" i="13"/>
  <c r="AP66" i="13" s="1"/>
  <c r="AG67" i="13"/>
  <c r="AP67" i="13" s="1"/>
  <c r="AG68" i="13"/>
  <c r="AP68" i="13" s="1"/>
  <c r="AG69" i="13"/>
  <c r="AP69" i="13" s="1"/>
  <c r="AG70" i="13"/>
  <c r="AP70" i="13" s="1"/>
  <c r="AG71" i="13"/>
  <c r="AP71" i="13" s="1"/>
  <c r="AG72" i="13"/>
  <c r="AP72" i="13" s="1"/>
  <c r="AG73" i="13"/>
  <c r="AP73" i="13" s="1"/>
  <c r="AG74" i="13"/>
  <c r="AP74" i="13" s="1"/>
  <c r="AG75" i="13"/>
  <c r="AP75" i="13" s="1"/>
  <c r="AG76" i="13"/>
  <c r="AP76" i="13" s="1"/>
  <c r="AG77" i="13"/>
  <c r="AP77" i="13" s="1"/>
  <c r="AG78" i="13"/>
  <c r="AP78" i="13" s="1"/>
  <c r="AG79" i="13"/>
  <c r="AP79" i="13" s="1"/>
  <c r="AG80" i="13"/>
  <c r="AP80" i="13" s="1"/>
  <c r="AG81" i="13"/>
  <c r="AP81" i="13" s="1"/>
  <c r="AG82" i="13"/>
  <c r="AP82" i="13" s="1"/>
  <c r="AG83" i="13"/>
  <c r="AP83" i="13" s="1"/>
  <c r="AG84" i="13"/>
  <c r="AP84" i="13" s="1"/>
  <c r="AG85" i="13"/>
  <c r="AP85" i="13" s="1"/>
  <c r="AG86" i="13"/>
  <c r="AP86" i="13" s="1"/>
  <c r="AG87" i="13"/>
  <c r="AP87" i="13" s="1"/>
  <c r="AG88" i="13"/>
  <c r="AP88" i="13" s="1"/>
  <c r="AG89" i="13"/>
  <c r="AP89" i="13" s="1"/>
  <c r="AG90" i="13"/>
  <c r="AP90" i="13" s="1"/>
  <c r="AG91" i="13"/>
  <c r="AP91" i="13" s="1"/>
  <c r="AG92" i="13"/>
  <c r="AP92" i="13" s="1"/>
  <c r="AG93" i="13"/>
  <c r="AP93" i="13" s="1"/>
  <c r="AG94" i="13"/>
  <c r="AP94" i="13" s="1"/>
  <c r="AG95" i="13"/>
  <c r="AP95" i="13" s="1"/>
  <c r="AG96" i="13"/>
  <c r="AP96" i="13" s="1"/>
  <c r="AG97" i="13"/>
  <c r="AP97" i="13" s="1"/>
  <c r="AG98" i="13"/>
  <c r="AP98" i="13" s="1"/>
  <c r="AG99" i="13"/>
  <c r="AP99" i="13" s="1"/>
  <c r="AG100" i="13"/>
  <c r="AP100" i="13" s="1"/>
  <c r="AG101" i="13"/>
  <c r="AP101" i="13" s="1"/>
  <c r="AG102" i="13"/>
  <c r="AP102" i="13" s="1"/>
  <c r="AG103" i="13"/>
  <c r="AP103" i="13" s="1"/>
  <c r="AG104" i="13"/>
  <c r="AP104" i="13" s="1"/>
  <c r="AG105" i="13"/>
  <c r="AP105" i="13" s="1"/>
  <c r="AG106" i="13"/>
  <c r="AP106" i="13" s="1"/>
  <c r="AG107" i="13"/>
  <c r="AP107" i="13" s="1"/>
  <c r="AG108" i="13"/>
  <c r="AP108" i="13" s="1"/>
  <c r="AG109" i="13"/>
  <c r="AP109" i="13" s="1"/>
  <c r="AG110" i="13"/>
  <c r="AP110" i="13" s="1"/>
  <c r="AG111" i="13"/>
  <c r="AP111" i="13" s="1"/>
  <c r="AG112" i="13"/>
  <c r="AP112" i="13" s="1"/>
  <c r="AG113" i="13"/>
  <c r="AP113" i="13" s="1"/>
  <c r="AG114" i="13"/>
  <c r="AP114" i="13" s="1"/>
  <c r="AG115" i="13"/>
  <c r="AP115" i="13" s="1"/>
  <c r="AG116" i="13"/>
  <c r="AP116" i="13" s="1"/>
  <c r="AG117" i="13"/>
  <c r="AP117" i="13" s="1"/>
  <c r="AG118" i="13"/>
  <c r="AP118" i="13" s="1"/>
  <c r="AG119" i="13"/>
  <c r="AP119" i="13" s="1"/>
  <c r="AG120" i="13"/>
  <c r="AP120" i="13" s="1"/>
  <c r="AG121" i="13"/>
  <c r="AP121" i="13" s="1"/>
  <c r="AG122" i="13"/>
  <c r="AP122" i="13" s="1"/>
  <c r="AG123" i="13"/>
  <c r="AP123" i="13" s="1"/>
  <c r="AG124" i="13"/>
  <c r="AP124" i="13" s="1"/>
  <c r="AG125" i="13"/>
  <c r="AP125" i="13" s="1"/>
  <c r="AG126" i="13"/>
  <c r="AP126" i="13" s="1"/>
  <c r="AG127" i="13"/>
  <c r="AP127" i="13" s="1"/>
  <c r="AG128" i="13"/>
  <c r="AP128" i="13" s="1"/>
  <c r="AG129" i="13"/>
  <c r="AP129" i="13" s="1"/>
  <c r="AG130" i="13"/>
  <c r="AP130" i="13" s="1"/>
  <c r="AG131" i="13"/>
  <c r="AP131" i="13" s="1"/>
  <c r="AG132" i="13"/>
  <c r="AP132" i="13" s="1"/>
  <c r="AG133" i="13"/>
  <c r="AP133" i="13" s="1"/>
  <c r="AG134" i="13"/>
  <c r="AP134" i="13" s="1"/>
  <c r="AG135" i="13"/>
  <c r="AP135" i="13" s="1"/>
  <c r="AG136" i="13"/>
  <c r="AP136" i="13" s="1"/>
  <c r="AG137" i="13"/>
  <c r="AP137" i="13" s="1"/>
  <c r="AG138" i="13"/>
  <c r="AP138" i="13" s="1"/>
  <c r="AG139" i="13"/>
  <c r="AP139" i="13" s="1"/>
  <c r="AG140" i="13"/>
  <c r="AP140" i="13" s="1"/>
  <c r="AG141" i="13"/>
  <c r="AP141" i="13" s="1"/>
  <c r="AG142" i="13"/>
  <c r="AP142" i="13" s="1"/>
  <c r="AG143" i="13"/>
  <c r="AP143" i="13" s="1"/>
  <c r="AG144" i="13"/>
  <c r="AP144" i="13" s="1"/>
  <c r="AG145" i="13"/>
  <c r="AP145" i="13" s="1"/>
  <c r="AG146" i="13"/>
  <c r="AP146" i="13" s="1"/>
  <c r="AG147" i="13"/>
  <c r="AP147" i="13" s="1"/>
  <c r="AG148" i="13"/>
  <c r="AP148" i="13" s="1"/>
  <c r="AG149" i="13"/>
  <c r="AP149" i="13" s="1"/>
  <c r="AG150" i="13"/>
  <c r="AP150" i="13" s="1"/>
  <c r="AG151" i="13"/>
  <c r="AP151" i="13" s="1"/>
  <c r="AG152" i="13"/>
  <c r="AP152" i="13" s="1"/>
  <c r="AG153" i="13"/>
  <c r="AP153" i="13" s="1"/>
  <c r="AG154" i="13"/>
  <c r="AP154" i="13" s="1"/>
  <c r="AG155" i="13"/>
  <c r="AP155" i="13" s="1"/>
  <c r="AG156" i="13"/>
  <c r="AP156" i="13" s="1"/>
  <c r="AG157" i="13"/>
  <c r="AP157" i="13" s="1"/>
  <c r="AG158" i="13"/>
  <c r="AP158" i="13" s="1"/>
  <c r="AG159" i="13"/>
  <c r="AP159" i="13" s="1"/>
  <c r="AG160" i="13"/>
  <c r="AP160" i="13" s="1"/>
  <c r="AG161" i="13"/>
  <c r="AP161" i="13" s="1"/>
  <c r="AG162" i="13"/>
  <c r="AP162" i="13" s="1"/>
  <c r="AG163" i="13"/>
  <c r="AP163" i="13" s="1"/>
  <c r="AG164" i="13"/>
  <c r="AP164" i="13" s="1"/>
  <c r="AG165" i="13"/>
  <c r="AP165" i="13" s="1"/>
  <c r="AG166" i="13"/>
  <c r="AP166" i="13" s="1"/>
  <c r="AG167" i="13"/>
  <c r="AP167" i="13" s="1"/>
  <c r="AG168" i="13"/>
  <c r="AP168" i="13" s="1"/>
  <c r="AG169" i="13"/>
  <c r="AP169" i="13" s="1"/>
  <c r="AG170" i="13"/>
  <c r="AP170" i="13" s="1"/>
  <c r="AG171" i="13"/>
  <c r="AP171" i="13" s="1"/>
  <c r="AG172" i="13"/>
  <c r="AP172" i="13" s="1"/>
  <c r="AG173" i="13"/>
  <c r="AP173" i="13" s="1"/>
  <c r="AG174" i="13"/>
  <c r="AP174" i="13" s="1"/>
  <c r="AG175" i="13"/>
  <c r="AP175" i="13" s="1"/>
  <c r="AG176" i="13"/>
  <c r="AP176" i="13" s="1"/>
  <c r="AG177" i="13"/>
  <c r="AP177" i="13" s="1"/>
  <c r="AG178" i="13"/>
  <c r="AP178" i="13" s="1"/>
  <c r="AG179" i="13"/>
  <c r="AP179" i="13" s="1"/>
  <c r="AG180" i="13"/>
  <c r="AP180" i="13" s="1"/>
  <c r="AG181" i="13"/>
  <c r="AP181" i="13" s="1"/>
  <c r="AG182" i="13"/>
  <c r="AP182" i="13" s="1"/>
  <c r="AG183" i="13"/>
  <c r="AP183" i="13" s="1"/>
  <c r="AG184" i="13"/>
  <c r="AP184" i="13" s="1"/>
  <c r="AG185" i="13"/>
  <c r="AP185" i="13" s="1"/>
  <c r="AG186" i="13"/>
  <c r="AP186" i="13" s="1"/>
  <c r="AG187" i="13"/>
  <c r="AP187" i="13" s="1"/>
  <c r="AG188" i="13"/>
  <c r="AP188" i="13" s="1"/>
  <c r="AG189" i="13"/>
  <c r="AP189" i="13" s="1"/>
  <c r="AG190" i="13"/>
  <c r="AP190" i="13" s="1"/>
  <c r="AG191" i="13"/>
  <c r="AP191" i="13" s="1"/>
  <c r="AG192" i="13"/>
  <c r="AP192" i="13" s="1"/>
  <c r="AG193" i="13"/>
  <c r="AP193" i="13" s="1"/>
  <c r="AG194" i="13"/>
  <c r="AP194" i="13" s="1"/>
  <c r="AG195" i="13"/>
  <c r="AP195" i="13" s="1"/>
  <c r="AG196" i="13"/>
  <c r="AP196" i="13" s="1"/>
  <c r="AG197" i="13"/>
  <c r="AP197" i="13" s="1"/>
  <c r="AG198" i="13"/>
  <c r="AP198" i="13" s="1"/>
  <c r="AG199" i="13"/>
  <c r="AP199" i="13" s="1"/>
  <c r="AG200" i="13"/>
  <c r="AP200" i="13" s="1"/>
  <c r="AG201" i="13"/>
  <c r="AP201" i="13" s="1"/>
  <c r="AG202" i="13"/>
  <c r="AP202" i="13" s="1"/>
  <c r="AG203" i="13"/>
  <c r="AP203" i="13" s="1"/>
  <c r="AG204" i="13"/>
  <c r="AP204" i="13" s="1"/>
  <c r="AG205" i="13"/>
  <c r="AP205" i="13" s="1"/>
  <c r="AG206" i="13"/>
  <c r="AP206" i="13" s="1"/>
  <c r="AG207" i="13"/>
  <c r="AP207" i="13" s="1"/>
  <c r="AG208" i="13"/>
  <c r="AP208" i="13" s="1"/>
  <c r="AG209" i="13"/>
  <c r="AP209" i="13" s="1"/>
  <c r="AG210" i="13"/>
  <c r="AP210" i="13" s="1"/>
  <c r="AG211" i="13"/>
  <c r="AP211" i="13" s="1"/>
  <c r="AG212" i="13"/>
  <c r="AP212" i="13" s="1"/>
  <c r="AG213" i="13"/>
  <c r="AP213" i="13" s="1"/>
  <c r="AG214" i="13"/>
  <c r="AP214" i="13" s="1"/>
  <c r="AG215" i="13"/>
  <c r="AP215" i="13" s="1"/>
  <c r="AG216" i="13"/>
  <c r="AP216" i="13" s="1"/>
  <c r="AG217" i="13"/>
  <c r="AP217" i="13" s="1"/>
  <c r="AG218" i="13"/>
  <c r="AP218" i="13" s="1"/>
  <c r="AG219" i="13"/>
  <c r="AP219" i="13" s="1"/>
  <c r="AG220" i="13"/>
  <c r="AP220" i="13" s="1"/>
  <c r="AG221" i="13"/>
  <c r="AP221" i="13" s="1"/>
  <c r="AG222" i="13"/>
  <c r="AP222" i="13" s="1"/>
  <c r="AG223" i="13"/>
  <c r="AP223" i="13" s="1"/>
  <c r="AG224" i="13"/>
  <c r="AP224" i="13" s="1"/>
  <c r="AG225" i="13"/>
  <c r="AP225" i="13" s="1"/>
  <c r="AG226" i="13"/>
  <c r="AP226" i="13" s="1"/>
  <c r="AG227" i="13"/>
  <c r="AP227" i="13" s="1"/>
  <c r="AG228" i="13"/>
  <c r="AP228" i="13" s="1"/>
  <c r="AG229" i="13"/>
  <c r="AP229" i="13" s="1"/>
  <c r="AG230" i="13"/>
  <c r="AP230" i="13" s="1"/>
  <c r="AG231" i="13"/>
  <c r="AP231" i="13" s="1"/>
  <c r="AG232" i="13"/>
  <c r="AP232" i="13" s="1"/>
  <c r="AG233" i="13"/>
  <c r="AP233" i="13" s="1"/>
  <c r="AG234" i="13"/>
  <c r="AP234" i="13" s="1"/>
  <c r="AG235" i="13"/>
  <c r="AP235" i="13" s="1"/>
  <c r="AG236" i="13"/>
  <c r="AP236" i="13" s="1"/>
  <c r="AG237" i="13"/>
  <c r="AP237" i="13" s="1"/>
  <c r="AG238" i="13"/>
  <c r="AP238" i="13" s="1"/>
  <c r="AG239" i="13"/>
  <c r="AP239" i="13" s="1"/>
  <c r="AG240" i="13"/>
  <c r="AP240" i="13" s="1"/>
  <c r="AG241" i="13"/>
  <c r="AP241" i="13" s="1"/>
  <c r="AG242" i="13"/>
  <c r="AP242" i="13" s="1"/>
  <c r="AG243" i="13"/>
  <c r="AP243" i="13" s="1"/>
  <c r="AG244" i="13"/>
  <c r="AP244" i="13" s="1"/>
  <c r="AG245" i="13"/>
  <c r="AP245" i="13" s="1"/>
  <c r="AG246" i="13"/>
  <c r="AP246" i="13" s="1"/>
  <c r="AG247" i="13"/>
  <c r="AP247" i="13" s="1"/>
  <c r="AG248" i="13"/>
  <c r="AP248" i="13" s="1"/>
  <c r="AG249" i="13"/>
  <c r="AP249" i="13" s="1"/>
  <c r="AG250" i="13"/>
  <c r="AP250" i="13" s="1"/>
  <c r="AG251" i="13"/>
  <c r="AP251" i="13" s="1"/>
  <c r="AG252" i="13"/>
  <c r="AP252" i="13" s="1"/>
  <c r="AG253" i="13"/>
  <c r="AP253" i="13" s="1"/>
  <c r="AG254" i="13"/>
  <c r="AP254" i="13" s="1"/>
  <c r="AG255" i="13"/>
  <c r="AP255" i="13" s="1"/>
  <c r="AG256" i="13"/>
  <c r="AP256" i="13" s="1"/>
  <c r="AG257" i="13"/>
  <c r="AP257" i="13" s="1"/>
  <c r="AG258" i="13"/>
  <c r="AP258" i="13" s="1"/>
  <c r="AG259" i="13"/>
  <c r="AP259" i="13" s="1"/>
  <c r="AG260" i="13"/>
  <c r="AP260" i="13" s="1"/>
  <c r="AG261" i="13"/>
  <c r="AP261" i="13" s="1"/>
  <c r="AG262" i="13"/>
  <c r="AP262" i="13" s="1"/>
  <c r="AG263" i="13"/>
  <c r="AP263" i="13" s="1"/>
  <c r="AG264" i="13"/>
  <c r="AP264" i="13" s="1"/>
  <c r="AG265" i="13"/>
  <c r="AP265" i="13" s="1"/>
  <c r="AG266" i="13"/>
  <c r="AP266" i="13" s="1"/>
  <c r="AG267" i="13"/>
  <c r="AP267" i="13" s="1"/>
  <c r="AG268" i="13"/>
  <c r="AP268" i="13" s="1"/>
  <c r="AG269" i="13"/>
  <c r="AP269" i="13" s="1"/>
  <c r="AG270" i="13"/>
  <c r="AP270" i="13" s="1"/>
  <c r="AG271" i="13"/>
  <c r="AP271" i="13" s="1"/>
  <c r="AG272" i="13"/>
  <c r="AP272" i="13" s="1"/>
  <c r="AG273" i="13"/>
  <c r="AP273" i="13" s="1"/>
  <c r="AG274" i="13"/>
  <c r="AP274" i="13" s="1"/>
  <c r="AG275" i="13"/>
  <c r="AP275" i="13" s="1"/>
  <c r="AG276" i="13"/>
  <c r="AP276" i="13" s="1"/>
  <c r="AG277" i="13"/>
  <c r="AP277" i="13" s="1"/>
  <c r="AG278" i="13"/>
  <c r="AP278" i="13" s="1"/>
  <c r="AG279" i="13"/>
  <c r="AP279" i="13" s="1"/>
  <c r="AG280" i="13"/>
  <c r="AP280" i="13" s="1"/>
  <c r="AG281" i="13"/>
  <c r="AP281" i="13" s="1"/>
  <c r="AG282" i="13"/>
  <c r="AP282" i="13" s="1"/>
  <c r="AG283" i="13"/>
  <c r="AP283" i="13" s="1"/>
  <c r="AG284" i="13"/>
  <c r="AP284" i="13" s="1"/>
  <c r="AG285" i="13"/>
  <c r="AP285" i="13" s="1"/>
  <c r="AG286" i="13"/>
  <c r="AP286" i="13" s="1"/>
  <c r="AG287" i="13"/>
  <c r="AP287" i="13" s="1"/>
  <c r="AG288" i="13"/>
  <c r="AP288" i="13" s="1"/>
  <c r="AG289" i="13"/>
  <c r="AP289" i="13" s="1"/>
  <c r="AG290" i="13"/>
  <c r="AP290" i="13" s="1"/>
  <c r="AG291" i="13"/>
  <c r="AP291" i="13" s="1"/>
  <c r="AG292" i="13"/>
  <c r="AP292" i="13" s="1"/>
  <c r="AG293" i="13"/>
  <c r="AP293" i="13" s="1"/>
  <c r="AG294" i="13"/>
  <c r="AP294" i="13" s="1"/>
  <c r="AG295" i="13"/>
  <c r="AP295" i="13" s="1"/>
  <c r="AG296" i="13"/>
  <c r="AP296" i="13" s="1"/>
  <c r="AG297" i="13"/>
  <c r="AP297" i="13" s="1"/>
  <c r="AG298" i="13"/>
  <c r="AP298" i="13" s="1"/>
  <c r="AG301" i="13"/>
  <c r="AP301" i="13" s="1"/>
  <c r="AG302" i="13"/>
  <c r="AP302" i="13" s="1"/>
  <c r="AG303" i="13"/>
  <c r="AP303" i="13" s="1"/>
  <c r="AG304" i="13"/>
  <c r="AP304" i="13" s="1"/>
  <c r="AG305" i="13"/>
  <c r="AP305" i="13" s="1"/>
  <c r="AG306" i="13"/>
  <c r="AP306" i="13" s="1"/>
  <c r="AG307" i="13"/>
  <c r="AP307" i="13" s="1"/>
  <c r="AG308" i="13"/>
  <c r="AP308" i="13" s="1"/>
  <c r="AG309" i="13"/>
  <c r="AP309" i="13" s="1"/>
  <c r="AG310" i="13"/>
  <c r="AP310" i="13" s="1"/>
  <c r="AG311" i="13"/>
  <c r="AP311" i="13" s="1"/>
  <c r="AG312" i="13"/>
  <c r="AP312" i="13" s="1"/>
  <c r="AG313" i="13"/>
  <c r="AP313" i="13" s="1"/>
  <c r="AG314" i="13"/>
  <c r="AP314" i="13" s="1"/>
  <c r="AG315" i="13"/>
  <c r="AP315" i="13" s="1"/>
  <c r="AG316" i="13"/>
  <c r="AP316" i="13" s="1"/>
  <c r="AG317" i="13"/>
  <c r="AP317" i="13" s="1"/>
  <c r="AG318" i="13"/>
  <c r="AP318" i="13" s="1"/>
  <c r="AG319" i="13"/>
  <c r="AP319" i="13" s="1"/>
  <c r="AG320" i="13"/>
  <c r="AP320" i="13" s="1"/>
  <c r="AG321" i="13"/>
  <c r="AP321" i="13" s="1"/>
  <c r="AG322" i="13"/>
  <c r="AP322" i="13" s="1"/>
  <c r="AG323" i="13"/>
  <c r="AP323" i="13" s="1"/>
  <c r="AG324" i="13"/>
  <c r="AP324" i="13" s="1"/>
  <c r="AG325" i="13"/>
  <c r="AP325" i="13" s="1"/>
  <c r="AG326" i="13"/>
  <c r="AP326" i="13" s="1"/>
  <c r="AG327" i="13"/>
  <c r="AP327" i="13" s="1"/>
  <c r="AG328" i="13"/>
  <c r="AP328" i="13" s="1"/>
  <c r="AG329" i="13"/>
  <c r="AP329" i="13" s="1"/>
  <c r="AG330" i="13"/>
  <c r="AP330" i="13" s="1"/>
  <c r="AG331" i="13"/>
  <c r="AP331" i="13" s="1"/>
  <c r="AG332" i="13"/>
  <c r="AP332" i="13" s="1"/>
  <c r="AG333" i="13"/>
  <c r="AP333" i="13" s="1"/>
  <c r="AG334" i="13"/>
  <c r="AP334" i="13" s="1"/>
  <c r="AG335" i="13"/>
  <c r="AP335" i="13" s="1"/>
  <c r="AG336" i="13"/>
  <c r="AP336" i="13" s="1"/>
  <c r="AG337" i="13"/>
  <c r="AP337" i="13" s="1"/>
  <c r="AG338" i="13"/>
  <c r="AP338" i="13" s="1"/>
  <c r="AG339" i="13"/>
  <c r="AP339" i="13" s="1"/>
  <c r="AG340" i="13"/>
  <c r="AP340" i="13" s="1"/>
  <c r="AG341" i="13"/>
  <c r="AP341" i="13" s="1"/>
  <c r="AG342" i="13"/>
  <c r="AP342" i="13" s="1"/>
  <c r="AG343" i="13"/>
  <c r="AP343" i="13" s="1"/>
  <c r="AG344" i="13"/>
  <c r="AP344" i="13" s="1"/>
  <c r="AG345" i="13"/>
  <c r="AP345" i="13" s="1"/>
  <c r="AG346" i="13"/>
  <c r="AP346" i="13" s="1"/>
  <c r="AG347" i="13"/>
  <c r="AP347" i="13" s="1"/>
  <c r="AG348" i="13"/>
  <c r="AP348" i="13" s="1"/>
  <c r="AG349" i="13"/>
  <c r="AP349" i="13" s="1"/>
  <c r="AG350" i="13"/>
  <c r="AP350" i="13" s="1"/>
  <c r="AG351" i="13"/>
  <c r="AP351" i="13" s="1"/>
  <c r="AG352" i="13"/>
  <c r="AP352" i="13" s="1"/>
  <c r="AG353" i="13"/>
  <c r="AP353" i="13" s="1"/>
  <c r="AG354" i="13"/>
  <c r="AP354" i="13" s="1"/>
  <c r="AG355" i="13"/>
  <c r="AP355" i="13" s="1"/>
  <c r="AG356" i="13"/>
  <c r="AP356" i="13" s="1"/>
  <c r="AG357" i="13"/>
  <c r="AP357" i="13" s="1"/>
  <c r="AG358" i="13"/>
  <c r="AP358" i="13" s="1"/>
  <c r="AG359" i="13"/>
  <c r="AP359" i="13" s="1"/>
  <c r="AG360" i="13"/>
  <c r="AP360" i="13" s="1"/>
  <c r="AG361" i="13"/>
  <c r="AP361" i="13" s="1"/>
  <c r="AG362" i="13"/>
  <c r="AP362" i="13" s="1"/>
  <c r="AG363" i="13"/>
  <c r="AP363" i="13" s="1"/>
  <c r="AG364" i="13"/>
  <c r="AP364" i="13" s="1"/>
  <c r="AG365" i="13"/>
  <c r="AP365" i="13" s="1"/>
  <c r="AG366" i="13"/>
  <c r="AP366" i="13" s="1"/>
  <c r="AG367" i="13"/>
  <c r="AP367" i="13" s="1"/>
  <c r="AG368" i="13"/>
  <c r="AP368" i="13" s="1"/>
  <c r="AG369" i="13"/>
  <c r="AP369" i="13" s="1"/>
  <c r="AG370" i="13"/>
  <c r="AP370" i="13" s="1"/>
  <c r="AG371" i="13"/>
  <c r="AP371" i="13" s="1"/>
  <c r="AG372" i="13"/>
  <c r="AP372" i="13" s="1"/>
  <c r="AG373" i="13"/>
  <c r="AP373" i="13" s="1"/>
  <c r="AG374" i="13"/>
  <c r="AP374" i="13" s="1"/>
  <c r="AG375" i="13"/>
  <c r="AP375" i="13" s="1"/>
  <c r="AG376" i="13"/>
  <c r="AP376" i="13" s="1"/>
  <c r="AG377" i="13"/>
  <c r="AP377" i="13" s="1"/>
  <c r="AG378" i="13"/>
  <c r="AP378" i="13" s="1"/>
  <c r="AG379" i="13"/>
  <c r="AP379" i="13" s="1"/>
  <c r="AG380" i="13"/>
  <c r="AP380" i="13" s="1"/>
  <c r="AG381" i="13"/>
  <c r="AP381" i="13" s="1"/>
  <c r="AG382" i="13"/>
  <c r="AP382" i="13" s="1"/>
  <c r="AG383" i="13"/>
  <c r="AP383" i="13" s="1"/>
  <c r="AG384" i="13"/>
  <c r="AP384" i="13" s="1"/>
  <c r="AG385" i="13"/>
  <c r="AP385" i="13" s="1"/>
  <c r="AG386" i="13"/>
  <c r="AP386" i="13" s="1"/>
  <c r="AG387" i="13"/>
  <c r="AP387" i="13" s="1"/>
  <c r="AG388" i="13"/>
  <c r="AP388" i="13" s="1"/>
  <c r="AG389" i="13"/>
  <c r="AP389" i="13" s="1"/>
  <c r="AG390" i="13"/>
  <c r="AP390" i="13" s="1"/>
  <c r="AG391" i="13"/>
  <c r="AP391" i="13" s="1"/>
  <c r="AG392" i="13"/>
  <c r="AP392" i="13" s="1"/>
  <c r="AG393" i="13"/>
  <c r="AP393" i="13" s="1"/>
  <c r="AG394" i="13"/>
  <c r="AP394" i="13" s="1"/>
  <c r="AG395" i="13"/>
  <c r="AP395" i="13" s="1"/>
  <c r="AG396" i="13"/>
  <c r="AP396" i="13" s="1"/>
  <c r="AG397" i="13"/>
  <c r="AP397" i="13" s="1"/>
  <c r="AG398" i="13"/>
  <c r="AP398" i="13" s="1"/>
  <c r="AG399" i="13"/>
  <c r="AP399" i="13" s="1"/>
  <c r="AG400" i="13"/>
  <c r="AP400" i="13" s="1"/>
  <c r="AG401" i="13"/>
  <c r="AP401" i="13" s="1"/>
  <c r="AG402" i="13"/>
  <c r="AP402" i="13" s="1"/>
  <c r="AG403" i="13"/>
  <c r="AP403" i="13" s="1"/>
  <c r="AG404" i="13"/>
  <c r="AP404" i="13" s="1"/>
  <c r="AG405" i="13"/>
  <c r="AP405" i="13" s="1"/>
  <c r="AG406" i="13"/>
  <c r="AP406" i="13" s="1"/>
  <c r="AG407" i="13"/>
  <c r="AP407" i="13" s="1"/>
  <c r="AG408" i="13"/>
  <c r="AP408" i="13" s="1"/>
  <c r="AG409" i="13"/>
  <c r="AP409" i="13" s="1"/>
  <c r="AG410" i="13"/>
  <c r="AP410" i="13" s="1"/>
  <c r="AG411" i="13"/>
  <c r="AP411" i="13" s="1"/>
  <c r="AG412" i="13"/>
  <c r="AP412" i="13" s="1"/>
  <c r="AG413" i="13"/>
  <c r="AP413" i="13" s="1"/>
  <c r="AG414" i="13"/>
  <c r="AP414" i="13" s="1"/>
  <c r="AG415" i="13"/>
  <c r="AP415" i="13" s="1"/>
  <c r="AG416" i="13"/>
  <c r="AP416" i="13" s="1"/>
  <c r="AG417" i="13"/>
  <c r="AP417" i="13" s="1"/>
  <c r="AG418" i="13"/>
  <c r="AP418" i="13" s="1"/>
  <c r="AG419" i="13"/>
  <c r="AP419" i="13" s="1"/>
  <c r="AG420" i="13"/>
  <c r="AP420" i="13" s="1"/>
  <c r="AG421" i="13"/>
  <c r="AP421" i="13" s="1"/>
  <c r="AG422" i="13"/>
  <c r="AP422" i="13" s="1"/>
  <c r="AG423" i="13"/>
  <c r="AP423" i="13" s="1"/>
  <c r="AG424" i="13"/>
  <c r="AP424" i="13" s="1"/>
  <c r="AG425" i="13"/>
  <c r="AP425" i="13" s="1"/>
  <c r="AG426" i="13"/>
  <c r="AP426" i="13" s="1"/>
  <c r="AG427" i="13"/>
  <c r="AP427" i="13" s="1"/>
  <c r="AG428" i="13"/>
  <c r="AP428" i="13" s="1"/>
  <c r="AG429" i="13"/>
  <c r="AP429" i="13" s="1"/>
  <c r="AG430" i="13"/>
  <c r="AP430" i="13" s="1"/>
  <c r="AG431" i="13"/>
  <c r="AP431" i="13" s="1"/>
  <c r="AG432" i="13"/>
  <c r="AP432" i="13" s="1"/>
  <c r="AG433" i="13"/>
  <c r="AP433" i="13" s="1"/>
  <c r="AG434" i="13"/>
  <c r="AP434" i="13" s="1"/>
  <c r="AG435" i="13"/>
  <c r="AP435" i="13" s="1"/>
  <c r="AG436" i="13"/>
  <c r="AP436" i="13" s="1"/>
  <c r="AG437" i="13"/>
  <c r="AP437" i="13" s="1"/>
  <c r="AG438" i="13"/>
  <c r="AP438" i="13" s="1"/>
  <c r="AG439" i="13"/>
  <c r="AP439" i="13" s="1"/>
  <c r="AG440" i="13"/>
  <c r="AP440" i="13" s="1"/>
  <c r="AG441" i="13"/>
  <c r="AP441" i="13" s="1"/>
  <c r="AG442" i="13"/>
  <c r="AP442" i="13" s="1"/>
  <c r="AG443" i="13"/>
  <c r="AP443" i="13" s="1"/>
  <c r="AG444" i="13"/>
  <c r="AP444" i="13" s="1"/>
  <c r="AG445" i="13"/>
  <c r="AP445" i="13" s="1"/>
  <c r="AG446" i="13"/>
  <c r="AP446" i="13" s="1"/>
  <c r="AG447" i="13"/>
  <c r="AP447" i="13" s="1"/>
  <c r="AG448" i="13"/>
  <c r="AP448" i="13" s="1"/>
  <c r="AG449" i="13"/>
  <c r="AP449" i="13" s="1"/>
  <c r="AG450" i="13"/>
  <c r="AP450" i="13" s="1"/>
  <c r="AG451" i="13"/>
  <c r="AP451" i="13" s="1"/>
  <c r="AG452" i="13"/>
  <c r="AP452" i="13" s="1"/>
  <c r="AG453" i="13"/>
  <c r="AP453" i="13" s="1"/>
  <c r="AG454" i="13"/>
  <c r="AP454" i="13" s="1"/>
  <c r="AG455" i="13"/>
  <c r="AP455" i="13" s="1"/>
  <c r="AG456" i="13"/>
  <c r="AP456" i="13" s="1"/>
  <c r="AG457" i="13"/>
  <c r="AP457" i="13" s="1"/>
  <c r="AG458" i="13"/>
  <c r="AP458" i="13" s="1"/>
  <c r="AG459" i="13"/>
  <c r="AP459" i="13" s="1"/>
  <c r="AG460" i="13"/>
  <c r="AP460" i="13" s="1"/>
  <c r="AG461" i="13"/>
  <c r="AP461" i="13" s="1"/>
  <c r="AG462" i="13"/>
  <c r="AP462" i="13" s="1"/>
  <c r="AG463" i="13"/>
  <c r="AP463" i="13" s="1"/>
  <c r="AG464" i="13"/>
  <c r="AP464" i="13" s="1"/>
  <c r="AG465" i="13"/>
  <c r="AP465" i="13" s="1"/>
  <c r="AG466" i="13"/>
  <c r="AP466" i="13" s="1"/>
  <c r="AG467" i="13"/>
  <c r="AP467" i="13" s="1"/>
  <c r="AG468" i="13"/>
  <c r="AP468" i="13" s="1"/>
  <c r="AG469" i="13"/>
  <c r="AP469" i="13" s="1"/>
  <c r="AG470" i="13"/>
  <c r="AP470" i="13" s="1"/>
  <c r="AG471" i="13"/>
  <c r="AP471" i="13" s="1"/>
  <c r="AG472" i="13"/>
  <c r="AP472" i="13" s="1"/>
  <c r="AG473" i="13"/>
  <c r="AP473" i="13" s="1"/>
  <c r="AG474" i="13"/>
  <c r="AP474" i="13" s="1"/>
  <c r="AG475" i="13"/>
  <c r="AP475" i="13" s="1"/>
  <c r="AG476" i="13"/>
  <c r="AP476" i="13" s="1"/>
  <c r="AG477" i="13"/>
  <c r="AP477" i="13" s="1"/>
  <c r="AG478" i="13"/>
  <c r="AP478" i="13" s="1"/>
  <c r="AG479" i="13"/>
  <c r="AP479" i="13" s="1"/>
  <c r="AG480" i="13"/>
  <c r="AP480" i="13" s="1"/>
  <c r="AG481" i="13"/>
  <c r="AP481" i="13" s="1"/>
  <c r="AG482" i="13"/>
  <c r="AP482" i="13" s="1"/>
  <c r="AG483" i="13"/>
  <c r="AP483" i="13" s="1"/>
  <c r="AG484" i="13"/>
  <c r="AP484" i="13" s="1"/>
  <c r="AG485" i="13"/>
  <c r="AP485" i="13" s="1"/>
  <c r="AG486" i="13"/>
  <c r="AP486" i="13" s="1"/>
  <c r="AG487" i="13"/>
  <c r="AP487" i="13" s="1"/>
  <c r="AG488" i="13"/>
  <c r="AP488" i="13" s="1"/>
  <c r="AG489" i="13"/>
  <c r="AP489" i="13" s="1"/>
  <c r="AG490" i="13"/>
  <c r="AP490" i="13" s="1"/>
  <c r="AG491" i="13"/>
  <c r="AP491" i="13" s="1"/>
  <c r="AG492" i="13"/>
  <c r="AP492" i="13" s="1"/>
  <c r="AG493" i="13"/>
  <c r="AP493" i="13" s="1"/>
  <c r="AG494" i="13"/>
  <c r="AP494" i="13" s="1"/>
  <c r="AG495" i="13"/>
  <c r="AP495" i="13" s="1"/>
  <c r="AG496" i="13"/>
  <c r="AP496" i="13" s="1"/>
  <c r="AG497" i="13"/>
  <c r="AP497" i="13" s="1"/>
  <c r="AG498" i="13"/>
  <c r="AP498" i="13" s="1"/>
  <c r="AG499" i="13"/>
  <c r="AP499" i="13" s="1"/>
  <c r="AG500" i="13"/>
  <c r="AP500" i="13" s="1"/>
  <c r="AG501" i="13"/>
  <c r="AP501" i="13" s="1"/>
  <c r="AG502" i="13"/>
  <c r="AP502" i="13" s="1"/>
  <c r="AG503" i="13"/>
  <c r="AP503" i="13" s="1"/>
  <c r="AG504" i="13"/>
  <c r="AP504" i="13" s="1"/>
  <c r="AG505" i="13"/>
  <c r="AP505" i="13" s="1"/>
  <c r="AG506" i="13"/>
  <c r="AP506" i="13" s="1"/>
  <c r="AG507" i="13"/>
  <c r="AP507" i="13" s="1"/>
  <c r="AG508" i="13"/>
  <c r="AP508" i="13" s="1"/>
  <c r="AG509" i="13"/>
  <c r="AP509" i="13" s="1"/>
  <c r="AG510" i="13"/>
  <c r="AP510" i="13" s="1"/>
  <c r="AG511" i="13"/>
  <c r="AP511" i="13" s="1"/>
  <c r="AG512" i="13"/>
  <c r="AP512" i="13" s="1"/>
  <c r="AG513" i="13"/>
  <c r="AP513" i="13" s="1"/>
  <c r="AG514" i="13"/>
  <c r="AP514" i="13" s="1"/>
  <c r="AG515" i="13"/>
  <c r="AP515" i="13" s="1"/>
  <c r="AG516" i="13"/>
  <c r="AP516" i="13" s="1"/>
  <c r="AG517" i="13"/>
  <c r="AP517" i="13" s="1"/>
  <c r="AG518" i="13"/>
  <c r="AP518" i="13" s="1"/>
  <c r="AG519" i="13"/>
  <c r="AP519" i="13" s="1"/>
  <c r="AG520" i="13"/>
  <c r="AP520" i="13" s="1"/>
  <c r="AG521" i="13"/>
  <c r="AP521" i="13" s="1"/>
  <c r="AG522" i="13"/>
  <c r="AP522" i="13" s="1"/>
  <c r="AG523" i="13"/>
  <c r="AP523" i="13" s="1"/>
  <c r="AG524" i="13"/>
  <c r="AP524" i="13" s="1"/>
  <c r="AG525" i="13"/>
  <c r="AP525" i="13" s="1"/>
  <c r="AG526" i="13"/>
  <c r="AP526" i="13" s="1"/>
  <c r="AG527" i="13"/>
  <c r="AP527" i="13" s="1"/>
  <c r="AG528" i="13"/>
  <c r="AP528" i="13" s="1"/>
  <c r="AG529" i="13"/>
  <c r="AP529" i="13" s="1"/>
  <c r="AG530" i="13"/>
  <c r="AP530" i="13" s="1"/>
  <c r="AG531" i="13"/>
  <c r="AP531" i="13" s="1"/>
  <c r="AG532" i="13"/>
  <c r="AP532" i="13" s="1"/>
  <c r="AG533" i="13"/>
  <c r="AP533" i="13" s="1"/>
  <c r="AG534" i="13"/>
  <c r="AP534" i="13" s="1"/>
  <c r="AG535" i="13"/>
  <c r="AP535" i="13" s="1"/>
  <c r="AG536" i="13"/>
  <c r="AP536" i="13" s="1"/>
  <c r="AG537" i="13"/>
  <c r="AP537" i="13" s="1"/>
  <c r="AG538" i="13"/>
  <c r="AP538" i="13" s="1"/>
  <c r="AG539" i="13"/>
  <c r="AP539" i="13" s="1"/>
  <c r="AG540" i="13"/>
  <c r="AP540" i="13" s="1"/>
  <c r="AG541" i="13"/>
  <c r="AP541" i="13" s="1"/>
  <c r="AG542" i="13"/>
  <c r="AP542" i="13" s="1"/>
  <c r="AG543" i="13"/>
  <c r="AP543" i="13" s="1"/>
  <c r="AG544" i="13"/>
  <c r="AP544" i="13" s="1"/>
  <c r="AG545" i="13"/>
  <c r="AP545" i="13" s="1"/>
  <c r="AG546" i="13"/>
  <c r="AP546" i="13" s="1"/>
  <c r="AG547" i="13"/>
  <c r="AP547" i="13" s="1"/>
  <c r="AG548" i="13"/>
  <c r="AP548" i="13" s="1"/>
  <c r="AG549" i="13"/>
  <c r="AP549" i="13" s="1"/>
  <c r="AG550" i="13"/>
  <c r="AP550" i="13" s="1"/>
  <c r="AG551" i="13"/>
  <c r="AP551" i="13" s="1"/>
  <c r="AG552" i="13"/>
  <c r="AP552" i="13" s="1"/>
  <c r="AE3" i="13"/>
  <c r="AO3" i="13" s="1"/>
  <c r="AE4" i="13"/>
  <c r="AO4" i="13" s="1"/>
  <c r="AE5" i="13"/>
  <c r="AO5" i="13" s="1"/>
  <c r="AE6" i="13"/>
  <c r="AO6" i="13" s="1"/>
  <c r="AE7" i="13"/>
  <c r="AO7" i="13" s="1"/>
  <c r="AE8" i="13"/>
  <c r="AO8" i="13" s="1"/>
  <c r="AE9" i="13"/>
  <c r="AO9" i="13" s="1"/>
  <c r="AE10" i="13"/>
  <c r="AO10" i="13" s="1"/>
  <c r="AE11" i="13"/>
  <c r="AO11" i="13" s="1"/>
  <c r="AE12" i="13"/>
  <c r="AO12" i="13" s="1"/>
  <c r="AE13" i="13"/>
  <c r="AO13" i="13" s="1"/>
  <c r="AE14" i="13"/>
  <c r="AO14" i="13" s="1"/>
  <c r="AE15" i="13"/>
  <c r="AO15" i="13" s="1"/>
  <c r="AE16" i="13"/>
  <c r="AO16" i="13" s="1"/>
  <c r="AE17" i="13"/>
  <c r="AO17" i="13" s="1"/>
  <c r="AE18" i="13"/>
  <c r="AO18" i="13" s="1"/>
  <c r="AE19" i="13"/>
  <c r="AO19" i="13" s="1"/>
  <c r="AE20" i="13"/>
  <c r="AO20" i="13" s="1"/>
  <c r="AE21" i="13"/>
  <c r="AO21" i="13" s="1"/>
  <c r="AE22" i="13"/>
  <c r="AO22" i="13" s="1"/>
  <c r="AE23" i="13"/>
  <c r="AO23" i="13" s="1"/>
  <c r="AE24" i="13"/>
  <c r="AO24" i="13" s="1"/>
  <c r="AE25" i="13"/>
  <c r="AO25" i="13" s="1"/>
  <c r="AE26" i="13"/>
  <c r="AO26" i="13" s="1"/>
  <c r="AE27" i="13"/>
  <c r="AO27" i="13" s="1"/>
  <c r="AE28" i="13"/>
  <c r="AO28" i="13" s="1"/>
  <c r="AE29" i="13"/>
  <c r="AO29" i="13" s="1"/>
  <c r="AE30" i="13"/>
  <c r="AO30" i="13" s="1"/>
  <c r="AE31" i="13"/>
  <c r="AO31" i="13" s="1"/>
  <c r="AE32" i="13"/>
  <c r="AO32" i="13" s="1"/>
  <c r="AE33" i="13"/>
  <c r="AO33" i="13" s="1"/>
  <c r="AE34" i="13"/>
  <c r="AO34" i="13" s="1"/>
  <c r="AE35" i="13"/>
  <c r="AO35" i="13" s="1"/>
  <c r="AE36" i="13"/>
  <c r="AO36" i="13" s="1"/>
  <c r="AE37" i="13"/>
  <c r="AO37" i="13" s="1"/>
  <c r="AE38" i="13"/>
  <c r="AO38" i="13" s="1"/>
  <c r="AE39" i="13"/>
  <c r="AO39" i="13" s="1"/>
  <c r="AE40" i="13"/>
  <c r="AO40" i="13" s="1"/>
  <c r="AE41" i="13"/>
  <c r="AO41" i="13" s="1"/>
  <c r="AE42" i="13"/>
  <c r="AO42" i="13" s="1"/>
  <c r="AE43" i="13"/>
  <c r="AO43" i="13" s="1"/>
  <c r="AE44" i="13"/>
  <c r="AO44" i="13" s="1"/>
  <c r="AE45" i="13"/>
  <c r="AO45" i="13" s="1"/>
  <c r="AE46" i="13"/>
  <c r="AO46" i="13" s="1"/>
  <c r="AE47" i="13"/>
  <c r="AO47" i="13" s="1"/>
  <c r="AE48" i="13"/>
  <c r="AO48" i="13" s="1"/>
  <c r="AE49" i="13"/>
  <c r="AO49" i="13" s="1"/>
  <c r="AE50" i="13"/>
  <c r="AO50" i="13" s="1"/>
  <c r="AE51" i="13"/>
  <c r="AO51" i="13" s="1"/>
  <c r="AE52" i="13"/>
  <c r="AO52" i="13" s="1"/>
  <c r="AE53" i="13"/>
  <c r="AO53" i="13" s="1"/>
  <c r="AE54" i="13"/>
  <c r="AO54" i="13" s="1"/>
  <c r="AE55" i="13"/>
  <c r="AO55" i="13" s="1"/>
  <c r="AE56" i="13"/>
  <c r="AO56" i="13" s="1"/>
  <c r="AE57" i="13"/>
  <c r="AO57" i="13" s="1"/>
  <c r="AE58" i="13"/>
  <c r="AO58" i="13" s="1"/>
  <c r="AE59" i="13"/>
  <c r="AO59" i="13" s="1"/>
  <c r="AE60" i="13"/>
  <c r="AO60" i="13" s="1"/>
  <c r="AE61" i="13"/>
  <c r="AO61" i="13" s="1"/>
  <c r="AE62" i="13"/>
  <c r="AO62" i="13" s="1"/>
  <c r="AE63" i="13"/>
  <c r="AO63" i="13" s="1"/>
  <c r="AE64" i="13"/>
  <c r="AO64" i="13" s="1"/>
  <c r="AE65" i="13"/>
  <c r="AO65" i="13" s="1"/>
  <c r="AE66" i="13"/>
  <c r="AO66" i="13" s="1"/>
  <c r="AE67" i="13"/>
  <c r="AO67" i="13" s="1"/>
  <c r="AE68" i="13"/>
  <c r="AO68" i="13" s="1"/>
  <c r="AE69" i="13"/>
  <c r="AO69" i="13" s="1"/>
  <c r="AE70" i="13"/>
  <c r="AO70" i="13" s="1"/>
  <c r="AE71" i="13"/>
  <c r="AO71" i="13" s="1"/>
  <c r="AE72" i="13"/>
  <c r="AO72" i="13" s="1"/>
  <c r="AE73" i="13"/>
  <c r="AO73" i="13" s="1"/>
  <c r="AE74" i="13"/>
  <c r="AO74" i="13" s="1"/>
  <c r="AE75" i="13"/>
  <c r="AO75" i="13" s="1"/>
  <c r="AE76" i="13"/>
  <c r="AO76" i="13" s="1"/>
  <c r="AE77" i="13"/>
  <c r="AO77" i="13" s="1"/>
  <c r="AE78" i="13"/>
  <c r="AO78" i="13" s="1"/>
  <c r="AE79" i="13"/>
  <c r="AO79" i="13" s="1"/>
  <c r="AE80" i="13"/>
  <c r="AO80" i="13" s="1"/>
  <c r="AE81" i="13"/>
  <c r="AO81" i="13" s="1"/>
  <c r="AE82" i="13"/>
  <c r="AO82" i="13" s="1"/>
  <c r="AE83" i="13"/>
  <c r="AO83" i="13" s="1"/>
  <c r="AE84" i="13"/>
  <c r="AO84" i="13" s="1"/>
  <c r="AE85" i="13"/>
  <c r="AO85" i="13" s="1"/>
  <c r="AE86" i="13"/>
  <c r="AO86" i="13" s="1"/>
  <c r="AE87" i="13"/>
  <c r="AO87" i="13" s="1"/>
  <c r="AE88" i="13"/>
  <c r="AO88" i="13" s="1"/>
  <c r="AE89" i="13"/>
  <c r="AO89" i="13" s="1"/>
  <c r="AE90" i="13"/>
  <c r="AO90" i="13" s="1"/>
  <c r="AE91" i="13"/>
  <c r="AO91" i="13" s="1"/>
  <c r="AE92" i="13"/>
  <c r="AO92" i="13" s="1"/>
  <c r="AE93" i="13"/>
  <c r="AO93" i="13" s="1"/>
  <c r="AE94" i="13"/>
  <c r="AO94" i="13" s="1"/>
  <c r="AE95" i="13"/>
  <c r="AO95" i="13" s="1"/>
  <c r="AE96" i="13"/>
  <c r="AO96" i="13" s="1"/>
  <c r="AE97" i="13"/>
  <c r="AO97" i="13" s="1"/>
  <c r="AE98" i="13"/>
  <c r="AO98" i="13" s="1"/>
  <c r="AE99" i="13"/>
  <c r="AO99" i="13" s="1"/>
  <c r="AE100" i="13"/>
  <c r="AO100" i="13" s="1"/>
  <c r="AE101" i="13"/>
  <c r="AO101" i="13" s="1"/>
  <c r="AE102" i="13"/>
  <c r="AO102" i="13" s="1"/>
  <c r="AE103" i="13"/>
  <c r="AO103" i="13" s="1"/>
  <c r="AE104" i="13"/>
  <c r="AO104" i="13" s="1"/>
  <c r="AE105" i="13"/>
  <c r="AO105" i="13" s="1"/>
  <c r="AE106" i="13"/>
  <c r="AO106" i="13" s="1"/>
  <c r="AE107" i="13"/>
  <c r="AO107" i="13" s="1"/>
  <c r="AE108" i="13"/>
  <c r="AO108" i="13" s="1"/>
  <c r="AE109" i="13"/>
  <c r="AO109" i="13" s="1"/>
  <c r="AE110" i="13"/>
  <c r="AO110" i="13" s="1"/>
  <c r="AE111" i="13"/>
  <c r="AO111" i="13" s="1"/>
  <c r="AE112" i="13"/>
  <c r="AO112" i="13" s="1"/>
  <c r="AE113" i="13"/>
  <c r="AO113" i="13" s="1"/>
  <c r="AE114" i="13"/>
  <c r="AO114" i="13" s="1"/>
  <c r="AE115" i="13"/>
  <c r="AO115" i="13" s="1"/>
  <c r="AE116" i="13"/>
  <c r="AO116" i="13" s="1"/>
  <c r="AE117" i="13"/>
  <c r="AO117" i="13" s="1"/>
  <c r="AE118" i="13"/>
  <c r="AO118" i="13" s="1"/>
  <c r="AE119" i="13"/>
  <c r="AO119" i="13" s="1"/>
  <c r="AE120" i="13"/>
  <c r="AO120" i="13" s="1"/>
  <c r="AE121" i="13"/>
  <c r="AO121" i="13" s="1"/>
  <c r="AE122" i="13"/>
  <c r="AO122" i="13" s="1"/>
  <c r="AE123" i="13"/>
  <c r="AO123" i="13" s="1"/>
  <c r="AE124" i="13"/>
  <c r="AO124" i="13" s="1"/>
  <c r="AE125" i="13"/>
  <c r="AO125" i="13" s="1"/>
  <c r="AE126" i="13"/>
  <c r="AO126" i="13" s="1"/>
  <c r="AE127" i="13"/>
  <c r="AO127" i="13" s="1"/>
  <c r="AE128" i="13"/>
  <c r="AO128" i="13" s="1"/>
  <c r="AE129" i="13"/>
  <c r="AO129" i="13" s="1"/>
  <c r="AE130" i="13"/>
  <c r="AO130" i="13" s="1"/>
  <c r="AE131" i="13"/>
  <c r="AO131" i="13" s="1"/>
  <c r="AE132" i="13"/>
  <c r="AO132" i="13" s="1"/>
  <c r="AE133" i="13"/>
  <c r="AO133" i="13" s="1"/>
  <c r="AE134" i="13"/>
  <c r="AO134" i="13" s="1"/>
  <c r="AE135" i="13"/>
  <c r="AO135" i="13" s="1"/>
  <c r="AE136" i="13"/>
  <c r="AO136" i="13" s="1"/>
  <c r="AE137" i="13"/>
  <c r="AO137" i="13" s="1"/>
  <c r="AE138" i="13"/>
  <c r="AO138" i="13" s="1"/>
  <c r="AE139" i="13"/>
  <c r="AO139" i="13" s="1"/>
  <c r="AE140" i="13"/>
  <c r="AO140" i="13" s="1"/>
  <c r="AE141" i="13"/>
  <c r="AO141" i="13" s="1"/>
  <c r="AE142" i="13"/>
  <c r="AO142" i="13" s="1"/>
  <c r="AE143" i="13"/>
  <c r="AO143" i="13" s="1"/>
  <c r="AE144" i="13"/>
  <c r="AO144" i="13" s="1"/>
  <c r="AE145" i="13"/>
  <c r="AO145" i="13" s="1"/>
  <c r="AE146" i="13"/>
  <c r="AO146" i="13" s="1"/>
  <c r="AE147" i="13"/>
  <c r="AO147" i="13" s="1"/>
  <c r="AE148" i="13"/>
  <c r="AO148" i="13" s="1"/>
  <c r="AE149" i="13"/>
  <c r="AO149" i="13" s="1"/>
  <c r="AE150" i="13"/>
  <c r="AO150" i="13" s="1"/>
  <c r="AE151" i="13"/>
  <c r="AO151" i="13" s="1"/>
  <c r="AE152" i="13"/>
  <c r="AO152" i="13" s="1"/>
  <c r="AE153" i="13"/>
  <c r="AO153" i="13" s="1"/>
  <c r="AE154" i="13"/>
  <c r="AO154" i="13" s="1"/>
  <c r="AE155" i="13"/>
  <c r="AO155" i="13" s="1"/>
  <c r="AE156" i="13"/>
  <c r="AO156" i="13" s="1"/>
  <c r="AE157" i="13"/>
  <c r="AO157" i="13" s="1"/>
  <c r="AE158" i="13"/>
  <c r="AO158" i="13" s="1"/>
  <c r="AE159" i="13"/>
  <c r="AO159" i="13" s="1"/>
  <c r="AE160" i="13"/>
  <c r="AO160" i="13" s="1"/>
  <c r="AE161" i="13"/>
  <c r="AO161" i="13" s="1"/>
  <c r="AE162" i="13"/>
  <c r="AO162" i="13" s="1"/>
  <c r="AE163" i="13"/>
  <c r="AO163" i="13" s="1"/>
  <c r="AE164" i="13"/>
  <c r="AO164" i="13" s="1"/>
  <c r="AE165" i="13"/>
  <c r="AO165" i="13" s="1"/>
  <c r="AE166" i="13"/>
  <c r="AO166" i="13" s="1"/>
  <c r="AE167" i="13"/>
  <c r="AO167" i="13" s="1"/>
  <c r="AE168" i="13"/>
  <c r="AO168" i="13" s="1"/>
  <c r="AE169" i="13"/>
  <c r="AO169" i="13" s="1"/>
  <c r="AE170" i="13"/>
  <c r="AO170" i="13" s="1"/>
  <c r="AE171" i="13"/>
  <c r="AO171" i="13" s="1"/>
  <c r="AE172" i="13"/>
  <c r="AO172" i="13" s="1"/>
  <c r="AE173" i="13"/>
  <c r="AO173" i="13" s="1"/>
  <c r="AE174" i="13"/>
  <c r="AO174" i="13" s="1"/>
  <c r="AE175" i="13"/>
  <c r="AO175" i="13" s="1"/>
  <c r="AE176" i="13"/>
  <c r="AO176" i="13" s="1"/>
  <c r="AE177" i="13"/>
  <c r="AO177" i="13" s="1"/>
  <c r="AE178" i="13"/>
  <c r="AO178" i="13" s="1"/>
  <c r="AE179" i="13"/>
  <c r="AO179" i="13" s="1"/>
  <c r="AE180" i="13"/>
  <c r="AO180" i="13" s="1"/>
  <c r="AE181" i="13"/>
  <c r="AO181" i="13" s="1"/>
  <c r="AE182" i="13"/>
  <c r="AO182" i="13" s="1"/>
  <c r="AE183" i="13"/>
  <c r="AO183" i="13" s="1"/>
  <c r="AE184" i="13"/>
  <c r="AO184" i="13" s="1"/>
  <c r="AE185" i="13"/>
  <c r="AO185" i="13" s="1"/>
  <c r="AE186" i="13"/>
  <c r="AO186" i="13" s="1"/>
  <c r="AE187" i="13"/>
  <c r="AO187" i="13" s="1"/>
  <c r="AE188" i="13"/>
  <c r="AO188" i="13" s="1"/>
  <c r="AE189" i="13"/>
  <c r="AO189" i="13" s="1"/>
  <c r="AE190" i="13"/>
  <c r="AO190" i="13" s="1"/>
  <c r="AE191" i="13"/>
  <c r="AO191" i="13" s="1"/>
  <c r="AE192" i="13"/>
  <c r="AO192" i="13" s="1"/>
  <c r="AE193" i="13"/>
  <c r="AO193" i="13" s="1"/>
  <c r="AE194" i="13"/>
  <c r="AO194" i="13" s="1"/>
  <c r="AE195" i="13"/>
  <c r="AO195" i="13" s="1"/>
  <c r="AE196" i="13"/>
  <c r="AO196" i="13" s="1"/>
  <c r="AE197" i="13"/>
  <c r="AO197" i="13" s="1"/>
  <c r="AE198" i="13"/>
  <c r="AO198" i="13" s="1"/>
  <c r="AE199" i="13"/>
  <c r="AO199" i="13" s="1"/>
  <c r="AE200" i="13"/>
  <c r="AO200" i="13" s="1"/>
  <c r="AE201" i="13"/>
  <c r="AO201" i="13" s="1"/>
  <c r="AE202" i="13"/>
  <c r="AO202" i="13" s="1"/>
  <c r="AE203" i="13"/>
  <c r="AO203" i="13" s="1"/>
  <c r="AE204" i="13"/>
  <c r="AO204" i="13" s="1"/>
  <c r="AE205" i="13"/>
  <c r="AO205" i="13" s="1"/>
  <c r="AE206" i="13"/>
  <c r="AO206" i="13" s="1"/>
  <c r="AE207" i="13"/>
  <c r="AO207" i="13" s="1"/>
  <c r="AE208" i="13"/>
  <c r="AO208" i="13" s="1"/>
  <c r="AE209" i="13"/>
  <c r="AO209" i="13" s="1"/>
  <c r="AE210" i="13"/>
  <c r="AO210" i="13" s="1"/>
  <c r="AE211" i="13"/>
  <c r="AO211" i="13" s="1"/>
  <c r="AE212" i="13"/>
  <c r="AO212" i="13" s="1"/>
  <c r="AE213" i="13"/>
  <c r="AO213" i="13" s="1"/>
  <c r="AE214" i="13"/>
  <c r="AO214" i="13" s="1"/>
  <c r="AE215" i="13"/>
  <c r="AO215" i="13" s="1"/>
  <c r="AE216" i="13"/>
  <c r="AO216" i="13" s="1"/>
  <c r="AE217" i="13"/>
  <c r="AO217" i="13" s="1"/>
  <c r="AE218" i="13"/>
  <c r="AO218" i="13" s="1"/>
  <c r="AE219" i="13"/>
  <c r="AO219" i="13" s="1"/>
  <c r="AE220" i="13"/>
  <c r="AO220" i="13" s="1"/>
  <c r="AE221" i="13"/>
  <c r="AO221" i="13" s="1"/>
  <c r="AE222" i="13"/>
  <c r="AO222" i="13" s="1"/>
  <c r="AE223" i="13"/>
  <c r="AO223" i="13" s="1"/>
  <c r="AE224" i="13"/>
  <c r="AO224" i="13" s="1"/>
  <c r="AE225" i="13"/>
  <c r="AO225" i="13" s="1"/>
  <c r="AE226" i="13"/>
  <c r="AO226" i="13" s="1"/>
  <c r="AE227" i="13"/>
  <c r="AO227" i="13" s="1"/>
  <c r="AE228" i="13"/>
  <c r="AO228" i="13" s="1"/>
  <c r="AE229" i="13"/>
  <c r="AO229" i="13" s="1"/>
  <c r="AE230" i="13"/>
  <c r="AO230" i="13" s="1"/>
  <c r="AE231" i="13"/>
  <c r="AO231" i="13" s="1"/>
  <c r="AE232" i="13"/>
  <c r="AO232" i="13" s="1"/>
  <c r="AE233" i="13"/>
  <c r="AO233" i="13" s="1"/>
  <c r="AE234" i="13"/>
  <c r="AO234" i="13" s="1"/>
  <c r="AE235" i="13"/>
  <c r="AO235" i="13" s="1"/>
  <c r="AE236" i="13"/>
  <c r="AO236" i="13" s="1"/>
  <c r="AE237" i="13"/>
  <c r="AO237" i="13" s="1"/>
  <c r="AE238" i="13"/>
  <c r="AO238" i="13" s="1"/>
  <c r="AE239" i="13"/>
  <c r="AO239" i="13" s="1"/>
  <c r="AE240" i="13"/>
  <c r="AO240" i="13" s="1"/>
  <c r="AE241" i="13"/>
  <c r="AO241" i="13" s="1"/>
  <c r="AE242" i="13"/>
  <c r="AO242" i="13" s="1"/>
  <c r="AE243" i="13"/>
  <c r="AO243" i="13" s="1"/>
  <c r="AE244" i="13"/>
  <c r="AO244" i="13" s="1"/>
  <c r="AE245" i="13"/>
  <c r="AO245" i="13" s="1"/>
  <c r="AE246" i="13"/>
  <c r="AO246" i="13" s="1"/>
  <c r="AE247" i="13"/>
  <c r="AO247" i="13" s="1"/>
  <c r="AE248" i="13"/>
  <c r="AO248" i="13" s="1"/>
  <c r="AE249" i="13"/>
  <c r="AO249" i="13" s="1"/>
  <c r="AE250" i="13"/>
  <c r="AO250" i="13" s="1"/>
  <c r="AE251" i="13"/>
  <c r="AO251" i="13" s="1"/>
  <c r="AE252" i="13"/>
  <c r="AO252" i="13" s="1"/>
  <c r="AE253" i="13"/>
  <c r="AO253" i="13" s="1"/>
  <c r="AE254" i="13"/>
  <c r="AO254" i="13" s="1"/>
  <c r="AE255" i="13"/>
  <c r="AO255" i="13" s="1"/>
  <c r="AE256" i="13"/>
  <c r="AO256" i="13" s="1"/>
  <c r="AE257" i="13"/>
  <c r="AO257" i="13" s="1"/>
  <c r="AE258" i="13"/>
  <c r="AO258" i="13" s="1"/>
  <c r="AE259" i="13"/>
  <c r="AO259" i="13" s="1"/>
  <c r="AE260" i="13"/>
  <c r="AO260" i="13" s="1"/>
  <c r="AE261" i="13"/>
  <c r="AO261" i="13" s="1"/>
  <c r="AE262" i="13"/>
  <c r="AO262" i="13" s="1"/>
  <c r="AE263" i="13"/>
  <c r="AO263" i="13" s="1"/>
  <c r="AE264" i="13"/>
  <c r="AO264" i="13" s="1"/>
  <c r="AE265" i="13"/>
  <c r="AO265" i="13" s="1"/>
  <c r="AE266" i="13"/>
  <c r="AO266" i="13" s="1"/>
  <c r="AE267" i="13"/>
  <c r="AO267" i="13" s="1"/>
  <c r="AE268" i="13"/>
  <c r="AO268" i="13" s="1"/>
  <c r="AE269" i="13"/>
  <c r="AO269" i="13" s="1"/>
  <c r="AE270" i="13"/>
  <c r="AO270" i="13" s="1"/>
  <c r="AE271" i="13"/>
  <c r="AO271" i="13" s="1"/>
  <c r="AE272" i="13"/>
  <c r="AO272" i="13" s="1"/>
  <c r="AE273" i="13"/>
  <c r="AO273" i="13" s="1"/>
  <c r="AE274" i="13"/>
  <c r="AO274" i="13" s="1"/>
  <c r="AE275" i="13"/>
  <c r="AO275" i="13" s="1"/>
  <c r="AE276" i="13"/>
  <c r="AO276" i="13" s="1"/>
  <c r="AE277" i="13"/>
  <c r="AO277" i="13" s="1"/>
  <c r="AE278" i="13"/>
  <c r="AO278" i="13" s="1"/>
  <c r="AE279" i="13"/>
  <c r="AO279" i="13" s="1"/>
  <c r="AE280" i="13"/>
  <c r="AO280" i="13" s="1"/>
  <c r="AE281" i="13"/>
  <c r="AO281" i="13" s="1"/>
  <c r="AE282" i="13"/>
  <c r="AO282" i="13" s="1"/>
  <c r="AE283" i="13"/>
  <c r="AO283" i="13" s="1"/>
  <c r="AE284" i="13"/>
  <c r="AO284" i="13" s="1"/>
  <c r="AE285" i="13"/>
  <c r="AO285" i="13" s="1"/>
  <c r="AE286" i="13"/>
  <c r="AO286" i="13" s="1"/>
  <c r="AE287" i="13"/>
  <c r="AO287" i="13" s="1"/>
  <c r="AE288" i="13"/>
  <c r="AO288" i="13" s="1"/>
  <c r="AE289" i="13"/>
  <c r="AO289" i="13" s="1"/>
  <c r="AE290" i="13"/>
  <c r="AO290" i="13" s="1"/>
  <c r="AE291" i="13"/>
  <c r="AO291" i="13" s="1"/>
  <c r="AE292" i="13"/>
  <c r="AO292" i="13" s="1"/>
  <c r="AE293" i="13"/>
  <c r="AO293" i="13" s="1"/>
  <c r="AE294" i="13"/>
  <c r="AO294" i="13" s="1"/>
  <c r="AE295" i="13"/>
  <c r="AO295" i="13" s="1"/>
  <c r="AE296" i="13"/>
  <c r="AO296" i="13" s="1"/>
  <c r="AE297" i="13"/>
  <c r="AO297" i="13" s="1"/>
  <c r="AE298" i="13"/>
  <c r="AO298" i="13" s="1"/>
  <c r="AE299" i="13"/>
  <c r="AO299" i="13" s="1"/>
  <c r="AE300" i="13"/>
  <c r="AO300" i="13" s="1"/>
  <c r="AE301" i="13"/>
  <c r="AO301" i="13" s="1"/>
  <c r="AE302" i="13"/>
  <c r="AO302" i="13" s="1"/>
  <c r="AE303" i="13"/>
  <c r="AO303" i="13" s="1"/>
  <c r="AE304" i="13"/>
  <c r="AO304" i="13" s="1"/>
  <c r="AE305" i="13"/>
  <c r="AO305" i="13" s="1"/>
  <c r="AE306" i="13"/>
  <c r="AO306" i="13" s="1"/>
  <c r="AE307" i="13"/>
  <c r="AO307" i="13" s="1"/>
  <c r="AE308" i="13"/>
  <c r="AO308" i="13" s="1"/>
  <c r="AE309" i="13"/>
  <c r="AO309" i="13" s="1"/>
  <c r="AE310" i="13"/>
  <c r="AO310" i="13" s="1"/>
  <c r="AE311" i="13"/>
  <c r="AO311" i="13" s="1"/>
  <c r="AE312" i="13"/>
  <c r="AO312" i="13" s="1"/>
  <c r="AE313" i="13"/>
  <c r="AO313" i="13" s="1"/>
  <c r="AE314" i="13"/>
  <c r="AO314" i="13" s="1"/>
  <c r="AE315" i="13"/>
  <c r="AO315" i="13" s="1"/>
  <c r="AE316" i="13"/>
  <c r="AO316" i="13" s="1"/>
  <c r="AE317" i="13"/>
  <c r="AO317" i="13" s="1"/>
  <c r="AE318" i="13"/>
  <c r="AO318" i="13" s="1"/>
  <c r="AE319" i="13"/>
  <c r="AO319" i="13" s="1"/>
  <c r="AE320" i="13"/>
  <c r="AO320" i="13" s="1"/>
  <c r="AE321" i="13"/>
  <c r="AO321" i="13" s="1"/>
  <c r="AE322" i="13"/>
  <c r="AO322" i="13" s="1"/>
  <c r="AE323" i="13"/>
  <c r="AO323" i="13" s="1"/>
  <c r="AE324" i="13"/>
  <c r="AO324" i="13" s="1"/>
  <c r="AE325" i="13"/>
  <c r="AO325" i="13" s="1"/>
  <c r="AE326" i="13"/>
  <c r="AO326" i="13" s="1"/>
  <c r="AE327" i="13"/>
  <c r="AO327" i="13" s="1"/>
  <c r="AE328" i="13"/>
  <c r="AO328" i="13" s="1"/>
  <c r="AE329" i="13"/>
  <c r="AO329" i="13" s="1"/>
  <c r="AE330" i="13"/>
  <c r="AO330" i="13" s="1"/>
  <c r="AE331" i="13"/>
  <c r="AO331" i="13" s="1"/>
  <c r="AE332" i="13"/>
  <c r="AO332" i="13" s="1"/>
  <c r="AE333" i="13"/>
  <c r="AO333" i="13" s="1"/>
  <c r="AE334" i="13"/>
  <c r="AO334" i="13" s="1"/>
  <c r="AE335" i="13"/>
  <c r="AO335" i="13" s="1"/>
  <c r="AE336" i="13"/>
  <c r="AO336" i="13" s="1"/>
  <c r="AE337" i="13"/>
  <c r="AO337" i="13" s="1"/>
  <c r="AE338" i="13"/>
  <c r="AO338" i="13" s="1"/>
  <c r="AE339" i="13"/>
  <c r="AO339" i="13" s="1"/>
  <c r="AE340" i="13"/>
  <c r="AO340" i="13" s="1"/>
  <c r="AE341" i="13"/>
  <c r="AO341" i="13" s="1"/>
  <c r="AE342" i="13"/>
  <c r="AO342" i="13" s="1"/>
  <c r="AE343" i="13"/>
  <c r="AO343" i="13" s="1"/>
  <c r="AE344" i="13"/>
  <c r="AO344" i="13" s="1"/>
  <c r="AE345" i="13"/>
  <c r="AO345" i="13" s="1"/>
  <c r="AE346" i="13"/>
  <c r="AO346" i="13" s="1"/>
  <c r="AE347" i="13"/>
  <c r="AO347" i="13" s="1"/>
  <c r="AE348" i="13"/>
  <c r="AO348" i="13" s="1"/>
  <c r="AE349" i="13"/>
  <c r="AO349" i="13" s="1"/>
  <c r="AE350" i="13"/>
  <c r="AO350" i="13" s="1"/>
  <c r="AE351" i="13"/>
  <c r="AO351" i="13" s="1"/>
  <c r="AE352" i="13"/>
  <c r="AO352" i="13" s="1"/>
  <c r="AE353" i="13"/>
  <c r="AO353" i="13" s="1"/>
  <c r="AE354" i="13"/>
  <c r="AO354" i="13" s="1"/>
  <c r="AE355" i="13"/>
  <c r="AO355" i="13" s="1"/>
  <c r="AE356" i="13"/>
  <c r="AO356" i="13" s="1"/>
  <c r="AE357" i="13"/>
  <c r="AO357" i="13" s="1"/>
  <c r="AE358" i="13"/>
  <c r="AO358" i="13" s="1"/>
  <c r="AE359" i="13"/>
  <c r="AO359" i="13" s="1"/>
  <c r="AE360" i="13"/>
  <c r="AO360" i="13" s="1"/>
  <c r="AE361" i="13"/>
  <c r="AO361" i="13" s="1"/>
  <c r="AE362" i="13"/>
  <c r="AO362" i="13" s="1"/>
  <c r="AE363" i="13"/>
  <c r="AO363" i="13" s="1"/>
  <c r="AE364" i="13"/>
  <c r="AO364" i="13" s="1"/>
  <c r="AE365" i="13"/>
  <c r="AO365" i="13" s="1"/>
  <c r="AE366" i="13"/>
  <c r="AO366" i="13" s="1"/>
  <c r="AE367" i="13"/>
  <c r="AO367" i="13" s="1"/>
  <c r="AE368" i="13"/>
  <c r="AO368" i="13" s="1"/>
  <c r="AE369" i="13"/>
  <c r="AO369" i="13" s="1"/>
  <c r="AE370" i="13"/>
  <c r="AO370" i="13" s="1"/>
  <c r="AE371" i="13"/>
  <c r="AO371" i="13" s="1"/>
  <c r="AE372" i="13"/>
  <c r="AO372" i="13" s="1"/>
  <c r="AE373" i="13"/>
  <c r="AO373" i="13" s="1"/>
  <c r="AE374" i="13"/>
  <c r="AO374" i="13" s="1"/>
  <c r="AE375" i="13"/>
  <c r="AO375" i="13" s="1"/>
  <c r="AE376" i="13"/>
  <c r="AO376" i="13" s="1"/>
  <c r="AE377" i="13"/>
  <c r="AO377" i="13" s="1"/>
  <c r="AE378" i="13"/>
  <c r="AO378" i="13" s="1"/>
  <c r="AE379" i="13"/>
  <c r="AO379" i="13" s="1"/>
  <c r="AE380" i="13"/>
  <c r="AO380" i="13" s="1"/>
  <c r="AE381" i="13"/>
  <c r="AO381" i="13" s="1"/>
  <c r="AE382" i="13"/>
  <c r="AO382" i="13" s="1"/>
  <c r="AE383" i="13"/>
  <c r="AO383" i="13" s="1"/>
  <c r="AE384" i="13"/>
  <c r="AO384" i="13" s="1"/>
  <c r="AE385" i="13"/>
  <c r="AO385" i="13" s="1"/>
  <c r="AE386" i="13"/>
  <c r="AO386" i="13" s="1"/>
  <c r="AE387" i="13"/>
  <c r="AO387" i="13" s="1"/>
  <c r="AE388" i="13"/>
  <c r="AO388" i="13" s="1"/>
  <c r="AE389" i="13"/>
  <c r="AO389" i="13" s="1"/>
  <c r="AE390" i="13"/>
  <c r="AO390" i="13" s="1"/>
  <c r="AE391" i="13"/>
  <c r="AO391" i="13" s="1"/>
  <c r="AE392" i="13"/>
  <c r="AO392" i="13" s="1"/>
  <c r="AE393" i="13"/>
  <c r="AO393" i="13" s="1"/>
  <c r="AE394" i="13"/>
  <c r="AO394" i="13" s="1"/>
  <c r="AE395" i="13"/>
  <c r="AO395" i="13" s="1"/>
  <c r="AE396" i="13"/>
  <c r="AO396" i="13" s="1"/>
  <c r="AE397" i="13"/>
  <c r="AO397" i="13" s="1"/>
  <c r="AE398" i="13"/>
  <c r="AO398" i="13" s="1"/>
  <c r="AE399" i="13"/>
  <c r="AO399" i="13" s="1"/>
  <c r="AE400" i="13"/>
  <c r="AO400" i="13" s="1"/>
  <c r="AE401" i="13"/>
  <c r="AO401" i="13" s="1"/>
  <c r="AE402" i="13"/>
  <c r="AO402" i="13" s="1"/>
  <c r="AE403" i="13"/>
  <c r="AO403" i="13" s="1"/>
  <c r="AE404" i="13"/>
  <c r="AO404" i="13" s="1"/>
  <c r="AE405" i="13"/>
  <c r="AO405" i="13" s="1"/>
  <c r="AE406" i="13"/>
  <c r="AO406" i="13" s="1"/>
  <c r="AE407" i="13"/>
  <c r="AO407" i="13" s="1"/>
  <c r="AE408" i="13"/>
  <c r="AO408" i="13" s="1"/>
  <c r="AE409" i="13"/>
  <c r="AO409" i="13" s="1"/>
  <c r="AE410" i="13"/>
  <c r="AO410" i="13" s="1"/>
  <c r="AE411" i="13"/>
  <c r="AO411" i="13" s="1"/>
  <c r="AE412" i="13"/>
  <c r="AO412" i="13" s="1"/>
  <c r="AE413" i="13"/>
  <c r="AO413" i="13" s="1"/>
  <c r="AE414" i="13"/>
  <c r="AO414" i="13" s="1"/>
  <c r="AE415" i="13"/>
  <c r="AO415" i="13" s="1"/>
  <c r="AE416" i="13"/>
  <c r="AO416" i="13" s="1"/>
  <c r="AE417" i="13"/>
  <c r="AO417" i="13" s="1"/>
  <c r="AE418" i="13"/>
  <c r="AO418" i="13" s="1"/>
  <c r="AE419" i="13"/>
  <c r="AO419" i="13" s="1"/>
  <c r="AE420" i="13"/>
  <c r="AO420" i="13" s="1"/>
  <c r="AE421" i="13"/>
  <c r="AO421" i="13" s="1"/>
  <c r="AE422" i="13"/>
  <c r="AO422" i="13" s="1"/>
  <c r="AE423" i="13"/>
  <c r="AO423" i="13" s="1"/>
  <c r="AE424" i="13"/>
  <c r="AO424" i="13" s="1"/>
  <c r="AE425" i="13"/>
  <c r="AO425" i="13" s="1"/>
  <c r="AE426" i="13"/>
  <c r="AO426" i="13" s="1"/>
  <c r="AE427" i="13"/>
  <c r="AO427" i="13" s="1"/>
  <c r="AE428" i="13"/>
  <c r="AO428" i="13" s="1"/>
  <c r="AE429" i="13"/>
  <c r="AO429" i="13" s="1"/>
  <c r="AE430" i="13"/>
  <c r="AO430" i="13" s="1"/>
  <c r="AE431" i="13"/>
  <c r="AO431" i="13" s="1"/>
  <c r="AE432" i="13"/>
  <c r="AO432" i="13" s="1"/>
  <c r="AE433" i="13"/>
  <c r="AO433" i="13" s="1"/>
  <c r="AE434" i="13"/>
  <c r="AO434" i="13" s="1"/>
  <c r="AE435" i="13"/>
  <c r="AO435" i="13" s="1"/>
  <c r="AE436" i="13"/>
  <c r="AO436" i="13" s="1"/>
  <c r="AE437" i="13"/>
  <c r="AO437" i="13" s="1"/>
  <c r="AE438" i="13"/>
  <c r="AO438" i="13" s="1"/>
  <c r="AE439" i="13"/>
  <c r="AO439" i="13" s="1"/>
  <c r="AE440" i="13"/>
  <c r="AO440" i="13" s="1"/>
  <c r="AE441" i="13"/>
  <c r="AO441" i="13" s="1"/>
  <c r="AE442" i="13"/>
  <c r="AO442" i="13" s="1"/>
  <c r="AE443" i="13"/>
  <c r="AO443" i="13" s="1"/>
  <c r="AE444" i="13"/>
  <c r="AO444" i="13" s="1"/>
  <c r="AE445" i="13"/>
  <c r="AO445" i="13" s="1"/>
  <c r="AE446" i="13"/>
  <c r="AO446" i="13" s="1"/>
  <c r="AE447" i="13"/>
  <c r="AO447" i="13" s="1"/>
  <c r="AE448" i="13"/>
  <c r="AO448" i="13" s="1"/>
  <c r="AE449" i="13"/>
  <c r="AO449" i="13" s="1"/>
  <c r="AE450" i="13"/>
  <c r="AO450" i="13" s="1"/>
  <c r="AE451" i="13"/>
  <c r="AO451" i="13" s="1"/>
  <c r="AE452" i="13"/>
  <c r="AO452" i="13" s="1"/>
  <c r="AE453" i="13"/>
  <c r="AO453" i="13" s="1"/>
  <c r="AE454" i="13"/>
  <c r="AO454" i="13" s="1"/>
  <c r="AE455" i="13"/>
  <c r="AO455" i="13" s="1"/>
  <c r="AE456" i="13"/>
  <c r="AO456" i="13" s="1"/>
  <c r="AE457" i="13"/>
  <c r="AO457" i="13" s="1"/>
  <c r="AE458" i="13"/>
  <c r="AO458" i="13" s="1"/>
  <c r="AE459" i="13"/>
  <c r="AO459" i="13" s="1"/>
  <c r="AE460" i="13"/>
  <c r="AO460" i="13" s="1"/>
  <c r="AE461" i="13"/>
  <c r="AO461" i="13" s="1"/>
  <c r="AE462" i="13"/>
  <c r="AO462" i="13" s="1"/>
  <c r="AE463" i="13"/>
  <c r="AO463" i="13" s="1"/>
  <c r="AE464" i="13"/>
  <c r="AO464" i="13" s="1"/>
  <c r="AE465" i="13"/>
  <c r="AO465" i="13" s="1"/>
  <c r="AE466" i="13"/>
  <c r="AO466" i="13" s="1"/>
  <c r="AE467" i="13"/>
  <c r="AO467" i="13" s="1"/>
  <c r="AE468" i="13"/>
  <c r="AO468" i="13" s="1"/>
  <c r="AE469" i="13"/>
  <c r="AO469" i="13" s="1"/>
  <c r="AE470" i="13"/>
  <c r="AO470" i="13" s="1"/>
  <c r="AE471" i="13"/>
  <c r="AO471" i="13" s="1"/>
  <c r="AE472" i="13"/>
  <c r="AO472" i="13" s="1"/>
  <c r="AE473" i="13"/>
  <c r="AO473" i="13" s="1"/>
  <c r="AE474" i="13"/>
  <c r="AO474" i="13" s="1"/>
  <c r="AE475" i="13"/>
  <c r="AO475" i="13" s="1"/>
  <c r="AE476" i="13"/>
  <c r="AO476" i="13" s="1"/>
  <c r="AE477" i="13"/>
  <c r="AO477" i="13" s="1"/>
  <c r="AE478" i="13"/>
  <c r="AO478" i="13" s="1"/>
  <c r="AE479" i="13"/>
  <c r="AO479" i="13" s="1"/>
  <c r="AE480" i="13"/>
  <c r="AO480" i="13" s="1"/>
  <c r="AE481" i="13"/>
  <c r="AO481" i="13" s="1"/>
  <c r="AE482" i="13"/>
  <c r="AO482" i="13" s="1"/>
  <c r="AE483" i="13"/>
  <c r="AO483" i="13" s="1"/>
  <c r="AE484" i="13"/>
  <c r="AO484" i="13" s="1"/>
  <c r="AE485" i="13"/>
  <c r="AO485" i="13" s="1"/>
  <c r="AE486" i="13"/>
  <c r="AO486" i="13" s="1"/>
  <c r="AE487" i="13"/>
  <c r="AO487" i="13" s="1"/>
  <c r="AE488" i="13"/>
  <c r="AO488" i="13" s="1"/>
  <c r="AE489" i="13"/>
  <c r="AO489" i="13" s="1"/>
  <c r="AE490" i="13"/>
  <c r="AO490" i="13" s="1"/>
  <c r="AE491" i="13"/>
  <c r="AO491" i="13" s="1"/>
  <c r="AE492" i="13"/>
  <c r="AO492" i="13" s="1"/>
  <c r="AE493" i="13"/>
  <c r="AO493" i="13" s="1"/>
  <c r="AE494" i="13"/>
  <c r="AO494" i="13" s="1"/>
  <c r="AE495" i="13"/>
  <c r="AO495" i="13" s="1"/>
  <c r="AE496" i="13"/>
  <c r="AO496" i="13" s="1"/>
  <c r="AE497" i="13"/>
  <c r="AO497" i="13" s="1"/>
  <c r="AE498" i="13"/>
  <c r="AO498" i="13" s="1"/>
  <c r="AE499" i="13"/>
  <c r="AO499" i="13" s="1"/>
  <c r="AE500" i="13"/>
  <c r="AO500" i="13" s="1"/>
  <c r="AE501" i="13"/>
  <c r="AO501" i="13" s="1"/>
  <c r="AE502" i="13"/>
  <c r="AO502" i="13" s="1"/>
  <c r="AE503" i="13"/>
  <c r="AO503" i="13" s="1"/>
  <c r="AE504" i="13"/>
  <c r="AO504" i="13" s="1"/>
  <c r="AE505" i="13"/>
  <c r="AO505" i="13" s="1"/>
  <c r="AE506" i="13"/>
  <c r="AO506" i="13" s="1"/>
  <c r="AE507" i="13"/>
  <c r="AO507" i="13" s="1"/>
  <c r="AE508" i="13"/>
  <c r="AO508" i="13" s="1"/>
  <c r="AE509" i="13"/>
  <c r="AO509" i="13" s="1"/>
  <c r="AE510" i="13"/>
  <c r="AO510" i="13" s="1"/>
  <c r="AE511" i="13"/>
  <c r="AO511" i="13" s="1"/>
  <c r="AE512" i="13"/>
  <c r="AO512" i="13" s="1"/>
  <c r="AE513" i="13"/>
  <c r="AO513" i="13" s="1"/>
  <c r="AE514" i="13"/>
  <c r="AO514" i="13" s="1"/>
  <c r="AE515" i="13"/>
  <c r="AO515" i="13" s="1"/>
  <c r="AE516" i="13"/>
  <c r="AO516" i="13" s="1"/>
  <c r="AE517" i="13"/>
  <c r="AO517" i="13" s="1"/>
  <c r="AE518" i="13"/>
  <c r="AO518" i="13" s="1"/>
  <c r="AE519" i="13"/>
  <c r="AO519" i="13" s="1"/>
  <c r="AE520" i="13"/>
  <c r="AO520" i="13" s="1"/>
  <c r="AE521" i="13"/>
  <c r="AO521" i="13" s="1"/>
  <c r="AE522" i="13"/>
  <c r="AO522" i="13" s="1"/>
  <c r="AE523" i="13"/>
  <c r="AO523" i="13" s="1"/>
  <c r="AE524" i="13"/>
  <c r="AO524" i="13" s="1"/>
  <c r="AE525" i="13"/>
  <c r="AO525" i="13" s="1"/>
  <c r="AE526" i="13"/>
  <c r="AO526" i="13" s="1"/>
  <c r="AE527" i="13"/>
  <c r="AO527" i="13" s="1"/>
  <c r="AE528" i="13"/>
  <c r="AO528" i="13" s="1"/>
  <c r="AE529" i="13"/>
  <c r="AO529" i="13" s="1"/>
  <c r="AE530" i="13"/>
  <c r="AO530" i="13" s="1"/>
  <c r="AE531" i="13"/>
  <c r="AO531" i="13" s="1"/>
  <c r="AE532" i="13"/>
  <c r="AO532" i="13" s="1"/>
  <c r="AE533" i="13"/>
  <c r="AO533" i="13" s="1"/>
  <c r="AE534" i="13"/>
  <c r="AO534" i="13" s="1"/>
  <c r="AE535" i="13"/>
  <c r="AO535" i="13" s="1"/>
  <c r="AE536" i="13"/>
  <c r="AO536" i="13" s="1"/>
  <c r="AE537" i="13"/>
  <c r="AO537" i="13" s="1"/>
  <c r="AE538" i="13"/>
  <c r="AO538" i="13" s="1"/>
  <c r="AE539" i="13"/>
  <c r="AO539" i="13" s="1"/>
  <c r="AE540" i="13"/>
  <c r="AO540" i="13" s="1"/>
  <c r="AE541" i="13"/>
  <c r="AO541" i="13" s="1"/>
  <c r="AE542" i="13"/>
  <c r="AO542" i="13" s="1"/>
  <c r="AE543" i="13"/>
  <c r="AO543" i="13" s="1"/>
  <c r="AE544" i="13"/>
  <c r="AO544" i="13" s="1"/>
  <c r="AE545" i="13"/>
  <c r="AO545" i="13" s="1"/>
  <c r="AE546" i="13"/>
  <c r="AO546" i="13" s="1"/>
  <c r="AE547" i="13"/>
  <c r="AO547" i="13" s="1"/>
  <c r="AE548" i="13"/>
  <c r="AO548" i="13" s="1"/>
  <c r="AE549" i="13"/>
  <c r="AO549" i="13" s="1"/>
  <c r="AE550" i="13"/>
  <c r="AO550" i="13" s="1"/>
  <c r="AE551" i="13"/>
  <c r="AO551" i="13" s="1"/>
  <c r="AE552" i="13"/>
  <c r="AO552" i="13" s="1"/>
  <c r="AD3" i="13"/>
  <c r="AN3" i="13" s="1"/>
  <c r="AD4" i="13"/>
  <c r="AN4" i="13" s="1"/>
  <c r="AD5" i="13"/>
  <c r="AN5" i="13" s="1"/>
  <c r="AD6" i="13"/>
  <c r="AN6" i="13" s="1"/>
  <c r="AD7" i="13"/>
  <c r="AN7" i="13" s="1"/>
  <c r="AD8" i="13"/>
  <c r="AN8" i="13" s="1"/>
  <c r="AD9" i="13"/>
  <c r="AN9" i="13" s="1"/>
  <c r="AD10" i="13"/>
  <c r="AN10" i="13" s="1"/>
  <c r="AD11" i="13"/>
  <c r="AN11" i="13" s="1"/>
  <c r="AD12" i="13"/>
  <c r="AN12" i="13" s="1"/>
  <c r="AD13" i="13"/>
  <c r="AN13" i="13" s="1"/>
  <c r="AD14" i="13"/>
  <c r="AN14" i="13" s="1"/>
  <c r="AD15" i="13"/>
  <c r="AN15" i="13" s="1"/>
  <c r="AD16" i="13"/>
  <c r="AN16" i="13" s="1"/>
  <c r="AD17" i="13"/>
  <c r="AN17" i="13" s="1"/>
  <c r="AD18" i="13"/>
  <c r="AN18" i="13" s="1"/>
  <c r="AD19" i="13"/>
  <c r="AN19" i="13" s="1"/>
  <c r="AD20" i="13"/>
  <c r="AN20" i="13" s="1"/>
  <c r="AD21" i="13"/>
  <c r="AN21" i="13" s="1"/>
  <c r="AD22" i="13"/>
  <c r="AN22" i="13" s="1"/>
  <c r="AD23" i="13"/>
  <c r="AN23" i="13" s="1"/>
  <c r="AD24" i="13"/>
  <c r="AN24" i="13" s="1"/>
  <c r="AD25" i="13"/>
  <c r="AN25" i="13" s="1"/>
  <c r="AD26" i="13"/>
  <c r="AN26" i="13" s="1"/>
  <c r="AD27" i="13"/>
  <c r="AN27" i="13" s="1"/>
  <c r="AD28" i="13"/>
  <c r="AN28" i="13" s="1"/>
  <c r="AD29" i="13"/>
  <c r="AN29" i="13" s="1"/>
  <c r="AD30" i="13"/>
  <c r="AN30" i="13" s="1"/>
  <c r="AD31" i="13"/>
  <c r="AN31" i="13" s="1"/>
  <c r="AD32" i="13"/>
  <c r="AN32" i="13" s="1"/>
  <c r="AD33" i="13"/>
  <c r="AN33" i="13" s="1"/>
  <c r="AD34" i="13"/>
  <c r="AN34" i="13" s="1"/>
  <c r="AD35" i="13"/>
  <c r="AN35" i="13" s="1"/>
  <c r="AD36" i="13"/>
  <c r="AN36" i="13" s="1"/>
  <c r="AD37" i="13"/>
  <c r="AN37" i="13" s="1"/>
  <c r="AD38" i="13"/>
  <c r="AN38" i="13" s="1"/>
  <c r="AD39" i="13"/>
  <c r="AN39" i="13" s="1"/>
  <c r="AD40" i="13"/>
  <c r="AN40" i="13" s="1"/>
  <c r="AD41" i="13"/>
  <c r="AN41" i="13" s="1"/>
  <c r="AD42" i="13"/>
  <c r="AN42" i="13" s="1"/>
  <c r="AD43" i="13"/>
  <c r="AN43" i="13" s="1"/>
  <c r="AD44" i="13"/>
  <c r="AN44" i="13" s="1"/>
  <c r="AD45" i="13"/>
  <c r="AN45" i="13" s="1"/>
  <c r="AD46" i="13"/>
  <c r="AN46" i="13" s="1"/>
  <c r="AD47" i="13"/>
  <c r="AN47" i="13" s="1"/>
  <c r="AD48" i="13"/>
  <c r="AN48" i="13" s="1"/>
  <c r="AD49" i="13"/>
  <c r="AN49" i="13" s="1"/>
  <c r="AD50" i="13"/>
  <c r="AN50" i="13" s="1"/>
  <c r="AD51" i="13"/>
  <c r="AN51" i="13" s="1"/>
  <c r="AD52" i="13"/>
  <c r="AN52" i="13" s="1"/>
  <c r="AD53" i="13"/>
  <c r="AN53" i="13" s="1"/>
  <c r="AD54" i="13"/>
  <c r="AN54" i="13" s="1"/>
  <c r="AD55" i="13"/>
  <c r="AN55" i="13" s="1"/>
  <c r="AD56" i="13"/>
  <c r="AN56" i="13" s="1"/>
  <c r="AD57" i="13"/>
  <c r="AN57" i="13" s="1"/>
  <c r="AD58" i="13"/>
  <c r="AN58" i="13" s="1"/>
  <c r="AD59" i="13"/>
  <c r="AN59" i="13" s="1"/>
  <c r="AD60" i="13"/>
  <c r="AN60" i="13" s="1"/>
  <c r="AD61" i="13"/>
  <c r="AN61" i="13" s="1"/>
  <c r="AD62" i="13"/>
  <c r="AN62" i="13" s="1"/>
  <c r="AD63" i="13"/>
  <c r="AN63" i="13" s="1"/>
  <c r="AD64" i="13"/>
  <c r="AN64" i="13" s="1"/>
  <c r="AD65" i="13"/>
  <c r="AN65" i="13" s="1"/>
  <c r="AD66" i="13"/>
  <c r="AN66" i="13" s="1"/>
  <c r="AD67" i="13"/>
  <c r="AN67" i="13" s="1"/>
  <c r="AD68" i="13"/>
  <c r="AN68" i="13" s="1"/>
  <c r="AD69" i="13"/>
  <c r="AN69" i="13" s="1"/>
  <c r="AD70" i="13"/>
  <c r="AN70" i="13" s="1"/>
  <c r="AD71" i="13"/>
  <c r="AN71" i="13" s="1"/>
  <c r="AD72" i="13"/>
  <c r="AN72" i="13" s="1"/>
  <c r="AD73" i="13"/>
  <c r="AN73" i="13" s="1"/>
  <c r="AD74" i="13"/>
  <c r="AN74" i="13" s="1"/>
  <c r="AD75" i="13"/>
  <c r="AN75" i="13" s="1"/>
  <c r="AD76" i="13"/>
  <c r="AN76" i="13" s="1"/>
  <c r="AD77" i="13"/>
  <c r="AN77" i="13" s="1"/>
  <c r="AD78" i="13"/>
  <c r="AN78" i="13" s="1"/>
  <c r="AD79" i="13"/>
  <c r="AN79" i="13" s="1"/>
  <c r="AD80" i="13"/>
  <c r="AN80" i="13" s="1"/>
  <c r="AD81" i="13"/>
  <c r="AN81" i="13" s="1"/>
  <c r="AD82" i="13"/>
  <c r="AN82" i="13" s="1"/>
  <c r="AD83" i="13"/>
  <c r="AN83" i="13" s="1"/>
  <c r="AD84" i="13"/>
  <c r="AN84" i="13" s="1"/>
  <c r="AD85" i="13"/>
  <c r="AN85" i="13" s="1"/>
  <c r="AD86" i="13"/>
  <c r="AN86" i="13" s="1"/>
  <c r="AD87" i="13"/>
  <c r="AN87" i="13" s="1"/>
  <c r="AD88" i="13"/>
  <c r="AN88" i="13" s="1"/>
  <c r="AD89" i="13"/>
  <c r="AN89" i="13" s="1"/>
  <c r="AD90" i="13"/>
  <c r="AN90" i="13" s="1"/>
  <c r="AD91" i="13"/>
  <c r="AN91" i="13" s="1"/>
  <c r="AD92" i="13"/>
  <c r="AN92" i="13" s="1"/>
  <c r="AD93" i="13"/>
  <c r="AN93" i="13" s="1"/>
  <c r="AD94" i="13"/>
  <c r="AN94" i="13" s="1"/>
  <c r="AD95" i="13"/>
  <c r="AN95" i="13" s="1"/>
  <c r="AD96" i="13"/>
  <c r="AN96" i="13" s="1"/>
  <c r="AD97" i="13"/>
  <c r="AN97" i="13" s="1"/>
  <c r="AD98" i="13"/>
  <c r="AN98" i="13" s="1"/>
  <c r="AD99" i="13"/>
  <c r="AN99" i="13" s="1"/>
  <c r="AD100" i="13"/>
  <c r="AN100" i="13" s="1"/>
  <c r="AD101" i="13"/>
  <c r="AN101" i="13" s="1"/>
  <c r="AD102" i="13"/>
  <c r="AN102" i="13" s="1"/>
  <c r="AD103" i="13"/>
  <c r="AN103" i="13" s="1"/>
  <c r="AD104" i="13"/>
  <c r="AN104" i="13" s="1"/>
  <c r="AD105" i="13"/>
  <c r="AN105" i="13" s="1"/>
  <c r="AD106" i="13"/>
  <c r="AN106" i="13" s="1"/>
  <c r="AD107" i="13"/>
  <c r="AN107" i="13" s="1"/>
  <c r="AD108" i="13"/>
  <c r="AN108" i="13" s="1"/>
  <c r="AD109" i="13"/>
  <c r="AN109" i="13" s="1"/>
  <c r="AD110" i="13"/>
  <c r="AN110" i="13" s="1"/>
  <c r="AD111" i="13"/>
  <c r="AN111" i="13" s="1"/>
  <c r="AD112" i="13"/>
  <c r="AN112" i="13" s="1"/>
  <c r="AD113" i="13"/>
  <c r="AN113" i="13" s="1"/>
  <c r="AD114" i="13"/>
  <c r="AN114" i="13" s="1"/>
  <c r="AD115" i="13"/>
  <c r="AN115" i="13" s="1"/>
  <c r="AD116" i="13"/>
  <c r="AN116" i="13" s="1"/>
  <c r="AD117" i="13"/>
  <c r="AN117" i="13" s="1"/>
  <c r="AD118" i="13"/>
  <c r="AN118" i="13" s="1"/>
  <c r="AD119" i="13"/>
  <c r="AN119" i="13" s="1"/>
  <c r="AD120" i="13"/>
  <c r="AN120" i="13" s="1"/>
  <c r="AD121" i="13"/>
  <c r="AN121" i="13" s="1"/>
  <c r="AD122" i="13"/>
  <c r="AN122" i="13" s="1"/>
  <c r="AD123" i="13"/>
  <c r="AN123" i="13" s="1"/>
  <c r="AD124" i="13"/>
  <c r="AN124" i="13" s="1"/>
  <c r="AD125" i="13"/>
  <c r="AN125" i="13" s="1"/>
  <c r="AD126" i="13"/>
  <c r="AN126" i="13" s="1"/>
  <c r="AD127" i="13"/>
  <c r="AN127" i="13" s="1"/>
  <c r="AD128" i="13"/>
  <c r="AN128" i="13" s="1"/>
  <c r="AD129" i="13"/>
  <c r="AN129" i="13" s="1"/>
  <c r="AD130" i="13"/>
  <c r="AN130" i="13" s="1"/>
  <c r="AD131" i="13"/>
  <c r="AN131" i="13" s="1"/>
  <c r="AD132" i="13"/>
  <c r="AN132" i="13" s="1"/>
  <c r="AD133" i="13"/>
  <c r="AN133" i="13" s="1"/>
  <c r="AD134" i="13"/>
  <c r="AN134" i="13" s="1"/>
  <c r="AD135" i="13"/>
  <c r="AN135" i="13" s="1"/>
  <c r="AD136" i="13"/>
  <c r="AN136" i="13" s="1"/>
  <c r="AD137" i="13"/>
  <c r="AN137" i="13" s="1"/>
  <c r="AD138" i="13"/>
  <c r="AN138" i="13" s="1"/>
  <c r="AD139" i="13"/>
  <c r="AN139" i="13" s="1"/>
  <c r="AD140" i="13"/>
  <c r="AN140" i="13" s="1"/>
  <c r="AD141" i="13"/>
  <c r="AN141" i="13" s="1"/>
  <c r="AD142" i="13"/>
  <c r="AN142" i="13" s="1"/>
  <c r="AD143" i="13"/>
  <c r="AN143" i="13" s="1"/>
  <c r="AD144" i="13"/>
  <c r="AN144" i="13" s="1"/>
  <c r="AD145" i="13"/>
  <c r="AN145" i="13" s="1"/>
  <c r="AD146" i="13"/>
  <c r="AN146" i="13" s="1"/>
  <c r="AD147" i="13"/>
  <c r="AN147" i="13" s="1"/>
  <c r="AD148" i="13"/>
  <c r="AN148" i="13" s="1"/>
  <c r="AD149" i="13"/>
  <c r="AN149" i="13" s="1"/>
  <c r="AD150" i="13"/>
  <c r="AN150" i="13" s="1"/>
  <c r="AD151" i="13"/>
  <c r="AN151" i="13" s="1"/>
  <c r="AD152" i="13"/>
  <c r="AN152" i="13" s="1"/>
  <c r="AD153" i="13"/>
  <c r="AN153" i="13" s="1"/>
  <c r="AD154" i="13"/>
  <c r="AN154" i="13" s="1"/>
  <c r="AD155" i="13"/>
  <c r="AN155" i="13" s="1"/>
  <c r="AD156" i="13"/>
  <c r="AN156" i="13" s="1"/>
  <c r="AD157" i="13"/>
  <c r="AN157" i="13" s="1"/>
  <c r="AD158" i="13"/>
  <c r="AN158" i="13" s="1"/>
  <c r="AD159" i="13"/>
  <c r="AN159" i="13" s="1"/>
  <c r="AD160" i="13"/>
  <c r="AN160" i="13" s="1"/>
  <c r="AD161" i="13"/>
  <c r="AN161" i="13" s="1"/>
  <c r="AD162" i="13"/>
  <c r="AN162" i="13" s="1"/>
  <c r="AD163" i="13"/>
  <c r="AN163" i="13" s="1"/>
  <c r="AD164" i="13"/>
  <c r="AN164" i="13" s="1"/>
  <c r="AD165" i="13"/>
  <c r="AN165" i="13" s="1"/>
  <c r="AD166" i="13"/>
  <c r="AN166" i="13" s="1"/>
  <c r="AD167" i="13"/>
  <c r="AN167" i="13" s="1"/>
  <c r="AD168" i="13"/>
  <c r="AN168" i="13" s="1"/>
  <c r="AD169" i="13"/>
  <c r="AN169" i="13" s="1"/>
  <c r="AD170" i="13"/>
  <c r="AN170" i="13" s="1"/>
  <c r="AD171" i="13"/>
  <c r="AN171" i="13" s="1"/>
  <c r="AD172" i="13"/>
  <c r="AN172" i="13" s="1"/>
  <c r="AD173" i="13"/>
  <c r="AN173" i="13" s="1"/>
  <c r="AD174" i="13"/>
  <c r="AN174" i="13" s="1"/>
  <c r="AD175" i="13"/>
  <c r="AN175" i="13" s="1"/>
  <c r="AD176" i="13"/>
  <c r="AN176" i="13" s="1"/>
  <c r="AD177" i="13"/>
  <c r="AN177" i="13" s="1"/>
  <c r="AD178" i="13"/>
  <c r="AN178" i="13" s="1"/>
  <c r="AD179" i="13"/>
  <c r="AN179" i="13" s="1"/>
  <c r="AD180" i="13"/>
  <c r="AN180" i="13" s="1"/>
  <c r="AD181" i="13"/>
  <c r="AN181" i="13" s="1"/>
  <c r="AD182" i="13"/>
  <c r="AN182" i="13" s="1"/>
  <c r="AD183" i="13"/>
  <c r="AN183" i="13" s="1"/>
  <c r="AD184" i="13"/>
  <c r="AN184" i="13" s="1"/>
  <c r="AD185" i="13"/>
  <c r="AN185" i="13" s="1"/>
  <c r="AD186" i="13"/>
  <c r="AN186" i="13" s="1"/>
  <c r="AD187" i="13"/>
  <c r="AN187" i="13" s="1"/>
  <c r="AD188" i="13"/>
  <c r="AN188" i="13" s="1"/>
  <c r="AD189" i="13"/>
  <c r="AN189" i="13" s="1"/>
  <c r="AD190" i="13"/>
  <c r="AN190" i="13" s="1"/>
  <c r="AD191" i="13"/>
  <c r="AN191" i="13" s="1"/>
  <c r="AD192" i="13"/>
  <c r="AN192" i="13" s="1"/>
  <c r="AD193" i="13"/>
  <c r="AN193" i="13" s="1"/>
  <c r="AD194" i="13"/>
  <c r="AN194" i="13" s="1"/>
  <c r="AD195" i="13"/>
  <c r="AN195" i="13" s="1"/>
  <c r="AD196" i="13"/>
  <c r="AN196" i="13" s="1"/>
  <c r="AD197" i="13"/>
  <c r="AN197" i="13" s="1"/>
  <c r="AD198" i="13"/>
  <c r="AN198" i="13" s="1"/>
  <c r="AD199" i="13"/>
  <c r="AN199" i="13" s="1"/>
  <c r="AD200" i="13"/>
  <c r="AN200" i="13" s="1"/>
  <c r="AD201" i="13"/>
  <c r="AN201" i="13" s="1"/>
  <c r="AD202" i="13"/>
  <c r="AN202" i="13" s="1"/>
  <c r="AD203" i="13"/>
  <c r="AN203" i="13" s="1"/>
  <c r="AD204" i="13"/>
  <c r="AN204" i="13" s="1"/>
  <c r="AD205" i="13"/>
  <c r="AN205" i="13" s="1"/>
  <c r="AD206" i="13"/>
  <c r="AN206" i="13" s="1"/>
  <c r="AD207" i="13"/>
  <c r="AN207" i="13" s="1"/>
  <c r="AD208" i="13"/>
  <c r="AN208" i="13" s="1"/>
  <c r="AD209" i="13"/>
  <c r="AN209" i="13" s="1"/>
  <c r="AD210" i="13"/>
  <c r="AN210" i="13" s="1"/>
  <c r="AD211" i="13"/>
  <c r="AN211" i="13" s="1"/>
  <c r="AD212" i="13"/>
  <c r="AN212" i="13" s="1"/>
  <c r="AD213" i="13"/>
  <c r="AN213" i="13" s="1"/>
  <c r="AD214" i="13"/>
  <c r="AN214" i="13" s="1"/>
  <c r="AD215" i="13"/>
  <c r="AN215" i="13" s="1"/>
  <c r="AD216" i="13"/>
  <c r="AN216" i="13" s="1"/>
  <c r="AD217" i="13"/>
  <c r="AN217" i="13" s="1"/>
  <c r="AD218" i="13"/>
  <c r="AN218" i="13" s="1"/>
  <c r="AD219" i="13"/>
  <c r="AN219" i="13" s="1"/>
  <c r="AD220" i="13"/>
  <c r="AN220" i="13" s="1"/>
  <c r="AD221" i="13"/>
  <c r="AN221" i="13" s="1"/>
  <c r="AD222" i="13"/>
  <c r="AN222" i="13" s="1"/>
  <c r="AD223" i="13"/>
  <c r="AN223" i="13" s="1"/>
  <c r="AD224" i="13"/>
  <c r="AN224" i="13" s="1"/>
  <c r="AD225" i="13"/>
  <c r="AN225" i="13" s="1"/>
  <c r="AD226" i="13"/>
  <c r="AN226" i="13" s="1"/>
  <c r="AD227" i="13"/>
  <c r="AN227" i="13" s="1"/>
  <c r="AD228" i="13"/>
  <c r="AN228" i="13" s="1"/>
  <c r="AD229" i="13"/>
  <c r="AN229" i="13" s="1"/>
  <c r="AD230" i="13"/>
  <c r="AN230" i="13" s="1"/>
  <c r="AD231" i="13"/>
  <c r="AN231" i="13" s="1"/>
  <c r="AD232" i="13"/>
  <c r="AN232" i="13" s="1"/>
  <c r="AD233" i="13"/>
  <c r="AN233" i="13" s="1"/>
  <c r="AD234" i="13"/>
  <c r="AN234" i="13" s="1"/>
  <c r="AD235" i="13"/>
  <c r="AN235" i="13" s="1"/>
  <c r="AD236" i="13"/>
  <c r="AN236" i="13" s="1"/>
  <c r="AD237" i="13"/>
  <c r="AN237" i="13" s="1"/>
  <c r="AD238" i="13"/>
  <c r="AN238" i="13" s="1"/>
  <c r="AD239" i="13"/>
  <c r="AN239" i="13" s="1"/>
  <c r="AD240" i="13"/>
  <c r="AN240" i="13" s="1"/>
  <c r="AD241" i="13"/>
  <c r="AN241" i="13" s="1"/>
  <c r="AD242" i="13"/>
  <c r="AN242" i="13" s="1"/>
  <c r="AD243" i="13"/>
  <c r="AN243" i="13" s="1"/>
  <c r="AD244" i="13"/>
  <c r="AN244" i="13" s="1"/>
  <c r="AD245" i="13"/>
  <c r="AN245" i="13" s="1"/>
  <c r="AD246" i="13"/>
  <c r="AN246" i="13" s="1"/>
  <c r="AD247" i="13"/>
  <c r="AN247" i="13" s="1"/>
  <c r="AD248" i="13"/>
  <c r="AN248" i="13" s="1"/>
  <c r="AD249" i="13"/>
  <c r="AN249" i="13" s="1"/>
  <c r="AD250" i="13"/>
  <c r="AN250" i="13" s="1"/>
  <c r="AD251" i="13"/>
  <c r="AN251" i="13" s="1"/>
  <c r="AD252" i="13"/>
  <c r="AN252" i="13" s="1"/>
  <c r="AD253" i="13"/>
  <c r="AN253" i="13" s="1"/>
  <c r="AD254" i="13"/>
  <c r="AN254" i="13" s="1"/>
  <c r="AD255" i="13"/>
  <c r="AN255" i="13" s="1"/>
  <c r="AD256" i="13"/>
  <c r="AN256" i="13" s="1"/>
  <c r="AD257" i="13"/>
  <c r="AN257" i="13" s="1"/>
  <c r="AD258" i="13"/>
  <c r="AN258" i="13" s="1"/>
  <c r="AD259" i="13"/>
  <c r="AN259" i="13" s="1"/>
  <c r="AD260" i="13"/>
  <c r="AN260" i="13" s="1"/>
  <c r="AD261" i="13"/>
  <c r="AN261" i="13" s="1"/>
  <c r="AD262" i="13"/>
  <c r="AN262" i="13" s="1"/>
  <c r="AD263" i="13"/>
  <c r="AN263" i="13" s="1"/>
  <c r="AD264" i="13"/>
  <c r="AN264" i="13" s="1"/>
  <c r="AD265" i="13"/>
  <c r="AN265" i="13" s="1"/>
  <c r="AD266" i="13"/>
  <c r="AN266" i="13" s="1"/>
  <c r="AD267" i="13"/>
  <c r="AN267" i="13" s="1"/>
  <c r="AD268" i="13"/>
  <c r="AN268" i="13" s="1"/>
  <c r="AD269" i="13"/>
  <c r="AN269" i="13" s="1"/>
  <c r="AD270" i="13"/>
  <c r="AN270" i="13" s="1"/>
  <c r="AD271" i="13"/>
  <c r="AN271" i="13" s="1"/>
  <c r="AD272" i="13"/>
  <c r="AN272" i="13" s="1"/>
  <c r="AD273" i="13"/>
  <c r="AN273" i="13" s="1"/>
  <c r="AD274" i="13"/>
  <c r="AN274" i="13" s="1"/>
  <c r="AD275" i="13"/>
  <c r="AN275" i="13" s="1"/>
  <c r="AD276" i="13"/>
  <c r="AN276" i="13" s="1"/>
  <c r="AD277" i="13"/>
  <c r="AN277" i="13" s="1"/>
  <c r="AD278" i="13"/>
  <c r="AN278" i="13" s="1"/>
  <c r="AD279" i="13"/>
  <c r="AN279" i="13" s="1"/>
  <c r="AD280" i="13"/>
  <c r="AN280" i="13" s="1"/>
  <c r="AD281" i="13"/>
  <c r="AN281" i="13" s="1"/>
  <c r="AD282" i="13"/>
  <c r="AN282" i="13" s="1"/>
  <c r="AD283" i="13"/>
  <c r="AN283" i="13" s="1"/>
  <c r="AD284" i="13"/>
  <c r="AN284" i="13" s="1"/>
  <c r="AD285" i="13"/>
  <c r="AN285" i="13" s="1"/>
  <c r="AD286" i="13"/>
  <c r="AN286" i="13" s="1"/>
  <c r="AD287" i="13"/>
  <c r="AN287" i="13" s="1"/>
  <c r="AD288" i="13"/>
  <c r="AN288" i="13" s="1"/>
  <c r="AD289" i="13"/>
  <c r="AN289" i="13" s="1"/>
  <c r="AD290" i="13"/>
  <c r="AN290" i="13" s="1"/>
  <c r="AD291" i="13"/>
  <c r="AN291" i="13" s="1"/>
  <c r="AD292" i="13"/>
  <c r="AN292" i="13" s="1"/>
  <c r="AD293" i="13"/>
  <c r="AN293" i="13" s="1"/>
  <c r="AD294" i="13"/>
  <c r="AN294" i="13" s="1"/>
  <c r="AD295" i="13"/>
  <c r="AN295" i="13" s="1"/>
  <c r="AD296" i="13"/>
  <c r="AN296" i="13" s="1"/>
  <c r="AD297" i="13"/>
  <c r="AN297" i="13" s="1"/>
  <c r="AD298" i="13"/>
  <c r="AN298" i="13" s="1"/>
  <c r="AD299" i="13"/>
  <c r="AN299" i="13" s="1"/>
  <c r="AD300" i="13"/>
  <c r="AN300" i="13" s="1"/>
  <c r="AD301" i="13"/>
  <c r="AN301" i="13" s="1"/>
  <c r="AD302" i="13"/>
  <c r="AN302" i="13" s="1"/>
  <c r="AD303" i="13"/>
  <c r="AN303" i="13" s="1"/>
  <c r="AD304" i="13"/>
  <c r="AN304" i="13" s="1"/>
  <c r="AD305" i="13"/>
  <c r="AN305" i="13" s="1"/>
  <c r="AD306" i="13"/>
  <c r="AN306" i="13" s="1"/>
  <c r="AD307" i="13"/>
  <c r="AN307" i="13" s="1"/>
  <c r="AD308" i="13"/>
  <c r="AN308" i="13" s="1"/>
  <c r="AD309" i="13"/>
  <c r="AN309" i="13" s="1"/>
  <c r="AD310" i="13"/>
  <c r="AN310" i="13" s="1"/>
  <c r="AD311" i="13"/>
  <c r="AN311" i="13" s="1"/>
  <c r="AD312" i="13"/>
  <c r="AN312" i="13" s="1"/>
  <c r="AD313" i="13"/>
  <c r="AN313" i="13" s="1"/>
  <c r="AD314" i="13"/>
  <c r="AN314" i="13" s="1"/>
  <c r="AD315" i="13"/>
  <c r="AN315" i="13" s="1"/>
  <c r="AD316" i="13"/>
  <c r="AN316" i="13" s="1"/>
  <c r="AD317" i="13"/>
  <c r="AN317" i="13" s="1"/>
  <c r="AD318" i="13"/>
  <c r="AN318" i="13" s="1"/>
  <c r="AD319" i="13"/>
  <c r="AN319" i="13" s="1"/>
  <c r="AD320" i="13"/>
  <c r="AN320" i="13" s="1"/>
  <c r="AD321" i="13"/>
  <c r="AN321" i="13" s="1"/>
  <c r="AD322" i="13"/>
  <c r="AN322" i="13" s="1"/>
  <c r="AD323" i="13"/>
  <c r="AN323" i="13" s="1"/>
  <c r="AD324" i="13"/>
  <c r="AN324" i="13" s="1"/>
  <c r="AD325" i="13"/>
  <c r="AN325" i="13" s="1"/>
  <c r="AD326" i="13"/>
  <c r="AN326" i="13" s="1"/>
  <c r="AD327" i="13"/>
  <c r="AN327" i="13" s="1"/>
  <c r="AD328" i="13"/>
  <c r="AN328" i="13" s="1"/>
  <c r="AD329" i="13"/>
  <c r="AN329" i="13" s="1"/>
  <c r="AD330" i="13"/>
  <c r="AN330" i="13" s="1"/>
  <c r="AD331" i="13"/>
  <c r="AN331" i="13" s="1"/>
  <c r="AD332" i="13"/>
  <c r="AN332" i="13" s="1"/>
  <c r="AD333" i="13"/>
  <c r="AN333" i="13" s="1"/>
  <c r="AD334" i="13"/>
  <c r="AN334" i="13" s="1"/>
  <c r="AD335" i="13"/>
  <c r="AN335" i="13" s="1"/>
  <c r="AD336" i="13"/>
  <c r="AN336" i="13" s="1"/>
  <c r="AD337" i="13"/>
  <c r="AN337" i="13" s="1"/>
  <c r="AD338" i="13"/>
  <c r="AN338" i="13" s="1"/>
  <c r="AD339" i="13"/>
  <c r="AN339" i="13" s="1"/>
  <c r="AD340" i="13"/>
  <c r="AN340" i="13" s="1"/>
  <c r="AD341" i="13"/>
  <c r="AN341" i="13" s="1"/>
  <c r="AD342" i="13"/>
  <c r="AN342" i="13" s="1"/>
  <c r="AD343" i="13"/>
  <c r="AN343" i="13" s="1"/>
  <c r="AD344" i="13"/>
  <c r="AN344" i="13" s="1"/>
  <c r="AD345" i="13"/>
  <c r="AN345" i="13" s="1"/>
  <c r="AD346" i="13"/>
  <c r="AN346" i="13" s="1"/>
  <c r="AD347" i="13"/>
  <c r="AN347" i="13" s="1"/>
  <c r="AD348" i="13"/>
  <c r="AN348" i="13" s="1"/>
  <c r="AD349" i="13"/>
  <c r="AN349" i="13" s="1"/>
  <c r="AD350" i="13"/>
  <c r="AN350" i="13" s="1"/>
  <c r="AD351" i="13"/>
  <c r="AN351" i="13" s="1"/>
  <c r="AD352" i="13"/>
  <c r="AN352" i="13" s="1"/>
  <c r="AD353" i="13"/>
  <c r="AN353" i="13" s="1"/>
  <c r="AD354" i="13"/>
  <c r="AN354" i="13" s="1"/>
  <c r="AD355" i="13"/>
  <c r="AN355" i="13" s="1"/>
  <c r="AD356" i="13"/>
  <c r="AN356" i="13" s="1"/>
  <c r="AD357" i="13"/>
  <c r="AN357" i="13" s="1"/>
  <c r="AD358" i="13"/>
  <c r="AN358" i="13" s="1"/>
  <c r="AD359" i="13"/>
  <c r="AN359" i="13" s="1"/>
  <c r="AD360" i="13"/>
  <c r="AN360" i="13" s="1"/>
  <c r="AD361" i="13"/>
  <c r="AN361" i="13" s="1"/>
  <c r="AD362" i="13"/>
  <c r="AN362" i="13" s="1"/>
  <c r="AD363" i="13"/>
  <c r="AN363" i="13" s="1"/>
  <c r="AD364" i="13"/>
  <c r="AN364" i="13" s="1"/>
  <c r="AD365" i="13"/>
  <c r="AN365" i="13" s="1"/>
  <c r="AD366" i="13"/>
  <c r="AN366" i="13" s="1"/>
  <c r="AD367" i="13"/>
  <c r="AN367" i="13" s="1"/>
  <c r="AD368" i="13"/>
  <c r="AN368" i="13" s="1"/>
  <c r="AD369" i="13"/>
  <c r="AN369" i="13" s="1"/>
  <c r="AD370" i="13"/>
  <c r="AN370" i="13" s="1"/>
  <c r="AD371" i="13"/>
  <c r="AN371" i="13" s="1"/>
  <c r="AD372" i="13"/>
  <c r="AN372" i="13" s="1"/>
  <c r="AD373" i="13"/>
  <c r="AN373" i="13" s="1"/>
  <c r="AD374" i="13"/>
  <c r="AN374" i="13" s="1"/>
  <c r="AD375" i="13"/>
  <c r="AN375" i="13" s="1"/>
  <c r="AD376" i="13"/>
  <c r="AN376" i="13" s="1"/>
  <c r="AD377" i="13"/>
  <c r="AN377" i="13" s="1"/>
  <c r="AD378" i="13"/>
  <c r="AN378" i="13" s="1"/>
  <c r="AD379" i="13"/>
  <c r="AN379" i="13" s="1"/>
  <c r="AD380" i="13"/>
  <c r="AN380" i="13" s="1"/>
  <c r="AD381" i="13"/>
  <c r="AN381" i="13" s="1"/>
  <c r="AD382" i="13"/>
  <c r="AN382" i="13" s="1"/>
  <c r="AD383" i="13"/>
  <c r="AN383" i="13" s="1"/>
  <c r="AD384" i="13"/>
  <c r="AN384" i="13" s="1"/>
  <c r="AD385" i="13"/>
  <c r="AN385" i="13" s="1"/>
  <c r="AD386" i="13"/>
  <c r="AN386" i="13" s="1"/>
  <c r="AD387" i="13"/>
  <c r="AN387" i="13" s="1"/>
  <c r="AD388" i="13"/>
  <c r="AN388" i="13" s="1"/>
  <c r="AD389" i="13"/>
  <c r="AN389" i="13" s="1"/>
  <c r="AD390" i="13"/>
  <c r="AN390" i="13" s="1"/>
  <c r="AD391" i="13"/>
  <c r="AN391" i="13" s="1"/>
  <c r="AD392" i="13"/>
  <c r="AN392" i="13" s="1"/>
  <c r="AD393" i="13"/>
  <c r="AN393" i="13" s="1"/>
  <c r="AD394" i="13"/>
  <c r="AN394" i="13" s="1"/>
  <c r="AD395" i="13"/>
  <c r="AN395" i="13" s="1"/>
  <c r="AD396" i="13"/>
  <c r="AN396" i="13" s="1"/>
  <c r="AD397" i="13"/>
  <c r="AN397" i="13" s="1"/>
  <c r="AD398" i="13"/>
  <c r="AN398" i="13" s="1"/>
  <c r="AD399" i="13"/>
  <c r="AN399" i="13" s="1"/>
  <c r="AD400" i="13"/>
  <c r="AN400" i="13" s="1"/>
  <c r="AD401" i="13"/>
  <c r="AN401" i="13" s="1"/>
  <c r="AD402" i="13"/>
  <c r="AN402" i="13" s="1"/>
  <c r="AD403" i="13"/>
  <c r="AN403" i="13" s="1"/>
  <c r="AD404" i="13"/>
  <c r="AN404" i="13" s="1"/>
  <c r="AD405" i="13"/>
  <c r="AN405" i="13" s="1"/>
  <c r="AD406" i="13"/>
  <c r="AN406" i="13" s="1"/>
  <c r="AD407" i="13"/>
  <c r="AN407" i="13" s="1"/>
  <c r="AD408" i="13"/>
  <c r="AN408" i="13" s="1"/>
  <c r="AD409" i="13"/>
  <c r="AN409" i="13" s="1"/>
  <c r="AD410" i="13"/>
  <c r="AN410" i="13" s="1"/>
  <c r="AD411" i="13"/>
  <c r="AN411" i="13" s="1"/>
  <c r="AD412" i="13"/>
  <c r="AN412" i="13" s="1"/>
  <c r="AD413" i="13"/>
  <c r="AN413" i="13" s="1"/>
  <c r="AD414" i="13"/>
  <c r="AN414" i="13" s="1"/>
  <c r="AD415" i="13"/>
  <c r="AN415" i="13" s="1"/>
  <c r="AD416" i="13"/>
  <c r="AN416" i="13" s="1"/>
  <c r="AD417" i="13"/>
  <c r="AN417" i="13" s="1"/>
  <c r="AD418" i="13"/>
  <c r="AN418" i="13" s="1"/>
  <c r="AD419" i="13"/>
  <c r="AN419" i="13" s="1"/>
  <c r="AD420" i="13"/>
  <c r="AN420" i="13" s="1"/>
  <c r="AD421" i="13"/>
  <c r="AN421" i="13" s="1"/>
  <c r="AD422" i="13"/>
  <c r="AN422" i="13" s="1"/>
  <c r="AD423" i="13"/>
  <c r="AN423" i="13" s="1"/>
  <c r="AD424" i="13"/>
  <c r="AN424" i="13" s="1"/>
  <c r="AD425" i="13"/>
  <c r="AN425" i="13" s="1"/>
  <c r="AD426" i="13"/>
  <c r="AN426" i="13" s="1"/>
  <c r="AD427" i="13"/>
  <c r="AN427" i="13" s="1"/>
  <c r="AD428" i="13"/>
  <c r="AN428" i="13" s="1"/>
  <c r="AD429" i="13"/>
  <c r="AN429" i="13" s="1"/>
  <c r="AD430" i="13"/>
  <c r="AN430" i="13" s="1"/>
  <c r="AD431" i="13"/>
  <c r="AN431" i="13" s="1"/>
  <c r="AD432" i="13"/>
  <c r="AN432" i="13" s="1"/>
  <c r="AD433" i="13"/>
  <c r="AN433" i="13" s="1"/>
  <c r="AD434" i="13"/>
  <c r="AN434" i="13" s="1"/>
  <c r="AD435" i="13"/>
  <c r="AN435" i="13" s="1"/>
  <c r="AD436" i="13"/>
  <c r="AN436" i="13" s="1"/>
  <c r="AD437" i="13"/>
  <c r="AN437" i="13" s="1"/>
  <c r="AD438" i="13"/>
  <c r="AN438" i="13" s="1"/>
  <c r="AD439" i="13"/>
  <c r="AN439" i="13" s="1"/>
  <c r="AD440" i="13"/>
  <c r="AN440" i="13" s="1"/>
  <c r="AD441" i="13"/>
  <c r="AN441" i="13" s="1"/>
  <c r="AD442" i="13"/>
  <c r="AN442" i="13" s="1"/>
  <c r="AD443" i="13"/>
  <c r="AN443" i="13" s="1"/>
  <c r="AD444" i="13"/>
  <c r="AN444" i="13" s="1"/>
  <c r="AD445" i="13"/>
  <c r="AN445" i="13" s="1"/>
  <c r="AD446" i="13"/>
  <c r="AN446" i="13" s="1"/>
  <c r="AD447" i="13"/>
  <c r="AN447" i="13" s="1"/>
  <c r="AD448" i="13"/>
  <c r="AN448" i="13" s="1"/>
  <c r="AD449" i="13"/>
  <c r="AN449" i="13" s="1"/>
  <c r="AD450" i="13"/>
  <c r="AN450" i="13" s="1"/>
  <c r="AD451" i="13"/>
  <c r="AN451" i="13" s="1"/>
  <c r="AD452" i="13"/>
  <c r="AN452" i="13" s="1"/>
  <c r="AD453" i="13"/>
  <c r="AN453" i="13" s="1"/>
  <c r="AD454" i="13"/>
  <c r="AN454" i="13" s="1"/>
  <c r="AD455" i="13"/>
  <c r="AN455" i="13" s="1"/>
  <c r="AD456" i="13"/>
  <c r="AN456" i="13" s="1"/>
  <c r="AD457" i="13"/>
  <c r="AN457" i="13" s="1"/>
  <c r="AD458" i="13"/>
  <c r="AN458" i="13" s="1"/>
  <c r="AD459" i="13"/>
  <c r="AN459" i="13" s="1"/>
  <c r="AD460" i="13"/>
  <c r="AN460" i="13" s="1"/>
  <c r="AD461" i="13"/>
  <c r="AN461" i="13" s="1"/>
  <c r="AD462" i="13"/>
  <c r="AN462" i="13" s="1"/>
  <c r="AD463" i="13"/>
  <c r="AN463" i="13" s="1"/>
  <c r="AD464" i="13"/>
  <c r="AN464" i="13" s="1"/>
  <c r="AD465" i="13"/>
  <c r="AN465" i="13" s="1"/>
  <c r="AD466" i="13"/>
  <c r="AN466" i="13" s="1"/>
  <c r="AD467" i="13"/>
  <c r="AN467" i="13" s="1"/>
  <c r="AD468" i="13"/>
  <c r="AN468" i="13" s="1"/>
  <c r="AD469" i="13"/>
  <c r="AN469" i="13" s="1"/>
  <c r="AD470" i="13"/>
  <c r="AN470" i="13" s="1"/>
  <c r="AD471" i="13"/>
  <c r="AN471" i="13" s="1"/>
  <c r="AD472" i="13"/>
  <c r="AN472" i="13" s="1"/>
  <c r="AD473" i="13"/>
  <c r="AN473" i="13" s="1"/>
  <c r="AD474" i="13"/>
  <c r="AN474" i="13" s="1"/>
  <c r="AD475" i="13"/>
  <c r="AN475" i="13" s="1"/>
  <c r="AD476" i="13"/>
  <c r="AN476" i="13" s="1"/>
  <c r="AD477" i="13"/>
  <c r="AN477" i="13" s="1"/>
  <c r="AD478" i="13"/>
  <c r="AN478" i="13" s="1"/>
  <c r="AD479" i="13"/>
  <c r="AN479" i="13" s="1"/>
  <c r="AD480" i="13"/>
  <c r="AN480" i="13" s="1"/>
  <c r="AD481" i="13"/>
  <c r="AN481" i="13" s="1"/>
  <c r="AD482" i="13"/>
  <c r="AN482" i="13" s="1"/>
  <c r="AD483" i="13"/>
  <c r="AN483" i="13" s="1"/>
  <c r="AD484" i="13"/>
  <c r="AN484" i="13" s="1"/>
  <c r="AD485" i="13"/>
  <c r="AN485" i="13" s="1"/>
  <c r="AD486" i="13"/>
  <c r="AN486" i="13" s="1"/>
  <c r="AD487" i="13"/>
  <c r="AN487" i="13" s="1"/>
  <c r="AD488" i="13"/>
  <c r="AN488" i="13" s="1"/>
  <c r="AD489" i="13"/>
  <c r="AN489" i="13" s="1"/>
  <c r="AD490" i="13"/>
  <c r="AN490" i="13" s="1"/>
  <c r="AD491" i="13"/>
  <c r="AN491" i="13" s="1"/>
  <c r="AD492" i="13"/>
  <c r="AN492" i="13" s="1"/>
  <c r="AD493" i="13"/>
  <c r="AN493" i="13" s="1"/>
  <c r="AD494" i="13"/>
  <c r="AN494" i="13" s="1"/>
  <c r="AD495" i="13"/>
  <c r="AN495" i="13" s="1"/>
  <c r="AD496" i="13"/>
  <c r="AN496" i="13" s="1"/>
  <c r="AD497" i="13"/>
  <c r="AN497" i="13" s="1"/>
  <c r="AD498" i="13"/>
  <c r="AN498" i="13" s="1"/>
  <c r="AD499" i="13"/>
  <c r="AN499" i="13" s="1"/>
  <c r="AD500" i="13"/>
  <c r="AN500" i="13" s="1"/>
  <c r="AD501" i="13"/>
  <c r="AN501" i="13" s="1"/>
  <c r="AD502" i="13"/>
  <c r="AN502" i="13" s="1"/>
  <c r="AD503" i="13"/>
  <c r="AN503" i="13" s="1"/>
  <c r="AD504" i="13"/>
  <c r="AN504" i="13" s="1"/>
  <c r="AD505" i="13"/>
  <c r="AN505" i="13" s="1"/>
  <c r="AD506" i="13"/>
  <c r="AN506" i="13" s="1"/>
  <c r="AD507" i="13"/>
  <c r="AN507" i="13" s="1"/>
  <c r="AD508" i="13"/>
  <c r="AN508" i="13" s="1"/>
  <c r="AD509" i="13"/>
  <c r="AN509" i="13" s="1"/>
  <c r="AD510" i="13"/>
  <c r="AN510" i="13" s="1"/>
  <c r="AD511" i="13"/>
  <c r="AN511" i="13" s="1"/>
  <c r="AD512" i="13"/>
  <c r="AN512" i="13" s="1"/>
  <c r="AD513" i="13"/>
  <c r="AN513" i="13" s="1"/>
  <c r="AD514" i="13"/>
  <c r="AN514" i="13" s="1"/>
  <c r="AD515" i="13"/>
  <c r="AN515" i="13" s="1"/>
  <c r="AD516" i="13"/>
  <c r="AN516" i="13" s="1"/>
  <c r="AD517" i="13"/>
  <c r="AN517" i="13" s="1"/>
  <c r="AD518" i="13"/>
  <c r="AN518" i="13" s="1"/>
  <c r="AD519" i="13"/>
  <c r="AN519" i="13" s="1"/>
  <c r="AD520" i="13"/>
  <c r="AN520" i="13" s="1"/>
  <c r="AD521" i="13"/>
  <c r="AN521" i="13" s="1"/>
  <c r="AD522" i="13"/>
  <c r="AN522" i="13" s="1"/>
  <c r="AD523" i="13"/>
  <c r="AN523" i="13" s="1"/>
  <c r="AD524" i="13"/>
  <c r="AN524" i="13" s="1"/>
  <c r="AD525" i="13"/>
  <c r="AN525" i="13" s="1"/>
  <c r="AD526" i="13"/>
  <c r="AN526" i="13" s="1"/>
  <c r="AD527" i="13"/>
  <c r="AN527" i="13" s="1"/>
  <c r="AD528" i="13"/>
  <c r="AN528" i="13" s="1"/>
  <c r="AD529" i="13"/>
  <c r="AN529" i="13" s="1"/>
  <c r="AD530" i="13"/>
  <c r="AN530" i="13" s="1"/>
  <c r="AD531" i="13"/>
  <c r="AN531" i="13" s="1"/>
  <c r="AD532" i="13"/>
  <c r="AN532" i="13" s="1"/>
  <c r="AD533" i="13"/>
  <c r="AN533" i="13" s="1"/>
  <c r="AD534" i="13"/>
  <c r="AN534" i="13" s="1"/>
  <c r="AD535" i="13"/>
  <c r="AN535" i="13" s="1"/>
  <c r="AD536" i="13"/>
  <c r="AN536" i="13" s="1"/>
  <c r="AD537" i="13"/>
  <c r="AN537" i="13" s="1"/>
  <c r="AD538" i="13"/>
  <c r="AN538" i="13" s="1"/>
  <c r="AD539" i="13"/>
  <c r="AN539" i="13" s="1"/>
  <c r="AD540" i="13"/>
  <c r="AN540" i="13" s="1"/>
  <c r="AD541" i="13"/>
  <c r="AN541" i="13" s="1"/>
  <c r="AD542" i="13"/>
  <c r="AN542" i="13" s="1"/>
  <c r="AD543" i="13"/>
  <c r="AN543" i="13" s="1"/>
  <c r="AD544" i="13"/>
  <c r="AN544" i="13" s="1"/>
  <c r="AD545" i="13"/>
  <c r="AN545" i="13" s="1"/>
  <c r="AD546" i="13"/>
  <c r="AN546" i="13" s="1"/>
  <c r="AD547" i="13"/>
  <c r="AN547" i="13" s="1"/>
  <c r="AD548" i="13"/>
  <c r="AN548" i="13" s="1"/>
  <c r="AD549" i="13"/>
  <c r="AN549" i="13" s="1"/>
  <c r="AD550" i="13"/>
  <c r="AN550" i="13" s="1"/>
  <c r="AD551" i="13"/>
  <c r="AN551" i="13" s="1"/>
  <c r="AD552" i="13"/>
  <c r="AN552" i="13" s="1"/>
  <c r="AC3" i="13"/>
  <c r="AM3" i="13" s="1"/>
  <c r="AC4" i="13"/>
  <c r="AM4" i="13" s="1"/>
  <c r="AC5" i="13"/>
  <c r="AM5" i="13" s="1"/>
  <c r="AC6" i="13"/>
  <c r="AM6" i="13" s="1"/>
  <c r="AC7" i="13"/>
  <c r="AM7" i="13" s="1"/>
  <c r="AC8" i="13"/>
  <c r="AM8" i="13" s="1"/>
  <c r="AC9" i="13"/>
  <c r="AM9" i="13" s="1"/>
  <c r="AC10" i="13"/>
  <c r="AM10" i="13" s="1"/>
  <c r="AC11" i="13"/>
  <c r="AM11" i="13" s="1"/>
  <c r="AC12" i="13"/>
  <c r="AM12" i="13" s="1"/>
  <c r="AC13" i="13"/>
  <c r="AM13" i="13" s="1"/>
  <c r="AC14" i="13"/>
  <c r="AM14" i="13" s="1"/>
  <c r="AC15" i="13"/>
  <c r="AM15" i="13" s="1"/>
  <c r="AC16" i="13"/>
  <c r="AM16" i="13" s="1"/>
  <c r="AC17" i="13"/>
  <c r="AM17" i="13" s="1"/>
  <c r="AC18" i="13"/>
  <c r="AM18" i="13" s="1"/>
  <c r="AC19" i="13"/>
  <c r="AM19" i="13" s="1"/>
  <c r="AC20" i="13"/>
  <c r="AM20" i="13" s="1"/>
  <c r="AC21" i="13"/>
  <c r="AM21" i="13" s="1"/>
  <c r="AC22" i="13"/>
  <c r="AM22" i="13" s="1"/>
  <c r="AC23" i="13"/>
  <c r="AM23" i="13" s="1"/>
  <c r="AC24" i="13"/>
  <c r="AM24" i="13" s="1"/>
  <c r="AC25" i="13"/>
  <c r="AM25" i="13" s="1"/>
  <c r="AC26" i="13"/>
  <c r="AM26" i="13" s="1"/>
  <c r="AC27" i="13"/>
  <c r="AM27" i="13" s="1"/>
  <c r="AC28" i="13"/>
  <c r="AM28" i="13" s="1"/>
  <c r="AC29" i="13"/>
  <c r="AM29" i="13" s="1"/>
  <c r="AC30" i="13"/>
  <c r="AM30" i="13" s="1"/>
  <c r="AC31" i="13"/>
  <c r="AM31" i="13" s="1"/>
  <c r="AC32" i="13"/>
  <c r="AM32" i="13" s="1"/>
  <c r="AC33" i="13"/>
  <c r="AM33" i="13" s="1"/>
  <c r="AC34" i="13"/>
  <c r="AM34" i="13" s="1"/>
  <c r="AC35" i="13"/>
  <c r="AM35" i="13" s="1"/>
  <c r="AC36" i="13"/>
  <c r="AM36" i="13" s="1"/>
  <c r="AC37" i="13"/>
  <c r="AM37" i="13" s="1"/>
  <c r="AC38" i="13"/>
  <c r="AM38" i="13" s="1"/>
  <c r="AC39" i="13"/>
  <c r="AM39" i="13" s="1"/>
  <c r="AC40" i="13"/>
  <c r="AM40" i="13" s="1"/>
  <c r="AC41" i="13"/>
  <c r="AM41" i="13" s="1"/>
  <c r="AC42" i="13"/>
  <c r="AM42" i="13" s="1"/>
  <c r="AC43" i="13"/>
  <c r="AM43" i="13" s="1"/>
  <c r="AC44" i="13"/>
  <c r="AM44" i="13" s="1"/>
  <c r="AC45" i="13"/>
  <c r="AM45" i="13" s="1"/>
  <c r="AC46" i="13"/>
  <c r="AM46" i="13" s="1"/>
  <c r="AC47" i="13"/>
  <c r="AM47" i="13" s="1"/>
  <c r="AC48" i="13"/>
  <c r="AM48" i="13" s="1"/>
  <c r="AC49" i="13"/>
  <c r="AM49" i="13" s="1"/>
  <c r="AC50" i="13"/>
  <c r="AM50" i="13" s="1"/>
  <c r="AC51" i="13"/>
  <c r="AM51" i="13" s="1"/>
  <c r="AC52" i="13"/>
  <c r="AM52" i="13" s="1"/>
  <c r="AC53" i="13"/>
  <c r="AM53" i="13" s="1"/>
  <c r="AC54" i="13"/>
  <c r="AM54" i="13" s="1"/>
  <c r="AC55" i="13"/>
  <c r="AM55" i="13" s="1"/>
  <c r="AC56" i="13"/>
  <c r="AM56" i="13" s="1"/>
  <c r="AC57" i="13"/>
  <c r="AM57" i="13" s="1"/>
  <c r="AC58" i="13"/>
  <c r="AM58" i="13" s="1"/>
  <c r="AC59" i="13"/>
  <c r="AM59" i="13" s="1"/>
  <c r="AC60" i="13"/>
  <c r="AM60" i="13" s="1"/>
  <c r="AC61" i="13"/>
  <c r="AM61" i="13" s="1"/>
  <c r="AC62" i="13"/>
  <c r="AM62" i="13" s="1"/>
  <c r="AC63" i="13"/>
  <c r="AM63" i="13" s="1"/>
  <c r="AC64" i="13"/>
  <c r="AM64" i="13" s="1"/>
  <c r="AC65" i="13"/>
  <c r="AM65" i="13" s="1"/>
  <c r="AC66" i="13"/>
  <c r="AM66" i="13" s="1"/>
  <c r="AC67" i="13"/>
  <c r="AM67" i="13" s="1"/>
  <c r="AC68" i="13"/>
  <c r="AM68" i="13" s="1"/>
  <c r="AC69" i="13"/>
  <c r="AM69" i="13" s="1"/>
  <c r="AC70" i="13"/>
  <c r="AM70" i="13" s="1"/>
  <c r="AC71" i="13"/>
  <c r="AM71" i="13" s="1"/>
  <c r="AC72" i="13"/>
  <c r="AM72" i="13" s="1"/>
  <c r="AC73" i="13"/>
  <c r="AM73" i="13" s="1"/>
  <c r="AC74" i="13"/>
  <c r="AM74" i="13" s="1"/>
  <c r="AC75" i="13"/>
  <c r="AM75" i="13" s="1"/>
  <c r="AC76" i="13"/>
  <c r="AM76" i="13" s="1"/>
  <c r="AC77" i="13"/>
  <c r="AM77" i="13" s="1"/>
  <c r="AC78" i="13"/>
  <c r="AM78" i="13" s="1"/>
  <c r="AC79" i="13"/>
  <c r="AM79" i="13" s="1"/>
  <c r="AC80" i="13"/>
  <c r="AM80" i="13" s="1"/>
  <c r="AC81" i="13"/>
  <c r="AM81" i="13" s="1"/>
  <c r="AC82" i="13"/>
  <c r="AM82" i="13" s="1"/>
  <c r="AC83" i="13"/>
  <c r="AM83" i="13" s="1"/>
  <c r="AC84" i="13"/>
  <c r="AM84" i="13" s="1"/>
  <c r="AC85" i="13"/>
  <c r="AM85" i="13" s="1"/>
  <c r="AC86" i="13"/>
  <c r="AM86" i="13" s="1"/>
  <c r="AC87" i="13"/>
  <c r="AM87" i="13" s="1"/>
  <c r="AC88" i="13"/>
  <c r="AM88" i="13" s="1"/>
  <c r="AC89" i="13"/>
  <c r="AM89" i="13" s="1"/>
  <c r="AC90" i="13"/>
  <c r="AM90" i="13" s="1"/>
  <c r="AC91" i="13"/>
  <c r="AM91" i="13" s="1"/>
  <c r="AC92" i="13"/>
  <c r="AM92" i="13" s="1"/>
  <c r="AC93" i="13"/>
  <c r="AM93" i="13" s="1"/>
  <c r="AC94" i="13"/>
  <c r="AM94" i="13" s="1"/>
  <c r="AC95" i="13"/>
  <c r="AM95" i="13" s="1"/>
  <c r="AC96" i="13"/>
  <c r="AM96" i="13" s="1"/>
  <c r="AC97" i="13"/>
  <c r="AM97" i="13" s="1"/>
  <c r="AC98" i="13"/>
  <c r="AM98" i="13" s="1"/>
  <c r="AC99" i="13"/>
  <c r="AM99" i="13" s="1"/>
  <c r="AC100" i="13"/>
  <c r="AM100" i="13" s="1"/>
  <c r="AC101" i="13"/>
  <c r="AM101" i="13" s="1"/>
  <c r="AC102" i="13"/>
  <c r="AM102" i="13" s="1"/>
  <c r="AC103" i="13"/>
  <c r="AM103" i="13" s="1"/>
  <c r="AC104" i="13"/>
  <c r="AM104" i="13" s="1"/>
  <c r="AC105" i="13"/>
  <c r="AM105" i="13" s="1"/>
  <c r="AC106" i="13"/>
  <c r="AM106" i="13" s="1"/>
  <c r="AC107" i="13"/>
  <c r="AM107" i="13" s="1"/>
  <c r="AC108" i="13"/>
  <c r="AM108" i="13" s="1"/>
  <c r="AC109" i="13"/>
  <c r="AM109" i="13" s="1"/>
  <c r="AC110" i="13"/>
  <c r="AM110" i="13" s="1"/>
  <c r="AC111" i="13"/>
  <c r="AM111" i="13" s="1"/>
  <c r="AC112" i="13"/>
  <c r="AM112" i="13" s="1"/>
  <c r="AC113" i="13"/>
  <c r="AM113" i="13" s="1"/>
  <c r="AC114" i="13"/>
  <c r="AM114" i="13" s="1"/>
  <c r="AC115" i="13"/>
  <c r="AM115" i="13" s="1"/>
  <c r="AC116" i="13"/>
  <c r="AM116" i="13" s="1"/>
  <c r="AC117" i="13"/>
  <c r="AM117" i="13" s="1"/>
  <c r="AC118" i="13"/>
  <c r="AM118" i="13" s="1"/>
  <c r="AC119" i="13"/>
  <c r="AM119" i="13" s="1"/>
  <c r="AC120" i="13"/>
  <c r="AM120" i="13" s="1"/>
  <c r="AC121" i="13"/>
  <c r="AM121" i="13" s="1"/>
  <c r="AC122" i="13"/>
  <c r="AM122" i="13" s="1"/>
  <c r="AC123" i="13"/>
  <c r="AM123" i="13" s="1"/>
  <c r="AC124" i="13"/>
  <c r="AM124" i="13" s="1"/>
  <c r="AC125" i="13"/>
  <c r="AM125" i="13" s="1"/>
  <c r="AC126" i="13"/>
  <c r="AM126" i="13" s="1"/>
  <c r="AC127" i="13"/>
  <c r="AM127" i="13" s="1"/>
  <c r="AC128" i="13"/>
  <c r="AM128" i="13" s="1"/>
  <c r="AC129" i="13"/>
  <c r="AM129" i="13" s="1"/>
  <c r="AC130" i="13"/>
  <c r="AM130" i="13" s="1"/>
  <c r="AC131" i="13"/>
  <c r="AM131" i="13" s="1"/>
  <c r="AC132" i="13"/>
  <c r="AM132" i="13" s="1"/>
  <c r="AC133" i="13"/>
  <c r="AM133" i="13" s="1"/>
  <c r="AC134" i="13"/>
  <c r="AM134" i="13" s="1"/>
  <c r="AC135" i="13"/>
  <c r="AM135" i="13" s="1"/>
  <c r="AC136" i="13"/>
  <c r="AM136" i="13" s="1"/>
  <c r="AC137" i="13"/>
  <c r="AM137" i="13" s="1"/>
  <c r="AC138" i="13"/>
  <c r="AM138" i="13" s="1"/>
  <c r="AC139" i="13"/>
  <c r="AM139" i="13" s="1"/>
  <c r="AC140" i="13"/>
  <c r="AM140" i="13" s="1"/>
  <c r="AC141" i="13"/>
  <c r="AM141" i="13" s="1"/>
  <c r="AC142" i="13"/>
  <c r="AM142" i="13" s="1"/>
  <c r="AC143" i="13"/>
  <c r="AM143" i="13" s="1"/>
  <c r="AC144" i="13"/>
  <c r="AM144" i="13" s="1"/>
  <c r="AC145" i="13"/>
  <c r="AM145" i="13" s="1"/>
  <c r="AC146" i="13"/>
  <c r="AM146" i="13" s="1"/>
  <c r="AC147" i="13"/>
  <c r="AM147" i="13" s="1"/>
  <c r="AC148" i="13"/>
  <c r="AM148" i="13" s="1"/>
  <c r="AC149" i="13"/>
  <c r="AM149" i="13" s="1"/>
  <c r="AC150" i="13"/>
  <c r="AM150" i="13" s="1"/>
  <c r="AC151" i="13"/>
  <c r="AM151" i="13" s="1"/>
  <c r="AC152" i="13"/>
  <c r="AM152" i="13" s="1"/>
  <c r="AC153" i="13"/>
  <c r="AM153" i="13" s="1"/>
  <c r="AC154" i="13"/>
  <c r="AM154" i="13" s="1"/>
  <c r="AC155" i="13"/>
  <c r="AM155" i="13" s="1"/>
  <c r="AC156" i="13"/>
  <c r="AM156" i="13" s="1"/>
  <c r="AC157" i="13"/>
  <c r="AM157" i="13" s="1"/>
  <c r="AC158" i="13"/>
  <c r="AM158" i="13" s="1"/>
  <c r="AC159" i="13"/>
  <c r="AM159" i="13" s="1"/>
  <c r="AC160" i="13"/>
  <c r="AM160" i="13" s="1"/>
  <c r="AC161" i="13"/>
  <c r="AM161" i="13" s="1"/>
  <c r="AC162" i="13"/>
  <c r="AM162" i="13" s="1"/>
  <c r="AC163" i="13"/>
  <c r="AM163" i="13" s="1"/>
  <c r="AC164" i="13"/>
  <c r="AM164" i="13" s="1"/>
  <c r="AC165" i="13"/>
  <c r="AM165" i="13" s="1"/>
  <c r="AC166" i="13"/>
  <c r="AM166" i="13" s="1"/>
  <c r="AC167" i="13"/>
  <c r="AM167" i="13" s="1"/>
  <c r="AC168" i="13"/>
  <c r="AM168" i="13" s="1"/>
  <c r="AC169" i="13"/>
  <c r="AM169" i="13" s="1"/>
  <c r="AC170" i="13"/>
  <c r="AM170" i="13" s="1"/>
  <c r="AC171" i="13"/>
  <c r="AM171" i="13" s="1"/>
  <c r="AC172" i="13"/>
  <c r="AM172" i="13" s="1"/>
  <c r="AC173" i="13"/>
  <c r="AM173" i="13" s="1"/>
  <c r="AC174" i="13"/>
  <c r="AM174" i="13" s="1"/>
  <c r="AC175" i="13"/>
  <c r="AM175" i="13" s="1"/>
  <c r="AC176" i="13"/>
  <c r="AM176" i="13" s="1"/>
  <c r="AC177" i="13"/>
  <c r="AM177" i="13" s="1"/>
  <c r="AC178" i="13"/>
  <c r="AM178" i="13" s="1"/>
  <c r="AC179" i="13"/>
  <c r="AM179" i="13" s="1"/>
  <c r="AC180" i="13"/>
  <c r="AM180" i="13" s="1"/>
  <c r="AC181" i="13"/>
  <c r="AM181" i="13" s="1"/>
  <c r="AC182" i="13"/>
  <c r="AM182" i="13" s="1"/>
  <c r="AC183" i="13"/>
  <c r="AM183" i="13" s="1"/>
  <c r="AC184" i="13"/>
  <c r="AM184" i="13" s="1"/>
  <c r="AC185" i="13"/>
  <c r="AM185" i="13" s="1"/>
  <c r="AC186" i="13"/>
  <c r="AM186" i="13" s="1"/>
  <c r="AC187" i="13"/>
  <c r="AM187" i="13" s="1"/>
  <c r="AC188" i="13"/>
  <c r="AM188" i="13" s="1"/>
  <c r="AC189" i="13"/>
  <c r="AM189" i="13" s="1"/>
  <c r="AC190" i="13"/>
  <c r="AM190" i="13" s="1"/>
  <c r="AC191" i="13"/>
  <c r="AM191" i="13" s="1"/>
  <c r="AC192" i="13"/>
  <c r="AM192" i="13" s="1"/>
  <c r="AC193" i="13"/>
  <c r="AM193" i="13" s="1"/>
  <c r="AC194" i="13"/>
  <c r="AM194" i="13" s="1"/>
  <c r="AC195" i="13"/>
  <c r="AM195" i="13" s="1"/>
  <c r="AC196" i="13"/>
  <c r="AM196" i="13" s="1"/>
  <c r="AC197" i="13"/>
  <c r="AM197" i="13" s="1"/>
  <c r="AC198" i="13"/>
  <c r="AM198" i="13" s="1"/>
  <c r="AC199" i="13"/>
  <c r="AM199" i="13" s="1"/>
  <c r="AC200" i="13"/>
  <c r="AM200" i="13" s="1"/>
  <c r="AC201" i="13"/>
  <c r="AM201" i="13" s="1"/>
  <c r="AC202" i="13"/>
  <c r="AM202" i="13" s="1"/>
  <c r="AC203" i="13"/>
  <c r="AM203" i="13" s="1"/>
  <c r="AC204" i="13"/>
  <c r="AM204" i="13" s="1"/>
  <c r="AC205" i="13"/>
  <c r="AM205" i="13" s="1"/>
  <c r="AC206" i="13"/>
  <c r="AM206" i="13" s="1"/>
  <c r="AC207" i="13"/>
  <c r="AM207" i="13" s="1"/>
  <c r="AC208" i="13"/>
  <c r="AM208" i="13" s="1"/>
  <c r="AC209" i="13"/>
  <c r="AM209" i="13" s="1"/>
  <c r="AC210" i="13"/>
  <c r="AM210" i="13" s="1"/>
  <c r="AC211" i="13"/>
  <c r="AM211" i="13" s="1"/>
  <c r="AC212" i="13"/>
  <c r="AM212" i="13" s="1"/>
  <c r="AC213" i="13"/>
  <c r="AM213" i="13" s="1"/>
  <c r="AC214" i="13"/>
  <c r="AM214" i="13" s="1"/>
  <c r="AC215" i="13"/>
  <c r="AM215" i="13" s="1"/>
  <c r="AC216" i="13"/>
  <c r="AM216" i="13" s="1"/>
  <c r="AC217" i="13"/>
  <c r="AM217" i="13" s="1"/>
  <c r="AC218" i="13"/>
  <c r="AM218" i="13" s="1"/>
  <c r="AC219" i="13"/>
  <c r="AM219" i="13" s="1"/>
  <c r="AC220" i="13"/>
  <c r="AM220" i="13" s="1"/>
  <c r="AC221" i="13"/>
  <c r="AM221" i="13" s="1"/>
  <c r="AC222" i="13"/>
  <c r="AM222" i="13" s="1"/>
  <c r="AC223" i="13"/>
  <c r="AM223" i="13" s="1"/>
  <c r="AC224" i="13"/>
  <c r="AM224" i="13" s="1"/>
  <c r="AC225" i="13"/>
  <c r="AM225" i="13" s="1"/>
  <c r="AC226" i="13"/>
  <c r="AM226" i="13" s="1"/>
  <c r="AC227" i="13"/>
  <c r="AM227" i="13" s="1"/>
  <c r="AC228" i="13"/>
  <c r="AM228" i="13" s="1"/>
  <c r="AC229" i="13"/>
  <c r="AM229" i="13" s="1"/>
  <c r="AC230" i="13"/>
  <c r="AM230" i="13" s="1"/>
  <c r="AC231" i="13"/>
  <c r="AM231" i="13" s="1"/>
  <c r="AC232" i="13"/>
  <c r="AM232" i="13" s="1"/>
  <c r="AC233" i="13"/>
  <c r="AM233" i="13" s="1"/>
  <c r="AC234" i="13"/>
  <c r="AM234" i="13" s="1"/>
  <c r="AC235" i="13"/>
  <c r="AM235" i="13" s="1"/>
  <c r="AC236" i="13"/>
  <c r="AM236" i="13" s="1"/>
  <c r="AC237" i="13"/>
  <c r="AM237" i="13" s="1"/>
  <c r="AC238" i="13"/>
  <c r="AM238" i="13" s="1"/>
  <c r="AC239" i="13"/>
  <c r="AM239" i="13" s="1"/>
  <c r="AC240" i="13"/>
  <c r="AM240" i="13" s="1"/>
  <c r="AC241" i="13"/>
  <c r="AM241" i="13" s="1"/>
  <c r="AC242" i="13"/>
  <c r="AM242" i="13" s="1"/>
  <c r="AC243" i="13"/>
  <c r="AM243" i="13" s="1"/>
  <c r="AC244" i="13"/>
  <c r="AM244" i="13" s="1"/>
  <c r="AC245" i="13"/>
  <c r="AM245" i="13" s="1"/>
  <c r="AC246" i="13"/>
  <c r="AM246" i="13" s="1"/>
  <c r="AC247" i="13"/>
  <c r="AM247" i="13" s="1"/>
  <c r="AC248" i="13"/>
  <c r="AM248" i="13" s="1"/>
  <c r="AC249" i="13"/>
  <c r="AM249" i="13" s="1"/>
  <c r="AC250" i="13"/>
  <c r="AM250" i="13" s="1"/>
  <c r="AC251" i="13"/>
  <c r="AM251" i="13" s="1"/>
  <c r="AC252" i="13"/>
  <c r="AM252" i="13" s="1"/>
  <c r="AC253" i="13"/>
  <c r="AM253" i="13" s="1"/>
  <c r="AC254" i="13"/>
  <c r="AM254" i="13" s="1"/>
  <c r="AC255" i="13"/>
  <c r="AM255" i="13" s="1"/>
  <c r="AC256" i="13"/>
  <c r="AM256" i="13" s="1"/>
  <c r="AC257" i="13"/>
  <c r="AM257" i="13" s="1"/>
  <c r="AC258" i="13"/>
  <c r="AM258" i="13" s="1"/>
  <c r="AC259" i="13"/>
  <c r="AM259" i="13" s="1"/>
  <c r="AC260" i="13"/>
  <c r="AM260" i="13" s="1"/>
  <c r="AC261" i="13"/>
  <c r="AM261" i="13" s="1"/>
  <c r="AC262" i="13"/>
  <c r="AM262" i="13" s="1"/>
  <c r="AC263" i="13"/>
  <c r="AM263" i="13" s="1"/>
  <c r="AC264" i="13"/>
  <c r="AM264" i="13" s="1"/>
  <c r="AC265" i="13"/>
  <c r="AM265" i="13" s="1"/>
  <c r="AC266" i="13"/>
  <c r="AM266" i="13" s="1"/>
  <c r="AC267" i="13"/>
  <c r="AM267" i="13" s="1"/>
  <c r="AC268" i="13"/>
  <c r="AM268" i="13" s="1"/>
  <c r="AC269" i="13"/>
  <c r="AM269" i="13" s="1"/>
  <c r="AC270" i="13"/>
  <c r="AM270" i="13" s="1"/>
  <c r="AC271" i="13"/>
  <c r="AM271" i="13" s="1"/>
  <c r="AC272" i="13"/>
  <c r="AM272" i="13" s="1"/>
  <c r="AC273" i="13"/>
  <c r="AM273" i="13" s="1"/>
  <c r="AC274" i="13"/>
  <c r="AM274" i="13" s="1"/>
  <c r="AC275" i="13"/>
  <c r="AM275" i="13" s="1"/>
  <c r="AC276" i="13"/>
  <c r="AM276" i="13" s="1"/>
  <c r="AC277" i="13"/>
  <c r="AM277" i="13" s="1"/>
  <c r="AC278" i="13"/>
  <c r="AM278" i="13" s="1"/>
  <c r="AC279" i="13"/>
  <c r="AM279" i="13" s="1"/>
  <c r="AC280" i="13"/>
  <c r="AM280" i="13" s="1"/>
  <c r="AC281" i="13"/>
  <c r="AM281" i="13" s="1"/>
  <c r="AC282" i="13"/>
  <c r="AM282" i="13" s="1"/>
  <c r="AC283" i="13"/>
  <c r="AM283" i="13" s="1"/>
  <c r="AC284" i="13"/>
  <c r="AM284" i="13" s="1"/>
  <c r="AC285" i="13"/>
  <c r="AM285" i="13" s="1"/>
  <c r="AC286" i="13"/>
  <c r="AM286" i="13" s="1"/>
  <c r="AC287" i="13"/>
  <c r="AM287" i="13" s="1"/>
  <c r="AC288" i="13"/>
  <c r="AM288" i="13" s="1"/>
  <c r="AC289" i="13"/>
  <c r="AM289" i="13" s="1"/>
  <c r="AC290" i="13"/>
  <c r="AM290" i="13" s="1"/>
  <c r="AC291" i="13"/>
  <c r="AM291" i="13" s="1"/>
  <c r="AC292" i="13"/>
  <c r="AM292" i="13" s="1"/>
  <c r="AC293" i="13"/>
  <c r="AM293" i="13" s="1"/>
  <c r="AC294" i="13"/>
  <c r="AM294" i="13" s="1"/>
  <c r="AC295" i="13"/>
  <c r="AM295" i="13" s="1"/>
  <c r="AC296" i="13"/>
  <c r="AM296" i="13" s="1"/>
  <c r="AC297" i="13"/>
  <c r="AM297" i="13" s="1"/>
  <c r="AC298" i="13"/>
  <c r="AM298" i="13" s="1"/>
  <c r="AC299" i="13"/>
  <c r="AM299" i="13" s="1"/>
  <c r="AC300" i="13"/>
  <c r="AM300" i="13" s="1"/>
  <c r="AC301" i="13"/>
  <c r="AM301" i="13" s="1"/>
  <c r="AC302" i="13"/>
  <c r="AM302" i="13" s="1"/>
  <c r="AC303" i="13"/>
  <c r="AM303" i="13" s="1"/>
  <c r="AC304" i="13"/>
  <c r="AM304" i="13" s="1"/>
  <c r="AC305" i="13"/>
  <c r="AM305" i="13" s="1"/>
  <c r="AC306" i="13"/>
  <c r="AM306" i="13" s="1"/>
  <c r="AC307" i="13"/>
  <c r="AM307" i="13" s="1"/>
  <c r="AC308" i="13"/>
  <c r="AM308" i="13" s="1"/>
  <c r="AC309" i="13"/>
  <c r="AM309" i="13" s="1"/>
  <c r="AC310" i="13"/>
  <c r="AM310" i="13" s="1"/>
  <c r="AC311" i="13"/>
  <c r="AM311" i="13" s="1"/>
  <c r="AC312" i="13"/>
  <c r="AM312" i="13" s="1"/>
  <c r="AC313" i="13"/>
  <c r="AM313" i="13" s="1"/>
  <c r="AC314" i="13"/>
  <c r="AM314" i="13" s="1"/>
  <c r="AC315" i="13"/>
  <c r="AM315" i="13" s="1"/>
  <c r="AC316" i="13"/>
  <c r="AM316" i="13" s="1"/>
  <c r="AC317" i="13"/>
  <c r="AM317" i="13" s="1"/>
  <c r="AC318" i="13"/>
  <c r="AM318" i="13" s="1"/>
  <c r="AC319" i="13"/>
  <c r="AM319" i="13" s="1"/>
  <c r="AC320" i="13"/>
  <c r="AM320" i="13" s="1"/>
  <c r="AC321" i="13"/>
  <c r="AM321" i="13" s="1"/>
  <c r="AC322" i="13"/>
  <c r="AM322" i="13" s="1"/>
  <c r="AC323" i="13"/>
  <c r="AM323" i="13" s="1"/>
  <c r="AC324" i="13"/>
  <c r="AM324" i="13" s="1"/>
  <c r="AC325" i="13"/>
  <c r="AM325" i="13" s="1"/>
  <c r="AC326" i="13"/>
  <c r="AM326" i="13" s="1"/>
  <c r="AC327" i="13"/>
  <c r="AM327" i="13" s="1"/>
  <c r="AC328" i="13"/>
  <c r="AM328" i="13" s="1"/>
  <c r="AC329" i="13"/>
  <c r="AM329" i="13" s="1"/>
  <c r="AC330" i="13"/>
  <c r="AM330" i="13" s="1"/>
  <c r="AC331" i="13"/>
  <c r="AM331" i="13" s="1"/>
  <c r="AC332" i="13"/>
  <c r="AM332" i="13" s="1"/>
  <c r="AC333" i="13"/>
  <c r="AM333" i="13" s="1"/>
  <c r="AC334" i="13"/>
  <c r="AM334" i="13" s="1"/>
  <c r="AC335" i="13"/>
  <c r="AM335" i="13" s="1"/>
  <c r="AC336" i="13"/>
  <c r="AM336" i="13" s="1"/>
  <c r="AC337" i="13"/>
  <c r="AM337" i="13" s="1"/>
  <c r="AC338" i="13"/>
  <c r="AM338" i="13" s="1"/>
  <c r="AC339" i="13"/>
  <c r="AM339" i="13" s="1"/>
  <c r="AC340" i="13"/>
  <c r="AM340" i="13" s="1"/>
  <c r="AC341" i="13"/>
  <c r="AM341" i="13" s="1"/>
  <c r="AC342" i="13"/>
  <c r="AM342" i="13" s="1"/>
  <c r="AC343" i="13"/>
  <c r="AM343" i="13" s="1"/>
  <c r="AC344" i="13"/>
  <c r="AM344" i="13" s="1"/>
  <c r="AC345" i="13"/>
  <c r="AM345" i="13" s="1"/>
  <c r="AC346" i="13"/>
  <c r="AM346" i="13" s="1"/>
  <c r="AC347" i="13"/>
  <c r="AM347" i="13" s="1"/>
  <c r="AC348" i="13"/>
  <c r="AM348" i="13" s="1"/>
  <c r="AC349" i="13"/>
  <c r="AM349" i="13" s="1"/>
  <c r="AC350" i="13"/>
  <c r="AM350" i="13" s="1"/>
  <c r="AC351" i="13"/>
  <c r="AM351" i="13" s="1"/>
  <c r="AC352" i="13"/>
  <c r="AM352" i="13" s="1"/>
  <c r="AC353" i="13"/>
  <c r="AM353" i="13" s="1"/>
  <c r="AC354" i="13"/>
  <c r="AM354" i="13" s="1"/>
  <c r="AC355" i="13"/>
  <c r="AM355" i="13" s="1"/>
  <c r="AC356" i="13"/>
  <c r="AM356" i="13" s="1"/>
  <c r="AC357" i="13"/>
  <c r="AM357" i="13" s="1"/>
  <c r="AC358" i="13"/>
  <c r="AM358" i="13" s="1"/>
  <c r="AC359" i="13"/>
  <c r="AM359" i="13" s="1"/>
  <c r="AC360" i="13"/>
  <c r="AM360" i="13" s="1"/>
  <c r="AC361" i="13"/>
  <c r="AM361" i="13" s="1"/>
  <c r="AC362" i="13"/>
  <c r="AM362" i="13" s="1"/>
  <c r="AC363" i="13"/>
  <c r="AM363" i="13" s="1"/>
  <c r="AC364" i="13"/>
  <c r="AM364" i="13" s="1"/>
  <c r="AC365" i="13"/>
  <c r="AM365" i="13" s="1"/>
  <c r="AC366" i="13"/>
  <c r="AM366" i="13" s="1"/>
  <c r="AC367" i="13"/>
  <c r="AM367" i="13" s="1"/>
  <c r="AC368" i="13"/>
  <c r="AM368" i="13" s="1"/>
  <c r="AC369" i="13"/>
  <c r="AM369" i="13" s="1"/>
  <c r="AC370" i="13"/>
  <c r="AM370" i="13" s="1"/>
  <c r="AC371" i="13"/>
  <c r="AM371" i="13" s="1"/>
  <c r="AC372" i="13"/>
  <c r="AM372" i="13" s="1"/>
  <c r="AC373" i="13"/>
  <c r="AM373" i="13" s="1"/>
  <c r="AC374" i="13"/>
  <c r="AM374" i="13" s="1"/>
  <c r="AC375" i="13"/>
  <c r="AM375" i="13" s="1"/>
  <c r="AC376" i="13"/>
  <c r="AM376" i="13" s="1"/>
  <c r="AC377" i="13"/>
  <c r="AM377" i="13" s="1"/>
  <c r="AC378" i="13"/>
  <c r="AM378" i="13" s="1"/>
  <c r="AC379" i="13"/>
  <c r="AM379" i="13" s="1"/>
  <c r="AC380" i="13"/>
  <c r="AM380" i="13" s="1"/>
  <c r="AC381" i="13"/>
  <c r="AM381" i="13" s="1"/>
  <c r="AC382" i="13"/>
  <c r="AM382" i="13" s="1"/>
  <c r="AC383" i="13"/>
  <c r="AM383" i="13" s="1"/>
  <c r="AC384" i="13"/>
  <c r="AM384" i="13" s="1"/>
  <c r="AC385" i="13"/>
  <c r="AM385" i="13" s="1"/>
  <c r="AC386" i="13"/>
  <c r="AM386" i="13" s="1"/>
  <c r="AC387" i="13"/>
  <c r="AM387" i="13" s="1"/>
  <c r="AC388" i="13"/>
  <c r="AM388" i="13" s="1"/>
  <c r="AC389" i="13"/>
  <c r="AM389" i="13" s="1"/>
  <c r="AC390" i="13"/>
  <c r="AM390" i="13" s="1"/>
  <c r="AC391" i="13"/>
  <c r="AM391" i="13" s="1"/>
  <c r="AC392" i="13"/>
  <c r="AM392" i="13" s="1"/>
  <c r="AC393" i="13"/>
  <c r="AM393" i="13" s="1"/>
  <c r="AC394" i="13"/>
  <c r="AM394" i="13" s="1"/>
  <c r="AC395" i="13"/>
  <c r="AM395" i="13" s="1"/>
  <c r="AC396" i="13"/>
  <c r="AM396" i="13" s="1"/>
  <c r="AC397" i="13"/>
  <c r="AM397" i="13" s="1"/>
  <c r="AC398" i="13"/>
  <c r="AM398" i="13" s="1"/>
  <c r="AC399" i="13"/>
  <c r="AM399" i="13" s="1"/>
  <c r="AC400" i="13"/>
  <c r="AM400" i="13" s="1"/>
  <c r="AC401" i="13"/>
  <c r="AM401" i="13" s="1"/>
  <c r="AC402" i="13"/>
  <c r="AM402" i="13" s="1"/>
  <c r="AC403" i="13"/>
  <c r="AM403" i="13" s="1"/>
  <c r="AC404" i="13"/>
  <c r="AM404" i="13" s="1"/>
  <c r="AC405" i="13"/>
  <c r="AM405" i="13" s="1"/>
  <c r="AC406" i="13"/>
  <c r="AM406" i="13" s="1"/>
  <c r="AC407" i="13"/>
  <c r="AM407" i="13" s="1"/>
  <c r="AC408" i="13"/>
  <c r="AM408" i="13" s="1"/>
  <c r="AC409" i="13"/>
  <c r="AM409" i="13" s="1"/>
  <c r="AC410" i="13"/>
  <c r="AM410" i="13" s="1"/>
  <c r="AC411" i="13"/>
  <c r="AM411" i="13" s="1"/>
  <c r="AC412" i="13"/>
  <c r="AM412" i="13" s="1"/>
  <c r="AC413" i="13"/>
  <c r="AM413" i="13" s="1"/>
  <c r="AC414" i="13"/>
  <c r="AM414" i="13" s="1"/>
  <c r="AC415" i="13"/>
  <c r="AM415" i="13" s="1"/>
  <c r="AC416" i="13"/>
  <c r="AM416" i="13" s="1"/>
  <c r="AC417" i="13"/>
  <c r="AM417" i="13" s="1"/>
  <c r="AC418" i="13"/>
  <c r="AM418" i="13" s="1"/>
  <c r="AC419" i="13"/>
  <c r="AM419" i="13" s="1"/>
  <c r="AC420" i="13"/>
  <c r="AM420" i="13" s="1"/>
  <c r="AC421" i="13"/>
  <c r="AM421" i="13" s="1"/>
  <c r="AC422" i="13"/>
  <c r="AM422" i="13" s="1"/>
  <c r="AC423" i="13"/>
  <c r="AM423" i="13" s="1"/>
  <c r="AC424" i="13"/>
  <c r="AM424" i="13" s="1"/>
  <c r="AC425" i="13"/>
  <c r="AM425" i="13" s="1"/>
  <c r="AC426" i="13"/>
  <c r="AM426" i="13" s="1"/>
  <c r="AC427" i="13"/>
  <c r="AM427" i="13" s="1"/>
  <c r="AC428" i="13"/>
  <c r="AM428" i="13" s="1"/>
  <c r="AC429" i="13"/>
  <c r="AM429" i="13" s="1"/>
  <c r="AC430" i="13"/>
  <c r="AM430" i="13" s="1"/>
  <c r="AC431" i="13"/>
  <c r="AM431" i="13" s="1"/>
  <c r="AC432" i="13"/>
  <c r="AM432" i="13" s="1"/>
  <c r="AC433" i="13"/>
  <c r="AM433" i="13" s="1"/>
  <c r="AC434" i="13"/>
  <c r="AM434" i="13" s="1"/>
  <c r="AC435" i="13"/>
  <c r="AM435" i="13" s="1"/>
  <c r="AC436" i="13"/>
  <c r="AM436" i="13" s="1"/>
  <c r="AC437" i="13"/>
  <c r="AM437" i="13" s="1"/>
  <c r="AC438" i="13"/>
  <c r="AM438" i="13" s="1"/>
  <c r="AC439" i="13"/>
  <c r="AM439" i="13" s="1"/>
  <c r="AC440" i="13"/>
  <c r="AM440" i="13" s="1"/>
  <c r="AC441" i="13"/>
  <c r="AM441" i="13" s="1"/>
  <c r="AC442" i="13"/>
  <c r="AM442" i="13" s="1"/>
  <c r="AC443" i="13"/>
  <c r="AM443" i="13" s="1"/>
  <c r="AC444" i="13"/>
  <c r="AM444" i="13" s="1"/>
  <c r="AC445" i="13"/>
  <c r="AM445" i="13" s="1"/>
  <c r="AC446" i="13"/>
  <c r="AM446" i="13" s="1"/>
  <c r="AC447" i="13"/>
  <c r="AM447" i="13" s="1"/>
  <c r="AC448" i="13"/>
  <c r="AM448" i="13" s="1"/>
  <c r="AC449" i="13"/>
  <c r="AM449" i="13" s="1"/>
  <c r="AC450" i="13"/>
  <c r="AM450" i="13" s="1"/>
  <c r="AC451" i="13"/>
  <c r="AM451" i="13" s="1"/>
  <c r="AC452" i="13"/>
  <c r="AM452" i="13" s="1"/>
  <c r="AC453" i="13"/>
  <c r="AM453" i="13" s="1"/>
  <c r="AC454" i="13"/>
  <c r="AM454" i="13" s="1"/>
  <c r="AC455" i="13"/>
  <c r="AM455" i="13" s="1"/>
  <c r="AC456" i="13"/>
  <c r="AM456" i="13" s="1"/>
  <c r="AC457" i="13"/>
  <c r="AM457" i="13" s="1"/>
  <c r="AC458" i="13"/>
  <c r="AM458" i="13" s="1"/>
  <c r="AC459" i="13"/>
  <c r="AM459" i="13" s="1"/>
  <c r="AC460" i="13"/>
  <c r="AM460" i="13" s="1"/>
  <c r="AC461" i="13"/>
  <c r="AM461" i="13" s="1"/>
  <c r="AC462" i="13"/>
  <c r="AM462" i="13" s="1"/>
  <c r="AC463" i="13"/>
  <c r="AM463" i="13" s="1"/>
  <c r="AC464" i="13"/>
  <c r="AM464" i="13" s="1"/>
  <c r="AC465" i="13"/>
  <c r="AM465" i="13" s="1"/>
  <c r="AC466" i="13"/>
  <c r="AM466" i="13" s="1"/>
  <c r="AC467" i="13"/>
  <c r="AM467" i="13" s="1"/>
  <c r="AC468" i="13"/>
  <c r="AM468" i="13" s="1"/>
  <c r="AC469" i="13"/>
  <c r="AM469" i="13" s="1"/>
  <c r="AC470" i="13"/>
  <c r="AM470" i="13" s="1"/>
  <c r="AC471" i="13"/>
  <c r="AM471" i="13" s="1"/>
  <c r="AC472" i="13"/>
  <c r="AM472" i="13" s="1"/>
  <c r="AC473" i="13"/>
  <c r="AM473" i="13" s="1"/>
  <c r="AC474" i="13"/>
  <c r="AM474" i="13" s="1"/>
  <c r="AC475" i="13"/>
  <c r="AM475" i="13" s="1"/>
  <c r="AC476" i="13"/>
  <c r="AM476" i="13" s="1"/>
  <c r="AC477" i="13"/>
  <c r="AM477" i="13" s="1"/>
  <c r="AC478" i="13"/>
  <c r="AM478" i="13" s="1"/>
  <c r="AC479" i="13"/>
  <c r="AM479" i="13" s="1"/>
  <c r="AC480" i="13"/>
  <c r="AM480" i="13" s="1"/>
  <c r="AC481" i="13"/>
  <c r="AM481" i="13" s="1"/>
  <c r="AC482" i="13"/>
  <c r="AM482" i="13" s="1"/>
  <c r="AC483" i="13"/>
  <c r="AM483" i="13" s="1"/>
  <c r="AC484" i="13"/>
  <c r="AM484" i="13" s="1"/>
  <c r="AC485" i="13"/>
  <c r="AM485" i="13" s="1"/>
  <c r="AC486" i="13"/>
  <c r="AM486" i="13" s="1"/>
  <c r="AC487" i="13"/>
  <c r="AM487" i="13" s="1"/>
  <c r="AC488" i="13"/>
  <c r="AM488" i="13" s="1"/>
  <c r="AC489" i="13"/>
  <c r="AM489" i="13" s="1"/>
  <c r="AC490" i="13"/>
  <c r="AM490" i="13" s="1"/>
  <c r="AC491" i="13"/>
  <c r="AM491" i="13" s="1"/>
  <c r="AC492" i="13"/>
  <c r="AM492" i="13" s="1"/>
  <c r="AC493" i="13"/>
  <c r="AM493" i="13" s="1"/>
  <c r="AC494" i="13"/>
  <c r="AM494" i="13" s="1"/>
  <c r="AC495" i="13"/>
  <c r="AM495" i="13" s="1"/>
  <c r="AC496" i="13"/>
  <c r="AM496" i="13" s="1"/>
  <c r="AC497" i="13"/>
  <c r="AM497" i="13" s="1"/>
  <c r="AC498" i="13"/>
  <c r="AM498" i="13" s="1"/>
  <c r="AC499" i="13"/>
  <c r="AM499" i="13" s="1"/>
  <c r="AC500" i="13"/>
  <c r="AM500" i="13" s="1"/>
  <c r="AC501" i="13"/>
  <c r="AM501" i="13" s="1"/>
  <c r="AC502" i="13"/>
  <c r="AM502" i="13" s="1"/>
  <c r="AC503" i="13"/>
  <c r="AM503" i="13" s="1"/>
  <c r="AC504" i="13"/>
  <c r="AM504" i="13" s="1"/>
  <c r="AC505" i="13"/>
  <c r="AM505" i="13" s="1"/>
  <c r="AC506" i="13"/>
  <c r="AM506" i="13" s="1"/>
  <c r="AC507" i="13"/>
  <c r="AM507" i="13" s="1"/>
  <c r="AC508" i="13"/>
  <c r="AM508" i="13" s="1"/>
  <c r="AC509" i="13"/>
  <c r="AM509" i="13" s="1"/>
  <c r="AC510" i="13"/>
  <c r="AM510" i="13" s="1"/>
  <c r="AC511" i="13"/>
  <c r="AM511" i="13" s="1"/>
  <c r="AC512" i="13"/>
  <c r="AM512" i="13" s="1"/>
  <c r="AC513" i="13"/>
  <c r="AM513" i="13" s="1"/>
  <c r="AC514" i="13"/>
  <c r="AM514" i="13" s="1"/>
  <c r="AC515" i="13"/>
  <c r="AM515" i="13" s="1"/>
  <c r="AC516" i="13"/>
  <c r="AM516" i="13" s="1"/>
  <c r="AC517" i="13"/>
  <c r="AM517" i="13" s="1"/>
  <c r="AC518" i="13"/>
  <c r="AM518" i="13" s="1"/>
  <c r="AC519" i="13"/>
  <c r="AM519" i="13" s="1"/>
  <c r="AC520" i="13"/>
  <c r="AM520" i="13" s="1"/>
  <c r="AC521" i="13"/>
  <c r="AM521" i="13" s="1"/>
  <c r="AC522" i="13"/>
  <c r="AM522" i="13" s="1"/>
  <c r="AC523" i="13"/>
  <c r="AM523" i="13" s="1"/>
  <c r="AC524" i="13"/>
  <c r="AM524" i="13" s="1"/>
  <c r="AC525" i="13"/>
  <c r="AM525" i="13" s="1"/>
  <c r="AC526" i="13"/>
  <c r="AM526" i="13" s="1"/>
  <c r="AC527" i="13"/>
  <c r="AM527" i="13" s="1"/>
  <c r="AC528" i="13"/>
  <c r="AM528" i="13" s="1"/>
  <c r="AC529" i="13"/>
  <c r="AM529" i="13" s="1"/>
  <c r="AC530" i="13"/>
  <c r="AM530" i="13" s="1"/>
  <c r="AC531" i="13"/>
  <c r="AM531" i="13" s="1"/>
  <c r="AC532" i="13"/>
  <c r="AM532" i="13" s="1"/>
  <c r="AC533" i="13"/>
  <c r="AM533" i="13" s="1"/>
  <c r="AC534" i="13"/>
  <c r="AM534" i="13" s="1"/>
  <c r="AC535" i="13"/>
  <c r="AM535" i="13" s="1"/>
  <c r="AC536" i="13"/>
  <c r="AM536" i="13" s="1"/>
  <c r="AC537" i="13"/>
  <c r="AM537" i="13" s="1"/>
  <c r="AC538" i="13"/>
  <c r="AM538" i="13" s="1"/>
  <c r="AC539" i="13"/>
  <c r="AM539" i="13" s="1"/>
  <c r="AC540" i="13"/>
  <c r="AM540" i="13" s="1"/>
  <c r="AC541" i="13"/>
  <c r="AM541" i="13" s="1"/>
  <c r="AC542" i="13"/>
  <c r="AM542" i="13" s="1"/>
  <c r="AC543" i="13"/>
  <c r="AM543" i="13" s="1"/>
  <c r="AC544" i="13"/>
  <c r="AM544" i="13" s="1"/>
  <c r="AC545" i="13"/>
  <c r="AM545" i="13" s="1"/>
  <c r="AC546" i="13"/>
  <c r="AM546" i="13" s="1"/>
  <c r="AC547" i="13"/>
  <c r="AM547" i="13" s="1"/>
  <c r="AC548" i="13"/>
  <c r="AM548" i="13" s="1"/>
  <c r="AC549" i="13"/>
  <c r="AM549" i="13" s="1"/>
  <c r="AC550" i="13"/>
  <c r="AM550" i="13" s="1"/>
  <c r="AC551" i="13"/>
  <c r="AM551" i="13" s="1"/>
  <c r="AC552" i="13"/>
  <c r="AM552" i="13" s="1"/>
  <c r="AB3" i="13"/>
  <c r="AB4" i="13"/>
  <c r="AB5" i="13"/>
  <c r="AB6" i="13"/>
  <c r="AB7" i="13"/>
  <c r="AB8" i="13"/>
  <c r="AB9" i="13"/>
  <c r="AB10" i="13"/>
  <c r="AB11" i="13"/>
  <c r="AB12" i="13"/>
  <c r="AB13" i="13"/>
  <c r="AB14" i="13"/>
  <c r="AB15" i="13"/>
  <c r="AB16" i="13"/>
  <c r="AB17" i="13"/>
  <c r="AB18" i="13"/>
  <c r="AB19" i="13"/>
  <c r="AB20" i="13"/>
  <c r="AB21" i="13"/>
  <c r="AB22" i="13"/>
  <c r="AB23" i="13"/>
  <c r="AB24" i="13"/>
  <c r="AB25" i="13"/>
  <c r="AB26" i="13"/>
  <c r="AB27" i="13"/>
  <c r="AB28" i="13"/>
  <c r="AB29" i="13"/>
  <c r="AB30" i="13"/>
  <c r="AB31" i="13"/>
  <c r="AB32" i="13"/>
  <c r="AB33" i="13"/>
  <c r="AB34" i="13"/>
  <c r="AB35" i="13"/>
  <c r="AB36" i="13"/>
  <c r="AB37" i="13"/>
  <c r="AB38" i="13"/>
  <c r="AB39" i="13"/>
  <c r="AB40" i="13"/>
  <c r="AB41" i="13"/>
  <c r="AB42" i="13"/>
  <c r="AB43" i="13"/>
  <c r="AB44" i="13"/>
  <c r="AB45" i="13"/>
  <c r="AB46" i="13"/>
  <c r="AB47" i="13"/>
  <c r="AB48" i="13"/>
  <c r="AB49" i="13"/>
  <c r="AB50" i="13"/>
  <c r="AB51" i="13"/>
  <c r="AB52" i="13"/>
  <c r="AB53" i="13"/>
  <c r="AB54" i="13"/>
  <c r="AB55" i="13"/>
  <c r="AB56" i="13"/>
  <c r="AB57" i="13"/>
  <c r="AB58" i="13"/>
  <c r="AB59" i="13"/>
  <c r="AB60" i="13"/>
  <c r="AB61" i="13"/>
  <c r="AB62" i="13"/>
  <c r="AB63" i="13"/>
  <c r="AB64" i="13"/>
  <c r="AB65" i="13"/>
  <c r="AB66" i="13"/>
  <c r="AB67" i="13"/>
  <c r="AB68" i="13"/>
  <c r="AB69" i="13"/>
  <c r="AB70" i="13"/>
  <c r="AB71" i="13"/>
  <c r="AB72" i="13"/>
  <c r="AB73" i="13"/>
  <c r="AB74" i="13"/>
  <c r="AB75" i="13"/>
  <c r="AB76" i="13"/>
  <c r="AB77" i="13"/>
  <c r="AB78" i="13"/>
  <c r="AB79" i="13"/>
  <c r="AB80" i="13"/>
  <c r="AB81" i="13"/>
  <c r="AB82" i="13"/>
  <c r="AB83" i="13"/>
  <c r="AB84" i="13"/>
  <c r="AB85" i="13"/>
  <c r="AB86" i="13"/>
  <c r="AB87" i="13"/>
  <c r="AB88" i="13"/>
  <c r="AB89" i="13"/>
  <c r="AB90" i="13"/>
  <c r="AB91" i="13"/>
  <c r="AB92" i="13"/>
  <c r="AB93" i="13"/>
  <c r="AB94" i="13"/>
  <c r="AB95" i="13"/>
  <c r="AB96" i="13"/>
  <c r="AB97" i="13"/>
  <c r="AB98" i="13"/>
  <c r="AB99" i="13"/>
  <c r="AB100" i="13"/>
  <c r="AB101" i="13"/>
  <c r="AB102" i="13"/>
  <c r="AB103" i="13"/>
  <c r="AB104" i="13"/>
  <c r="AB105" i="13"/>
  <c r="AB106" i="13"/>
  <c r="AB107" i="13"/>
  <c r="AB108" i="13"/>
  <c r="AB109" i="13"/>
  <c r="AB110" i="13"/>
  <c r="AB111" i="13"/>
  <c r="AB112" i="13"/>
  <c r="AB113" i="13"/>
  <c r="AB114" i="13"/>
  <c r="AB115" i="13"/>
  <c r="AB116" i="13"/>
  <c r="AB117" i="13"/>
  <c r="AB118" i="13"/>
  <c r="AB119" i="13"/>
  <c r="AB120" i="13"/>
  <c r="AB121" i="13"/>
  <c r="AB122" i="13"/>
  <c r="AB123" i="13"/>
  <c r="AB124" i="13"/>
  <c r="AB125" i="13"/>
  <c r="AB126" i="13"/>
  <c r="AB127" i="13"/>
  <c r="AB128" i="13"/>
  <c r="AB129" i="13"/>
  <c r="AB130" i="13"/>
  <c r="AB131" i="13"/>
  <c r="AB132" i="13"/>
  <c r="AB133" i="13"/>
  <c r="AB134" i="13"/>
  <c r="AB135" i="13"/>
  <c r="AB136" i="13"/>
  <c r="AB137" i="13"/>
  <c r="AB138" i="13"/>
  <c r="AB139" i="13"/>
  <c r="AB140" i="13"/>
  <c r="AB141" i="13"/>
  <c r="AB142" i="13"/>
  <c r="AB143" i="13"/>
  <c r="AB144" i="13"/>
  <c r="AB145" i="13"/>
  <c r="AB146" i="13"/>
  <c r="AB147" i="13"/>
  <c r="AB148" i="13"/>
  <c r="AB149" i="13"/>
  <c r="AB150" i="13"/>
  <c r="AB151" i="13"/>
  <c r="AB152" i="13"/>
  <c r="AB153" i="13"/>
  <c r="AB154" i="13"/>
  <c r="AB155" i="13"/>
  <c r="AB156" i="13"/>
  <c r="AB157" i="13"/>
  <c r="AB158" i="13"/>
  <c r="AB159" i="13"/>
  <c r="AB160" i="13"/>
  <c r="AB161" i="13"/>
  <c r="AB162" i="13"/>
  <c r="AB163" i="13"/>
  <c r="AB164" i="13"/>
  <c r="AB165" i="13"/>
  <c r="AB166" i="13"/>
  <c r="AB167" i="13"/>
  <c r="AB168" i="13"/>
  <c r="AB169" i="13"/>
  <c r="AB170" i="13"/>
  <c r="AB171" i="13"/>
  <c r="AB172" i="13"/>
  <c r="AB173" i="13"/>
  <c r="AB174" i="13"/>
  <c r="AB175" i="13"/>
  <c r="AB176" i="13"/>
  <c r="AB177" i="13"/>
  <c r="AB178" i="13"/>
  <c r="AB179" i="13"/>
  <c r="AB180" i="13"/>
  <c r="AB181" i="13"/>
  <c r="AB182" i="13"/>
  <c r="AB183" i="13"/>
  <c r="AB184" i="13"/>
  <c r="AB185" i="13"/>
  <c r="AB186" i="13"/>
  <c r="AB187" i="13"/>
  <c r="AB188" i="13"/>
  <c r="AB189" i="13"/>
  <c r="AB190" i="13"/>
  <c r="AB191" i="13"/>
  <c r="AB192" i="13"/>
  <c r="AB193" i="13"/>
  <c r="AB194" i="13"/>
  <c r="AB195" i="13"/>
  <c r="AB196" i="13"/>
  <c r="AB197" i="13"/>
  <c r="AB198" i="13"/>
  <c r="AB199" i="13"/>
  <c r="AB200" i="13"/>
  <c r="AB201" i="13"/>
  <c r="AB202" i="13"/>
  <c r="AB203" i="13"/>
  <c r="AB204" i="13"/>
  <c r="AB205" i="13"/>
  <c r="AB206" i="13"/>
  <c r="AB207" i="13"/>
  <c r="AB208" i="13"/>
  <c r="AB209" i="13"/>
  <c r="AB210" i="13"/>
  <c r="AB211" i="13"/>
  <c r="AB212" i="13"/>
  <c r="AB213" i="13"/>
  <c r="AB214" i="13"/>
  <c r="AB215" i="13"/>
  <c r="AB216" i="13"/>
  <c r="AB217" i="13"/>
  <c r="AB218" i="13"/>
  <c r="AB219" i="13"/>
  <c r="AB220" i="13"/>
  <c r="AB221" i="13"/>
  <c r="AB222" i="13"/>
  <c r="AB223" i="13"/>
  <c r="AB224" i="13"/>
  <c r="AB225" i="13"/>
  <c r="AB226" i="13"/>
  <c r="AB227" i="13"/>
  <c r="AB228" i="13"/>
  <c r="AB229" i="13"/>
  <c r="AB230" i="13"/>
  <c r="AB231" i="13"/>
  <c r="AB232" i="13"/>
  <c r="AB233" i="13"/>
  <c r="AB234" i="13"/>
  <c r="AB235" i="13"/>
  <c r="AB236" i="13"/>
  <c r="AB237" i="13"/>
  <c r="AB238" i="13"/>
  <c r="AB239" i="13"/>
  <c r="AB240" i="13"/>
  <c r="AB241" i="13"/>
  <c r="AB242" i="13"/>
  <c r="AB243" i="13"/>
  <c r="AB244" i="13"/>
  <c r="AB245" i="13"/>
  <c r="AB246" i="13"/>
  <c r="AB247" i="13"/>
  <c r="AB248" i="13"/>
  <c r="AB249" i="13"/>
  <c r="AB250" i="13"/>
  <c r="AB251" i="13"/>
  <c r="AB252" i="13"/>
  <c r="AB253" i="13"/>
  <c r="AB254" i="13"/>
  <c r="AB255" i="13"/>
  <c r="AB256" i="13"/>
  <c r="AB257" i="13"/>
  <c r="AB258" i="13"/>
  <c r="AB259" i="13"/>
  <c r="AB260" i="13"/>
  <c r="AB261" i="13"/>
  <c r="AB262" i="13"/>
  <c r="AB263" i="13"/>
  <c r="AB264" i="13"/>
  <c r="AB265" i="13"/>
  <c r="AB266" i="13"/>
  <c r="AB267" i="13"/>
  <c r="AB268" i="13"/>
  <c r="AB269" i="13"/>
  <c r="AB270" i="13"/>
  <c r="AB271" i="13"/>
  <c r="AB272" i="13"/>
  <c r="AB273" i="13"/>
  <c r="AB274" i="13"/>
  <c r="AB275" i="13"/>
  <c r="AB276" i="13"/>
  <c r="AB277" i="13"/>
  <c r="AB278" i="13"/>
  <c r="AB279" i="13"/>
  <c r="AB280" i="13"/>
  <c r="AB281" i="13"/>
  <c r="AB282" i="13"/>
  <c r="AB283" i="13"/>
  <c r="AB284" i="13"/>
  <c r="AB285" i="13"/>
  <c r="AB286" i="13"/>
  <c r="AB287" i="13"/>
  <c r="AB288" i="13"/>
  <c r="AB289" i="13"/>
  <c r="AB290" i="13"/>
  <c r="AB291" i="13"/>
  <c r="AB292" i="13"/>
  <c r="AB293" i="13"/>
  <c r="AB294" i="13"/>
  <c r="AB295" i="13"/>
  <c r="AB296" i="13"/>
  <c r="AB297" i="13"/>
  <c r="AB298" i="13"/>
  <c r="AB299" i="13"/>
  <c r="AB300" i="13"/>
  <c r="AB301" i="13"/>
  <c r="AB302" i="13"/>
  <c r="AB303" i="13"/>
  <c r="AB304" i="13"/>
  <c r="AB305" i="13"/>
  <c r="AB306" i="13"/>
  <c r="AB307" i="13"/>
  <c r="AB308" i="13"/>
  <c r="AB309" i="13"/>
  <c r="AB310" i="13"/>
  <c r="AB311" i="13"/>
  <c r="AB312" i="13"/>
  <c r="AB313" i="13"/>
  <c r="AB314" i="13"/>
  <c r="AB315" i="13"/>
  <c r="AB316" i="13"/>
  <c r="AB317" i="13"/>
  <c r="AB318" i="13"/>
  <c r="AB319" i="13"/>
  <c r="AB320" i="13"/>
  <c r="AB321" i="13"/>
  <c r="AB322" i="13"/>
  <c r="AB323" i="13"/>
  <c r="AB324" i="13"/>
  <c r="AB325" i="13"/>
  <c r="AB326" i="13"/>
  <c r="AB327" i="13"/>
  <c r="AB328" i="13"/>
  <c r="AB329" i="13"/>
  <c r="AB330" i="13"/>
  <c r="AB331" i="13"/>
  <c r="AB332" i="13"/>
  <c r="AB333" i="13"/>
  <c r="AB334" i="13"/>
  <c r="AB335" i="13"/>
  <c r="AB336" i="13"/>
  <c r="AB337" i="13"/>
  <c r="AB338" i="13"/>
  <c r="AB339" i="13"/>
  <c r="AB340" i="13"/>
  <c r="AB341" i="13"/>
  <c r="AB342" i="13"/>
  <c r="AB343" i="13"/>
  <c r="AB344" i="13"/>
  <c r="AB345" i="13"/>
  <c r="AB346" i="13"/>
  <c r="AB347" i="13"/>
  <c r="AB348" i="13"/>
  <c r="AB349" i="13"/>
  <c r="AB350" i="13"/>
  <c r="AB351" i="13"/>
  <c r="AB352" i="13"/>
  <c r="AB353" i="13"/>
  <c r="AB354" i="13"/>
  <c r="AB355" i="13"/>
  <c r="AB356" i="13"/>
  <c r="AB357" i="13"/>
  <c r="AB358" i="13"/>
  <c r="AB359" i="13"/>
  <c r="AB360" i="13"/>
  <c r="AB361" i="13"/>
  <c r="AB362" i="13"/>
  <c r="AB363" i="13"/>
  <c r="AB364" i="13"/>
  <c r="AB365" i="13"/>
  <c r="AB366" i="13"/>
  <c r="AB367" i="13"/>
  <c r="AB368" i="13"/>
  <c r="AB369" i="13"/>
  <c r="AB370" i="13"/>
  <c r="AB371" i="13"/>
  <c r="AB372" i="13"/>
  <c r="AB373" i="13"/>
  <c r="AB374" i="13"/>
  <c r="AB375" i="13"/>
  <c r="AB376" i="13"/>
  <c r="AB377" i="13"/>
  <c r="AB378" i="13"/>
  <c r="AB379" i="13"/>
  <c r="AB380" i="13"/>
  <c r="AB381" i="13"/>
  <c r="AB382" i="13"/>
  <c r="AB383" i="13"/>
  <c r="AB384" i="13"/>
  <c r="AB385" i="13"/>
  <c r="AB386" i="13"/>
  <c r="AB387" i="13"/>
  <c r="AB388" i="13"/>
  <c r="AB389" i="13"/>
  <c r="AB390" i="13"/>
  <c r="AB391" i="13"/>
  <c r="AB392" i="13"/>
  <c r="AB393" i="13"/>
  <c r="AB394" i="13"/>
  <c r="AB395" i="13"/>
  <c r="AB396" i="13"/>
  <c r="AB397" i="13"/>
  <c r="AB398" i="13"/>
  <c r="AB399" i="13"/>
  <c r="AB400" i="13"/>
  <c r="AB401" i="13"/>
  <c r="AB402" i="13"/>
  <c r="AB403" i="13"/>
  <c r="AB404" i="13"/>
  <c r="AB405" i="13"/>
  <c r="AB406" i="13"/>
  <c r="AB407" i="13"/>
  <c r="AB408" i="13"/>
  <c r="AB409" i="13"/>
  <c r="AB410" i="13"/>
  <c r="AB411" i="13"/>
  <c r="AB412" i="13"/>
  <c r="AB413" i="13"/>
  <c r="AB414" i="13"/>
  <c r="AB415" i="13"/>
  <c r="AB416" i="13"/>
  <c r="AB417" i="13"/>
  <c r="AB418" i="13"/>
  <c r="AB419" i="13"/>
  <c r="AB420" i="13"/>
  <c r="AB421" i="13"/>
  <c r="AB422" i="13"/>
  <c r="AB423" i="13"/>
  <c r="AB424" i="13"/>
  <c r="AB425" i="13"/>
  <c r="AB426" i="13"/>
  <c r="AB427" i="13"/>
  <c r="AB428" i="13"/>
  <c r="AB429" i="13"/>
  <c r="AB430" i="13"/>
  <c r="AB431" i="13"/>
  <c r="AB432" i="13"/>
  <c r="AB433" i="13"/>
  <c r="AB434" i="13"/>
  <c r="AB435" i="13"/>
  <c r="AB436" i="13"/>
  <c r="AB437" i="13"/>
  <c r="AB438" i="13"/>
  <c r="AB439" i="13"/>
  <c r="AB440" i="13"/>
  <c r="AB441" i="13"/>
  <c r="AB442" i="13"/>
  <c r="AB443" i="13"/>
  <c r="AB444" i="13"/>
  <c r="AB445" i="13"/>
  <c r="AB446" i="13"/>
  <c r="AB447" i="13"/>
  <c r="AB448" i="13"/>
  <c r="AB449" i="13"/>
  <c r="AB450" i="13"/>
  <c r="AB451" i="13"/>
  <c r="AB452" i="13"/>
  <c r="AB453" i="13"/>
  <c r="AB454" i="13"/>
  <c r="AB455" i="13"/>
  <c r="AB456" i="13"/>
  <c r="AB457" i="13"/>
  <c r="AB458" i="13"/>
  <c r="AB459" i="13"/>
  <c r="AB460" i="13"/>
  <c r="AB461" i="13"/>
  <c r="AB462" i="13"/>
  <c r="AB463" i="13"/>
  <c r="AB464" i="13"/>
  <c r="AB465" i="13"/>
  <c r="AB466" i="13"/>
  <c r="AB467" i="13"/>
  <c r="AB468" i="13"/>
  <c r="AB469" i="13"/>
  <c r="AB470" i="13"/>
  <c r="AB471" i="13"/>
  <c r="AB472" i="13"/>
  <c r="AB473" i="13"/>
  <c r="AB474" i="13"/>
  <c r="AB475" i="13"/>
  <c r="AB476" i="13"/>
  <c r="AB477" i="13"/>
  <c r="AB478" i="13"/>
  <c r="AB479" i="13"/>
  <c r="AB480" i="13"/>
  <c r="AB481" i="13"/>
  <c r="AB482" i="13"/>
  <c r="AB483" i="13"/>
  <c r="AB484" i="13"/>
  <c r="AB485" i="13"/>
  <c r="AB486" i="13"/>
  <c r="AB487" i="13"/>
  <c r="AB488" i="13"/>
  <c r="AB489" i="13"/>
  <c r="AB490" i="13"/>
  <c r="AB491" i="13"/>
  <c r="AB492" i="13"/>
  <c r="AB493" i="13"/>
  <c r="AB494" i="13"/>
  <c r="AB495" i="13"/>
  <c r="AB496" i="13"/>
  <c r="AB497" i="13"/>
  <c r="AB498" i="13"/>
  <c r="AB499" i="13"/>
  <c r="AB500" i="13"/>
  <c r="AB501" i="13"/>
  <c r="AB502" i="13"/>
  <c r="AB503" i="13"/>
  <c r="AB504" i="13"/>
  <c r="AB505" i="13"/>
  <c r="AB506" i="13"/>
  <c r="AB507" i="13"/>
  <c r="AB508" i="13"/>
  <c r="AB509" i="13"/>
  <c r="AB510" i="13"/>
  <c r="AB511" i="13"/>
  <c r="AB512" i="13"/>
  <c r="AB513" i="13"/>
  <c r="AB514" i="13"/>
  <c r="AB515" i="13"/>
  <c r="AB516" i="13"/>
  <c r="AB517" i="13"/>
  <c r="AB518" i="13"/>
  <c r="AB519" i="13"/>
  <c r="AB520" i="13"/>
  <c r="AB521" i="13"/>
  <c r="AB522" i="13"/>
  <c r="AB523" i="13"/>
  <c r="AB524" i="13"/>
  <c r="AB525" i="13"/>
  <c r="AB526" i="13"/>
  <c r="AB527" i="13"/>
  <c r="AB528" i="13"/>
  <c r="AB529" i="13"/>
  <c r="AB530" i="13"/>
  <c r="AB531" i="13"/>
  <c r="AB532" i="13"/>
  <c r="AB533" i="13"/>
  <c r="AB534" i="13"/>
  <c r="AB535" i="13"/>
  <c r="AB536" i="13"/>
  <c r="AB537" i="13"/>
  <c r="AB538" i="13"/>
  <c r="AB539" i="13"/>
  <c r="AB540" i="13"/>
  <c r="AB541" i="13"/>
  <c r="AB542" i="13"/>
  <c r="AB543" i="13"/>
  <c r="AB544" i="13"/>
  <c r="AB545" i="13"/>
  <c r="AB546" i="13"/>
  <c r="AB547" i="13"/>
  <c r="AB548" i="13"/>
  <c r="AB549" i="13"/>
  <c r="AB550" i="13"/>
  <c r="AB551" i="13"/>
  <c r="AB552" i="13"/>
  <c r="AA3" i="13"/>
  <c r="AA4" i="13"/>
  <c r="AA5" i="13"/>
  <c r="AA6" i="13"/>
  <c r="AA7" i="13"/>
  <c r="AA8" i="13"/>
  <c r="AA9" i="13"/>
  <c r="AA10" i="13"/>
  <c r="AA11" i="13"/>
  <c r="AA12" i="13"/>
  <c r="AA13" i="13"/>
  <c r="AA14" i="13"/>
  <c r="AA15" i="13"/>
  <c r="AA16" i="13"/>
  <c r="AA17" i="13"/>
  <c r="AA18" i="13"/>
  <c r="AA19" i="13"/>
  <c r="AA20" i="13"/>
  <c r="AA21" i="13"/>
  <c r="AA22" i="13"/>
  <c r="AA23" i="13"/>
  <c r="AA24" i="13"/>
  <c r="AA25" i="13"/>
  <c r="AA26" i="13"/>
  <c r="AA27" i="13"/>
  <c r="AA28" i="13"/>
  <c r="AA29" i="13"/>
  <c r="AA30" i="13"/>
  <c r="AA31" i="13"/>
  <c r="AA32" i="13"/>
  <c r="AA33" i="13"/>
  <c r="AA34" i="13"/>
  <c r="AA35" i="13"/>
  <c r="AA36" i="13"/>
  <c r="AA37" i="13"/>
  <c r="AA38" i="13"/>
  <c r="AA39" i="13"/>
  <c r="AA40" i="13"/>
  <c r="AA41" i="13"/>
  <c r="AA42" i="13"/>
  <c r="AA43" i="13"/>
  <c r="AA44" i="13"/>
  <c r="AA45" i="13"/>
  <c r="AA46" i="13"/>
  <c r="AA47" i="13"/>
  <c r="AA48" i="13"/>
  <c r="AA49" i="13"/>
  <c r="AA50" i="13"/>
  <c r="AA51" i="13"/>
  <c r="AA52" i="13"/>
  <c r="AA53" i="13"/>
  <c r="AA54" i="13"/>
  <c r="AA55" i="13"/>
  <c r="AA56" i="13"/>
  <c r="AA57" i="13"/>
  <c r="AA58" i="13"/>
  <c r="AA59" i="13"/>
  <c r="AA60" i="13"/>
  <c r="AA61" i="13"/>
  <c r="AA62" i="13"/>
  <c r="AA63" i="13"/>
  <c r="AA64" i="13"/>
  <c r="AA65" i="13"/>
  <c r="AA66" i="13"/>
  <c r="AA67" i="13"/>
  <c r="AA68" i="13"/>
  <c r="AA69" i="13"/>
  <c r="AA70" i="13"/>
  <c r="AA71" i="13"/>
  <c r="AA72" i="13"/>
  <c r="AA73" i="13"/>
  <c r="AA74" i="13"/>
  <c r="AA75" i="13"/>
  <c r="AA76" i="13"/>
  <c r="AA77" i="13"/>
  <c r="AA78" i="13"/>
  <c r="AA79" i="13"/>
  <c r="AA80" i="13"/>
  <c r="AA81" i="13"/>
  <c r="AA82" i="13"/>
  <c r="AA83" i="13"/>
  <c r="AA84" i="13"/>
  <c r="AA85" i="13"/>
  <c r="AA86" i="13"/>
  <c r="AA87" i="13"/>
  <c r="AA88" i="13"/>
  <c r="AA89" i="13"/>
  <c r="AA90" i="13"/>
  <c r="AA91" i="13"/>
  <c r="AA92" i="13"/>
  <c r="AA93" i="13"/>
  <c r="AA94" i="13"/>
  <c r="AA95" i="13"/>
  <c r="AA96" i="13"/>
  <c r="AA97" i="13"/>
  <c r="AA98" i="13"/>
  <c r="AA99" i="13"/>
  <c r="AA100" i="13"/>
  <c r="AA101" i="13"/>
  <c r="AA102" i="13"/>
  <c r="AA103" i="13"/>
  <c r="AA104" i="13"/>
  <c r="AA105" i="13"/>
  <c r="AA106" i="13"/>
  <c r="AA107" i="13"/>
  <c r="AA108" i="13"/>
  <c r="AA109" i="13"/>
  <c r="AA110" i="13"/>
  <c r="AA111" i="13"/>
  <c r="AA112" i="13"/>
  <c r="AA113" i="13"/>
  <c r="AA114" i="13"/>
  <c r="AA115" i="13"/>
  <c r="AA116" i="13"/>
  <c r="AA117" i="13"/>
  <c r="AA118" i="13"/>
  <c r="AA119" i="13"/>
  <c r="AA120" i="13"/>
  <c r="AA121" i="13"/>
  <c r="AA122" i="13"/>
  <c r="AA123" i="13"/>
  <c r="AA124" i="13"/>
  <c r="AA125" i="13"/>
  <c r="AA126" i="13"/>
  <c r="AA127" i="13"/>
  <c r="AA128" i="13"/>
  <c r="AA129" i="13"/>
  <c r="AA130" i="13"/>
  <c r="AA131" i="13"/>
  <c r="AA132" i="13"/>
  <c r="AA133" i="13"/>
  <c r="AA134" i="13"/>
  <c r="AA135" i="13"/>
  <c r="AA136" i="13"/>
  <c r="AA137" i="13"/>
  <c r="AA138" i="13"/>
  <c r="AA139" i="13"/>
  <c r="AA140" i="13"/>
  <c r="AA141" i="13"/>
  <c r="AA142" i="13"/>
  <c r="AA143" i="13"/>
  <c r="AA144" i="13"/>
  <c r="AA145" i="13"/>
  <c r="AA146" i="13"/>
  <c r="AA147" i="13"/>
  <c r="AA148" i="13"/>
  <c r="AA149" i="13"/>
  <c r="AA150" i="13"/>
  <c r="AA151" i="13"/>
  <c r="AA152" i="13"/>
  <c r="AA153" i="13"/>
  <c r="AA154" i="13"/>
  <c r="AA155" i="13"/>
  <c r="AA156" i="13"/>
  <c r="AA157" i="13"/>
  <c r="AA158" i="13"/>
  <c r="AA159" i="13"/>
  <c r="AA160" i="13"/>
  <c r="AA161" i="13"/>
  <c r="AA162" i="13"/>
  <c r="AA163" i="13"/>
  <c r="AA164" i="13"/>
  <c r="AA165" i="13"/>
  <c r="AA166" i="13"/>
  <c r="AA167" i="13"/>
  <c r="AA168" i="13"/>
  <c r="AA169" i="13"/>
  <c r="AA170" i="13"/>
  <c r="AA171" i="13"/>
  <c r="AA172" i="13"/>
  <c r="AA173" i="13"/>
  <c r="AA174" i="13"/>
  <c r="AA175" i="13"/>
  <c r="AA176" i="13"/>
  <c r="AA177" i="13"/>
  <c r="AA178" i="13"/>
  <c r="AA179" i="13"/>
  <c r="AA180" i="13"/>
  <c r="AA181" i="13"/>
  <c r="AA182" i="13"/>
  <c r="AA183" i="13"/>
  <c r="AA184" i="13"/>
  <c r="AA185" i="13"/>
  <c r="AA186" i="13"/>
  <c r="AA187" i="13"/>
  <c r="AA188" i="13"/>
  <c r="AA189" i="13"/>
  <c r="AA190" i="13"/>
  <c r="AA191" i="13"/>
  <c r="AA192" i="13"/>
  <c r="AA193" i="13"/>
  <c r="AA194" i="13"/>
  <c r="AA195" i="13"/>
  <c r="AA196" i="13"/>
  <c r="AA197" i="13"/>
  <c r="AA198" i="13"/>
  <c r="AA199" i="13"/>
  <c r="AA200" i="13"/>
  <c r="AA201" i="13"/>
  <c r="AA202" i="13"/>
  <c r="AA203" i="13"/>
  <c r="AA204" i="13"/>
  <c r="AA205" i="13"/>
  <c r="AA206" i="13"/>
  <c r="AA207" i="13"/>
  <c r="AA208" i="13"/>
  <c r="AA209" i="13"/>
  <c r="AA210" i="13"/>
  <c r="AA211" i="13"/>
  <c r="AA212" i="13"/>
  <c r="AA213" i="13"/>
  <c r="AA214" i="13"/>
  <c r="AA215" i="13"/>
  <c r="AA216" i="13"/>
  <c r="AA217" i="13"/>
  <c r="AA218" i="13"/>
  <c r="AA219" i="13"/>
  <c r="AA220" i="13"/>
  <c r="AA221" i="13"/>
  <c r="AA222" i="13"/>
  <c r="AA223" i="13"/>
  <c r="AA224" i="13"/>
  <c r="AA225" i="13"/>
  <c r="AA226" i="13"/>
  <c r="AA227" i="13"/>
  <c r="AA228" i="13"/>
  <c r="AA229" i="13"/>
  <c r="AA230" i="13"/>
  <c r="AA231" i="13"/>
  <c r="AA232" i="13"/>
  <c r="AA233" i="13"/>
  <c r="AA234" i="13"/>
  <c r="AA235" i="13"/>
  <c r="AA236" i="13"/>
  <c r="AA237" i="13"/>
  <c r="AA238" i="13"/>
  <c r="AA239" i="13"/>
  <c r="AA240" i="13"/>
  <c r="AA241" i="13"/>
  <c r="AA242" i="13"/>
  <c r="AA243" i="13"/>
  <c r="AA244" i="13"/>
  <c r="AA245" i="13"/>
  <c r="AA246" i="13"/>
  <c r="AA247" i="13"/>
  <c r="AA248" i="13"/>
  <c r="AA249" i="13"/>
  <c r="AA250" i="13"/>
  <c r="AA251" i="13"/>
  <c r="AA252" i="13"/>
  <c r="AA253" i="13"/>
  <c r="AA254" i="13"/>
  <c r="AA255" i="13"/>
  <c r="AA256" i="13"/>
  <c r="AA257" i="13"/>
  <c r="AA258" i="13"/>
  <c r="AA259" i="13"/>
  <c r="AA260" i="13"/>
  <c r="AA261" i="13"/>
  <c r="AA262" i="13"/>
  <c r="AA263" i="13"/>
  <c r="AA264" i="13"/>
  <c r="AA265" i="13"/>
  <c r="AA266" i="13"/>
  <c r="AA267" i="13"/>
  <c r="AA268" i="13"/>
  <c r="AA269" i="13"/>
  <c r="AA270" i="13"/>
  <c r="AA271" i="13"/>
  <c r="AA272" i="13"/>
  <c r="AA273" i="13"/>
  <c r="AA274" i="13"/>
  <c r="AA275" i="13"/>
  <c r="AA276" i="13"/>
  <c r="AA277" i="13"/>
  <c r="AA278" i="13"/>
  <c r="AA279" i="13"/>
  <c r="AA280" i="13"/>
  <c r="AA281" i="13"/>
  <c r="AA282" i="13"/>
  <c r="AA283" i="13"/>
  <c r="AA284" i="13"/>
  <c r="AA285" i="13"/>
  <c r="AA286" i="13"/>
  <c r="AA287" i="13"/>
  <c r="AA288" i="13"/>
  <c r="AA289" i="13"/>
  <c r="AA290" i="13"/>
  <c r="AA291" i="13"/>
  <c r="AA292" i="13"/>
  <c r="AA293" i="13"/>
  <c r="AA294" i="13"/>
  <c r="AA295" i="13"/>
  <c r="AA296" i="13"/>
  <c r="AA297" i="13"/>
  <c r="AA298" i="13"/>
  <c r="AA299" i="13"/>
  <c r="AA300" i="13"/>
  <c r="AA301" i="13"/>
  <c r="AA302" i="13"/>
  <c r="AA303" i="13"/>
  <c r="AA304" i="13"/>
  <c r="AA305" i="13"/>
  <c r="AA306" i="13"/>
  <c r="AA307" i="13"/>
  <c r="AA308" i="13"/>
  <c r="AA309" i="13"/>
  <c r="AA310" i="13"/>
  <c r="AA311" i="13"/>
  <c r="AA312" i="13"/>
  <c r="AA313" i="13"/>
  <c r="AA314" i="13"/>
  <c r="AA315" i="13"/>
  <c r="AA316" i="13"/>
  <c r="AA317" i="13"/>
  <c r="AA318" i="13"/>
  <c r="AA319" i="13"/>
  <c r="AA320" i="13"/>
  <c r="AA321" i="13"/>
  <c r="AA322" i="13"/>
  <c r="AA323" i="13"/>
  <c r="AA324" i="13"/>
  <c r="AA325" i="13"/>
  <c r="AA326" i="13"/>
  <c r="AA327" i="13"/>
  <c r="AA328" i="13"/>
  <c r="AA329" i="13"/>
  <c r="AA330" i="13"/>
  <c r="AA331" i="13"/>
  <c r="AA332" i="13"/>
  <c r="AA333" i="13"/>
  <c r="AA334" i="13"/>
  <c r="AA335" i="13"/>
  <c r="AA336" i="13"/>
  <c r="AA337" i="13"/>
  <c r="AA338" i="13"/>
  <c r="AA339" i="13"/>
  <c r="AA340" i="13"/>
  <c r="AA341" i="13"/>
  <c r="AA342" i="13"/>
  <c r="AA343" i="13"/>
  <c r="AA344" i="13"/>
  <c r="AA345" i="13"/>
  <c r="AA346" i="13"/>
  <c r="AA347" i="13"/>
  <c r="AA348" i="13"/>
  <c r="AA349" i="13"/>
  <c r="AA350" i="13"/>
  <c r="AA351" i="13"/>
  <c r="AA352" i="13"/>
  <c r="AA353" i="13"/>
  <c r="AA354" i="13"/>
  <c r="AA355" i="13"/>
  <c r="AA356" i="13"/>
  <c r="AA357" i="13"/>
  <c r="AA358" i="13"/>
  <c r="AA359" i="13"/>
  <c r="AA360" i="13"/>
  <c r="AA361" i="13"/>
  <c r="AA362" i="13"/>
  <c r="AA363" i="13"/>
  <c r="AA364" i="13"/>
  <c r="AA365" i="13"/>
  <c r="AA366" i="13"/>
  <c r="AA367" i="13"/>
  <c r="AA368" i="13"/>
  <c r="AA369" i="13"/>
  <c r="AA370" i="13"/>
  <c r="AA371" i="13"/>
  <c r="AA372" i="13"/>
  <c r="AA373" i="13"/>
  <c r="AA374" i="13"/>
  <c r="AA375" i="13"/>
  <c r="AA376" i="13"/>
  <c r="AA377" i="13"/>
  <c r="AA378" i="13"/>
  <c r="AA379" i="13"/>
  <c r="AA380" i="13"/>
  <c r="AA381" i="13"/>
  <c r="AA382" i="13"/>
  <c r="AA383" i="13"/>
  <c r="AA384" i="13"/>
  <c r="AA385" i="13"/>
  <c r="AA386" i="13"/>
  <c r="AA387" i="13"/>
  <c r="AA388" i="13"/>
  <c r="AA389" i="13"/>
  <c r="AA390" i="13"/>
  <c r="AA391" i="13"/>
  <c r="AA392" i="13"/>
  <c r="AA393" i="13"/>
  <c r="AA394" i="13"/>
  <c r="AA395" i="13"/>
  <c r="AA396" i="13"/>
  <c r="AA397" i="13"/>
  <c r="AA398" i="13"/>
  <c r="AA399" i="13"/>
  <c r="AA400" i="13"/>
  <c r="AA401" i="13"/>
  <c r="AA402" i="13"/>
  <c r="AA403" i="13"/>
  <c r="AA404" i="13"/>
  <c r="AA405" i="13"/>
  <c r="AA406" i="13"/>
  <c r="AA407" i="13"/>
  <c r="AA408" i="13"/>
  <c r="AA409" i="13"/>
  <c r="AA410" i="13"/>
  <c r="AA411" i="13"/>
  <c r="AA412" i="13"/>
  <c r="AA413" i="13"/>
  <c r="AA414" i="13"/>
  <c r="AA415" i="13"/>
  <c r="AA416" i="13"/>
  <c r="AA417" i="13"/>
  <c r="AA418" i="13"/>
  <c r="AA419" i="13"/>
  <c r="AA420" i="13"/>
  <c r="AA421" i="13"/>
  <c r="AA422" i="13"/>
  <c r="AA423" i="13"/>
  <c r="AA424" i="13"/>
  <c r="AA425" i="13"/>
  <c r="AA426" i="13"/>
  <c r="AA427" i="13"/>
  <c r="AA428" i="13"/>
  <c r="AA429" i="13"/>
  <c r="AA430" i="13"/>
  <c r="AA431" i="13"/>
  <c r="AA432" i="13"/>
  <c r="AA433" i="13"/>
  <c r="AA434" i="13"/>
  <c r="AA435" i="13"/>
  <c r="AA436" i="13"/>
  <c r="AA437" i="13"/>
  <c r="AA438" i="13"/>
  <c r="AA439" i="13"/>
  <c r="AA440" i="13"/>
  <c r="AA441" i="13"/>
  <c r="AA442" i="13"/>
  <c r="AA443" i="13"/>
  <c r="AA444" i="13"/>
  <c r="AA445" i="13"/>
  <c r="AA446" i="13"/>
  <c r="AA447" i="13"/>
  <c r="AA448" i="13"/>
  <c r="AA449" i="13"/>
  <c r="AA450" i="13"/>
  <c r="AA451" i="13"/>
  <c r="AA452" i="13"/>
  <c r="AA453" i="13"/>
  <c r="AA454" i="13"/>
  <c r="AA455" i="13"/>
  <c r="AA456" i="13"/>
  <c r="AA457" i="13"/>
  <c r="AA458" i="13"/>
  <c r="AA459" i="13"/>
  <c r="AA460" i="13"/>
  <c r="AA461" i="13"/>
  <c r="AA462" i="13"/>
  <c r="AA463" i="13"/>
  <c r="AA464" i="13"/>
  <c r="AA465" i="13"/>
  <c r="AA466" i="13"/>
  <c r="AA467" i="13"/>
  <c r="AA468" i="13"/>
  <c r="AA469" i="13"/>
  <c r="AA470" i="13"/>
  <c r="AA471" i="13"/>
  <c r="AA472" i="13"/>
  <c r="AA473" i="13"/>
  <c r="AA474" i="13"/>
  <c r="AA475" i="13"/>
  <c r="AA476" i="13"/>
  <c r="AA477" i="13"/>
  <c r="AA478" i="13"/>
  <c r="AA479" i="13"/>
  <c r="AA480" i="13"/>
  <c r="AA481" i="13"/>
  <c r="AA482" i="13"/>
  <c r="AA483" i="13"/>
  <c r="AA484" i="13"/>
  <c r="AA485" i="13"/>
  <c r="AA486" i="13"/>
  <c r="AA487" i="13"/>
  <c r="AA488" i="13"/>
  <c r="AA489" i="13"/>
  <c r="AA490" i="13"/>
  <c r="AA491" i="13"/>
  <c r="AA492" i="13"/>
  <c r="AA493" i="13"/>
  <c r="AA494" i="13"/>
  <c r="AA495" i="13"/>
  <c r="AA496" i="13"/>
  <c r="AA497" i="13"/>
  <c r="AA498" i="13"/>
  <c r="AA499" i="13"/>
  <c r="AA500" i="13"/>
  <c r="AA501" i="13"/>
  <c r="AA502" i="13"/>
  <c r="AA503" i="13"/>
  <c r="AA504" i="13"/>
  <c r="AA505" i="13"/>
  <c r="AA506" i="13"/>
  <c r="AA507" i="13"/>
  <c r="AA508" i="13"/>
  <c r="AA509" i="13"/>
  <c r="AA510" i="13"/>
  <c r="AA511" i="13"/>
  <c r="AA512" i="13"/>
  <c r="AA513" i="13"/>
  <c r="AA514" i="13"/>
  <c r="AA515" i="13"/>
  <c r="AA516" i="13"/>
  <c r="AA517" i="13"/>
  <c r="AA518" i="13"/>
  <c r="AA519" i="13"/>
  <c r="AA520" i="13"/>
  <c r="AA521" i="13"/>
  <c r="AA522" i="13"/>
  <c r="AA523" i="13"/>
  <c r="AA524" i="13"/>
  <c r="AA525" i="13"/>
  <c r="AA526" i="13"/>
  <c r="AA527" i="13"/>
  <c r="AA528" i="13"/>
  <c r="AA529" i="13"/>
  <c r="AA530" i="13"/>
  <c r="AA531" i="13"/>
  <c r="AA532" i="13"/>
  <c r="AA533" i="13"/>
  <c r="AA534" i="13"/>
  <c r="AA535" i="13"/>
  <c r="AA536" i="13"/>
  <c r="AA537" i="13"/>
  <c r="AA538" i="13"/>
  <c r="AA539" i="13"/>
  <c r="AA540" i="13"/>
  <c r="AA541" i="13"/>
  <c r="AA542" i="13"/>
  <c r="AA543" i="13"/>
  <c r="AA544" i="13"/>
  <c r="AA545" i="13"/>
  <c r="AA546" i="13"/>
  <c r="AA547" i="13"/>
  <c r="AA548" i="13"/>
  <c r="AA549" i="13"/>
  <c r="AA550" i="13"/>
  <c r="AA551" i="13"/>
  <c r="AA552" i="13"/>
  <c r="Z3" i="13"/>
  <c r="Z4" i="13"/>
  <c r="Z5" i="13"/>
  <c r="Z6" i="13"/>
  <c r="Z7" i="13"/>
  <c r="Z8" i="13"/>
  <c r="Z9" i="13"/>
  <c r="Z10" i="13"/>
  <c r="Z11" i="13"/>
  <c r="Z12" i="13"/>
  <c r="Z13" i="13"/>
  <c r="Z14" i="13"/>
  <c r="Z15" i="13"/>
  <c r="Z16" i="13"/>
  <c r="Z17" i="13"/>
  <c r="Z18" i="13"/>
  <c r="Z19" i="13"/>
  <c r="Z20" i="13"/>
  <c r="Z21" i="13"/>
  <c r="Z22" i="13"/>
  <c r="Z23" i="13"/>
  <c r="Z24" i="13"/>
  <c r="Z25" i="13"/>
  <c r="Z26" i="13"/>
  <c r="Z27" i="13"/>
  <c r="Z28" i="13"/>
  <c r="Z29" i="13"/>
  <c r="Z30" i="13"/>
  <c r="Z31" i="13"/>
  <c r="Z32" i="13"/>
  <c r="Z33" i="13"/>
  <c r="Z34" i="13"/>
  <c r="Z35" i="13"/>
  <c r="Z36" i="13"/>
  <c r="Z37" i="13"/>
  <c r="Z38" i="13"/>
  <c r="Z39" i="13"/>
  <c r="Z40" i="13"/>
  <c r="Z41" i="13"/>
  <c r="Z42" i="13"/>
  <c r="Z43" i="13"/>
  <c r="Z44" i="13"/>
  <c r="Z45" i="13"/>
  <c r="Z46" i="13"/>
  <c r="Z47" i="13"/>
  <c r="Z48" i="13"/>
  <c r="Z49" i="13"/>
  <c r="Z50" i="13"/>
  <c r="Z51" i="13"/>
  <c r="Z52" i="13"/>
  <c r="Z53" i="13"/>
  <c r="Z54" i="13"/>
  <c r="Z55" i="13"/>
  <c r="Z56" i="13"/>
  <c r="Z57" i="13"/>
  <c r="Z58" i="13"/>
  <c r="Z59" i="13"/>
  <c r="Z60" i="13"/>
  <c r="Z61" i="13"/>
  <c r="Z62" i="13"/>
  <c r="Z63" i="13"/>
  <c r="Z64" i="13"/>
  <c r="Z65" i="13"/>
  <c r="Z66" i="13"/>
  <c r="Z67" i="13"/>
  <c r="Z68" i="13"/>
  <c r="Z69" i="13"/>
  <c r="Z70" i="13"/>
  <c r="Z71" i="13"/>
  <c r="Z72" i="13"/>
  <c r="Z73" i="13"/>
  <c r="Z74" i="13"/>
  <c r="Z75" i="13"/>
  <c r="Z76" i="13"/>
  <c r="Z77" i="13"/>
  <c r="Z78" i="13"/>
  <c r="Z79" i="13"/>
  <c r="Z80" i="13"/>
  <c r="Z81" i="13"/>
  <c r="Z82" i="13"/>
  <c r="Z83" i="13"/>
  <c r="Z84" i="13"/>
  <c r="Z85" i="13"/>
  <c r="Z86" i="13"/>
  <c r="Z87" i="13"/>
  <c r="Z88" i="13"/>
  <c r="Z89" i="13"/>
  <c r="Z90" i="13"/>
  <c r="Z91" i="13"/>
  <c r="Z92" i="13"/>
  <c r="Z93" i="13"/>
  <c r="Z94" i="13"/>
  <c r="Z95" i="13"/>
  <c r="Z96" i="13"/>
  <c r="Z97" i="13"/>
  <c r="Z98" i="13"/>
  <c r="Z99" i="13"/>
  <c r="Z100" i="13"/>
  <c r="Z101" i="13"/>
  <c r="Z102" i="13"/>
  <c r="Z103" i="13"/>
  <c r="Z104" i="13"/>
  <c r="Z105" i="13"/>
  <c r="Z106" i="13"/>
  <c r="Z107" i="13"/>
  <c r="Z108" i="13"/>
  <c r="Z109" i="13"/>
  <c r="Z110" i="13"/>
  <c r="Z111" i="13"/>
  <c r="Z112" i="13"/>
  <c r="Z113" i="13"/>
  <c r="Z114" i="13"/>
  <c r="Z115" i="13"/>
  <c r="Z116" i="13"/>
  <c r="Z117" i="13"/>
  <c r="Z118" i="13"/>
  <c r="Z119" i="13"/>
  <c r="Z120" i="13"/>
  <c r="Z121" i="13"/>
  <c r="Z122" i="13"/>
  <c r="Z123" i="13"/>
  <c r="Z124" i="13"/>
  <c r="Z125" i="13"/>
  <c r="Z126" i="13"/>
  <c r="Z127" i="13"/>
  <c r="Z128" i="13"/>
  <c r="Z129" i="13"/>
  <c r="Z130" i="13"/>
  <c r="Z131" i="13"/>
  <c r="Z132" i="13"/>
  <c r="Z133" i="13"/>
  <c r="Z134" i="13"/>
  <c r="Z135" i="13"/>
  <c r="Z136" i="13"/>
  <c r="Z137" i="13"/>
  <c r="Z138" i="13"/>
  <c r="Z139" i="13"/>
  <c r="Z140" i="13"/>
  <c r="Z141" i="13"/>
  <c r="Z142" i="13"/>
  <c r="Z143" i="13"/>
  <c r="Z144" i="13"/>
  <c r="Z145" i="13"/>
  <c r="Z146" i="13"/>
  <c r="Z147" i="13"/>
  <c r="Z148" i="13"/>
  <c r="Z149" i="13"/>
  <c r="Z150" i="13"/>
  <c r="Z151" i="13"/>
  <c r="Z152" i="13"/>
  <c r="Z153" i="13"/>
  <c r="Z154" i="13"/>
  <c r="Z155" i="13"/>
  <c r="Z156" i="13"/>
  <c r="Z157" i="13"/>
  <c r="Z158" i="13"/>
  <c r="Z159" i="13"/>
  <c r="Z160" i="13"/>
  <c r="Z161" i="13"/>
  <c r="Z162" i="13"/>
  <c r="Z163" i="13"/>
  <c r="Z164" i="13"/>
  <c r="Z165" i="13"/>
  <c r="Z166" i="13"/>
  <c r="Z167" i="13"/>
  <c r="Z168" i="13"/>
  <c r="Z169" i="13"/>
  <c r="Z170" i="13"/>
  <c r="Z171" i="13"/>
  <c r="Z172" i="13"/>
  <c r="Z173" i="13"/>
  <c r="Z174" i="13"/>
  <c r="Z175" i="13"/>
  <c r="Z176" i="13"/>
  <c r="Z177" i="13"/>
  <c r="Z178" i="13"/>
  <c r="Z179" i="13"/>
  <c r="Z180" i="13"/>
  <c r="Z181" i="13"/>
  <c r="Z182" i="13"/>
  <c r="Z183" i="13"/>
  <c r="Z184" i="13"/>
  <c r="Z185" i="13"/>
  <c r="Z186" i="13"/>
  <c r="Z187" i="13"/>
  <c r="Z188" i="13"/>
  <c r="Z189" i="13"/>
  <c r="Z190" i="13"/>
  <c r="Z191" i="13"/>
  <c r="Z192" i="13"/>
  <c r="Z193" i="13"/>
  <c r="Z194" i="13"/>
  <c r="Z195" i="13"/>
  <c r="Z196" i="13"/>
  <c r="Z197" i="13"/>
  <c r="Z198" i="13"/>
  <c r="Z199" i="13"/>
  <c r="Z200" i="13"/>
  <c r="Z201" i="13"/>
  <c r="Z202" i="13"/>
  <c r="Z203" i="13"/>
  <c r="Z204" i="13"/>
  <c r="Z205" i="13"/>
  <c r="Z206" i="13"/>
  <c r="Z207" i="13"/>
  <c r="Z208" i="13"/>
  <c r="Z209" i="13"/>
  <c r="Z210" i="13"/>
  <c r="Z211" i="13"/>
  <c r="Z212" i="13"/>
  <c r="Z213" i="13"/>
  <c r="Z214" i="13"/>
  <c r="Z215" i="13"/>
  <c r="Z216" i="13"/>
  <c r="Z217" i="13"/>
  <c r="Z218" i="13"/>
  <c r="Z219" i="13"/>
  <c r="Z220" i="13"/>
  <c r="Z221" i="13"/>
  <c r="Z222" i="13"/>
  <c r="Z223" i="13"/>
  <c r="Z224" i="13"/>
  <c r="Z225" i="13"/>
  <c r="Z226" i="13"/>
  <c r="Z227" i="13"/>
  <c r="Z228" i="13"/>
  <c r="Z229" i="13"/>
  <c r="Z230" i="13"/>
  <c r="Z231" i="13"/>
  <c r="Z232" i="13"/>
  <c r="Z233" i="13"/>
  <c r="Z234" i="13"/>
  <c r="Z235" i="13"/>
  <c r="Z236" i="13"/>
  <c r="Z237" i="13"/>
  <c r="Z238" i="13"/>
  <c r="Z239" i="13"/>
  <c r="Z240" i="13"/>
  <c r="Z241" i="13"/>
  <c r="Z242" i="13"/>
  <c r="Z243" i="13"/>
  <c r="Z244" i="13"/>
  <c r="Z245" i="13"/>
  <c r="Z246" i="13"/>
  <c r="Z247" i="13"/>
  <c r="Z248" i="13"/>
  <c r="Z249" i="13"/>
  <c r="Z250" i="13"/>
  <c r="Z251" i="13"/>
  <c r="Z252" i="13"/>
  <c r="Z253" i="13"/>
  <c r="Z254" i="13"/>
  <c r="Z255" i="13"/>
  <c r="Z256" i="13"/>
  <c r="Z257" i="13"/>
  <c r="Z258" i="13"/>
  <c r="Z259" i="13"/>
  <c r="Z260" i="13"/>
  <c r="Z261" i="13"/>
  <c r="Z262" i="13"/>
  <c r="Z263" i="13"/>
  <c r="Z264" i="13"/>
  <c r="Z265" i="13"/>
  <c r="Z266" i="13"/>
  <c r="Z267" i="13"/>
  <c r="Z268" i="13"/>
  <c r="Z269" i="13"/>
  <c r="Z270" i="13"/>
  <c r="Z271" i="13"/>
  <c r="Z272" i="13"/>
  <c r="Z273" i="13"/>
  <c r="Z274" i="13"/>
  <c r="Z275" i="13"/>
  <c r="Z276" i="13"/>
  <c r="Z277" i="13"/>
  <c r="Z278" i="13"/>
  <c r="Z279" i="13"/>
  <c r="Z280" i="13"/>
  <c r="Z281" i="13"/>
  <c r="Z282" i="13"/>
  <c r="Z283" i="13"/>
  <c r="Z284" i="13"/>
  <c r="Z285" i="13"/>
  <c r="Z286" i="13"/>
  <c r="Z287" i="13"/>
  <c r="Z288" i="13"/>
  <c r="Z289" i="13"/>
  <c r="Z290" i="13"/>
  <c r="Z291" i="13"/>
  <c r="Z292" i="13"/>
  <c r="Z293" i="13"/>
  <c r="Z294" i="13"/>
  <c r="Z295" i="13"/>
  <c r="Z296" i="13"/>
  <c r="Z297" i="13"/>
  <c r="Z298" i="13"/>
  <c r="Z299" i="13"/>
  <c r="Z300" i="13"/>
  <c r="Z301" i="13"/>
  <c r="Z302" i="13"/>
  <c r="Z303" i="13"/>
  <c r="Z304" i="13"/>
  <c r="Z305" i="13"/>
  <c r="Z306" i="13"/>
  <c r="Z307" i="13"/>
  <c r="Z308" i="13"/>
  <c r="Z309" i="13"/>
  <c r="Z310" i="13"/>
  <c r="Z311" i="13"/>
  <c r="Z312" i="13"/>
  <c r="Z313" i="13"/>
  <c r="Z314" i="13"/>
  <c r="Z315" i="13"/>
  <c r="Z316" i="13"/>
  <c r="Z317" i="13"/>
  <c r="Z318" i="13"/>
  <c r="Z319" i="13"/>
  <c r="Z320" i="13"/>
  <c r="Z321" i="13"/>
  <c r="Z322" i="13"/>
  <c r="Z323" i="13"/>
  <c r="Z324" i="13"/>
  <c r="Z325" i="13"/>
  <c r="Z326" i="13"/>
  <c r="Z327" i="13"/>
  <c r="Z328" i="13"/>
  <c r="Z329" i="13"/>
  <c r="Z330" i="13"/>
  <c r="Z331" i="13"/>
  <c r="Z332" i="13"/>
  <c r="Z333" i="13"/>
  <c r="Z334" i="13"/>
  <c r="Z335" i="13"/>
  <c r="Z336" i="13"/>
  <c r="Z337" i="13"/>
  <c r="Z338" i="13"/>
  <c r="Z339" i="13"/>
  <c r="Z340" i="13"/>
  <c r="Z341" i="13"/>
  <c r="Z342" i="13"/>
  <c r="Z343" i="13"/>
  <c r="Z344" i="13"/>
  <c r="Z345" i="13"/>
  <c r="Z346" i="13"/>
  <c r="Z347" i="13"/>
  <c r="Z348" i="13"/>
  <c r="Z349" i="13"/>
  <c r="Z350" i="13"/>
  <c r="Z351" i="13"/>
  <c r="Z352" i="13"/>
  <c r="Z353" i="13"/>
  <c r="Z354" i="13"/>
  <c r="Z355" i="13"/>
  <c r="Z356" i="13"/>
  <c r="Z357" i="13"/>
  <c r="Z358" i="13"/>
  <c r="Z359" i="13"/>
  <c r="Z360" i="13"/>
  <c r="Z361" i="13"/>
  <c r="Z362" i="13"/>
  <c r="Z363" i="13"/>
  <c r="Z364" i="13"/>
  <c r="Z365" i="13"/>
  <c r="Z366" i="13"/>
  <c r="Z367" i="13"/>
  <c r="Z368" i="13"/>
  <c r="Z369" i="13"/>
  <c r="Z370" i="13"/>
  <c r="Z371" i="13"/>
  <c r="Z372" i="13"/>
  <c r="Z373" i="13"/>
  <c r="Z374" i="13"/>
  <c r="Z375" i="13"/>
  <c r="Z376" i="13"/>
  <c r="Z377" i="13"/>
  <c r="Z378" i="13"/>
  <c r="Z379" i="13"/>
  <c r="Z380" i="13"/>
  <c r="Z381" i="13"/>
  <c r="Z382" i="13"/>
  <c r="Z383" i="13"/>
  <c r="Z384" i="13"/>
  <c r="Z385" i="13"/>
  <c r="Z386" i="13"/>
  <c r="Z387" i="13"/>
  <c r="Z388" i="13"/>
  <c r="Z389" i="13"/>
  <c r="Z390" i="13"/>
  <c r="Z391" i="13"/>
  <c r="Z392" i="13"/>
  <c r="Z393" i="13"/>
  <c r="Z394" i="13"/>
  <c r="Z395" i="13"/>
  <c r="Z396" i="13"/>
  <c r="Z397" i="13"/>
  <c r="Z398" i="13"/>
  <c r="Z399" i="13"/>
  <c r="Z400" i="13"/>
  <c r="Z401" i="13"/>
  <c r="Z402" i="13"/>
  <c r="Z403" i="13"/>
  <c r="Z404" i="13"/>
  <c r="Z405" i="13"/>
  <c r="Z406" i="13"/>
  <c r="Z407" i="13"/>
  <c r="Z408" i="13"/>
  <c r="Z409" i="13"/>
  <c r="Z410" i="13"/>
  <c r="Z411" i="13"/>
  <c r="Z412" i="13"/>
  <c r="Z413" i="13"/>
  <c r="Z414" i="13"/>
  <c r="Z415" i="13"/>
  <c r="Z416" i="13"/>
  <c r="Z417" i="13"/>
  <c r="Z418" i="13"/>
  <c r="Z419" i="13"/>
  <c r="Z420" i="13"/>
  <c r="Z421" i="13"/>
  <c r="Z422" i="13"/>
  <c r="Z423" i="13"/>
  <c r="Z424" i="13"/>
  <c r="Z425" i="13"/>
  <c r="Z426" i="13"/>
  <c r="Z427" i="13"/>
  <c r="Z428" i="13"/>
  <c r="Z429" i="13"/>
  <c r="Z430" i="13"/>
  <c r="Z431" i="13"/>
  <c r="Z432" i="13"/>
  <c r="Z433" i="13"/>
  <c r="Z434" i="13"/>
  <c r="Z435" i="13"/>
  <c r="Z436" i="13"/>
  <c r="Z437" i="13"/>
  <c r="Z438" i="13"/>
  <c r="Z439" i="13"/>
  <c r="Z440" i="13"/>
  <c r="Z441" i="13"/>
  <c r="Z442" i="13"/>
  <c r="Z443" i="13"/>
  <c r="Z444" i="13"/>
  <c r="Z445" i="13"/>
  <c r="Z446" i="13"/>
  <c r="Z447" i="13"/>
  <c r="Z448" i="13"/>
  <c r="Z449" i="13"/>
  <c r="Z450" i="13"/>
  <c r="Z451" i="13"/>
  <c r="Z452" i="13"/>
  <c r="Z453" i="13"/>
  <c r="Z454" i="13"/>
  <c r="Z455" i="13"/>
  <c r="Z456" i="13"/>
  <c r="Z457" i="13"/>
  <c r="Z458" i="13"/>
  <c r="Z459" i="13"/>
  <c r="Z460" i="13"/>
  <c r="Z461" i="13"/>
  <c r="Z462" i="13"/>
  <c r="Z463" i="13"/>
  <c r="Z464" i="13"/>
  <c r="Z465" i="13"/>
  <c r="Z466" i="13"/>
  <c r="Z467" i="13"/>
  <c r="Z468" i="13"/>
  <c r="Z469" i="13"/>
  <c r="Z470" i="13"/>
  <c r="Z471" i="13"/>
  <c r="Z472" i="13"/>
  <c r="Z473" i="13"/>
  <c r="Z474" i="13"/>
  <c r="Z475" i="13"/>
  <c r="Z476" i="13"/>
  <c r="Z477" i="13"/>
  <c r="Z478" i="13"/>
  <c r="Z479" i="13"/>
  <c r="Z480" i="13"/>
  <c r="Z481" i="13"/>
  <c r="Z482" i="13"/>
  <c r="Z483" i="13"/>
  <c r="Z484" i="13"/>
  <c r="Z485" i="13"/>
  <c r="Z486" i="13"/>
  <c r="Z487" i="13"/>
  <c r="Z488" i="13"/>
  <c r="Z489" i="13"/>
  <c r="Z490" i="13"/>
  <c r="Z491" i="13"/>
  <c r="Z492" i="13"/>
  <c r="Z493" i="13"/>
  <c r="Z494" i="13"/>
  <c r="Z495" i="13"/>
  <c r="Z496" i="13"/>
  <c r="Z497" i="13"/>
  <c r="Z498" i="13"/>
  <c r="Z499" i="13"/>
  <c r="Z500" i="13"/>
  <c r="Z501" i="13"/>
  <c r="Z502" i="13"/>
  <c r="Z503" i="13"/>
  <c r="Z504" i="13"/>
  <c r="Z505" i="13"/>
  <c r="Z506" i="13"/>
  <c r="Z507" i="13"/>
  <c r="Z508" i="13"/>
  <c r="Z509" i="13"/>
  <c r="Z510" i="13"/>
  <c r="Z511" i="13"/>
  <c r="Z512" i="13"/>
  <c r="Z513" i="13"/>
  <c r="Z514" i="13"/>
  <c r="Z515" i="13"/>
  <c r="Z516" i="13"/>
  <c r="Z517" i="13"/>
  <c r="Z518" i="13"/>
  <c r="Z519" i="13"/>
  <c r="Z520" i="13"/>
  <c r="Z521" i="13"/>
  <c r="Z522" i="13"/>
  <c r="Z523" i="13"/>
  <c r="Z524" i="13"/>
  <c r="Z525" i="13"/>
  <c r="Z526" i="13"/>
  <c r="Z527" i="13"/>
  <c r="Z528" i="13"/>
  <c r="Z529" i="13"/>
  <c r="Z530" i="13"/>
  <c r="Z531" i="13"/>
  <c r="Z532" i="13"/>
  <c r="Z533" i="13"/>
  <c r="Z534" i="13"/>
  <c r="Z535" i="13"/>
  <c r="Z536" i="13"/>
  <c r="Z537" i="13"/>
  <c r="Z538" i="13"/>
  <c r="Z539" i="13"/>
  <c r="Z540" i="13"/>
  <c r="Z541" i="13"/>
  <c r="Z542" i="13"/>
  <c r="Z543" i="13"/>
  <c r="Z544" i="13"/>
  <c r="Z545" i="13"/>
  <c r="Z546" i="13"/>
  <c r="Z547" i="13"/>
  <c r="Z548" i="13"/>
  <c r="Z549" i="13"/>
  <c r="Z550" i="13"/>
  <c r="Z551" i="13"/>
  <c r="Z552" i="13"/>
  <c r="Y3" i="13"/>
  <c r="Y4" i="13"/>
  <c r="Y5" i="13"/>
  <c r="Y6" i="13"/>
  <c r="Y7" i="13"/>
  <c r="Y8" i="13"/>
  <c r="Y9" i="13"/>
  <c r="Y10" i="13"/>
  <c r="Y11"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L320" i="9" s="1"/>
  <c r="Y86" i="13"/>
  <c r="Y87" i="13"/>
  <c r="Y88" i="13"/>
  <c r="Y89" i="13"/>
  <c r="Y90" i="13"/>
  <c r="L336" i="9" s="1"/>
  <c r="Y91" i="13"/>
  <c r="L337" i="9" s="1"/>
  <c r="Y92" i="13"/>
  <c r="L338" i="9" s="1"/>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L556" i="9" s="1"/>
  <c r="Y123" i="13"/>
  <c r="Y124" i="13"/>
  <c r="Y125" i="13"/>
  <c r="L563" i="9" s="1"/>
  <c r="Y126" i="13"/>
  <c r="L564" i="9" s="1"/>
  <c r="Y127" i="13"/>
  <c r="L565" i="9" s="1"/>
  <c r="Y128" i="13"/>
  <c r="Y129" i="13"/>
  <c r="Y130" i="13"/>
  <c r="Y131" i="13"/>
  <c r="Y132" i="13"/>
  <c r="L577" i="9" s="1"/>
  <c r="Y133" i="13"/>
  <c r="L578" i="9" s="1"/>
  <c r="Y134" i="13"/>
  <c r="L579" i="9" s="1"/>
  <c r="Y135" i="13"/>
  <c r="L580" i="9" s="1"/>
  <c r="Y136" i="13"/>
  <c r="L581" i="9" s="1"/>
  <c r="Y137" i="13"/>
  <c r="L582" i="9" s="1"/>
  <c r="Y138" i="13"/>
  <c r="Y139" i="13"/>
  <c r="Y140" i="13"/>
  <c r="Y141" i="13"/>
  <c r="L590" i="9" s="1"/>
  <c r="Y142" i="13"/>
  <c r="L591" i="9" s="1"/>
  <c r="Y143" i="13"/>
  <c r="L592" i="9" s="1"/>
  <c r="Y144" i="13"/>
  <c r="L593" i="9" s="1"/>
  <c r="Y145" i="13"/>
  <c r="Y146" i="13"/>
  <c r="Y147" i="13"/>
  <c r="L606" i="9" s="1"/>
  <c r="Y148" i="13"/>
  <c r="Y149" i="13"/>
  <c r="Y150" i="13"/>
  <c r="L621" i="9" s="1"/>
  <c r="Y151" i="13"/>
  <c r="L622" i="9" s="1"/>
  <c r="Y152" i="13"/>
  <c r="Y153" i="13"/>
  <c r="L623" i="9" s="1"/>
  <c r="Y154" i="13"/>
  <c r="L624" i="9" s="1"/>
  <c r="Y155" i="13"/>
  <c r="L625" i="9" s="1"/>
  <c r="Y156" i="13"/>
  <c r="Y157" i="13"/>
  <c r="Y158" i="13"/>
  <c r="L638" i="9" s="1"/>
  <c r="Y159" i="13"/>
  <c r="L639" i="9" s="1"/>
  <c r="Y160" i="13"/>
  <c r="L640" i="9" s="1"/>
  <c r="Y161" i="13"/>
  <c r="L641" i="9" s="1"/>
  <c r="Y162" i="13"/>
  <c r="L642" i="9" s="1"/>
  <c r="Y163" i="13"/>
  <c r="Y164" i="13"/>
  <c r="Y165" i="13"/>
  <c r="L648" i="9" s="1"/>
  <c r="Y166" i="13"/>
  <c r="Y167" i="13"/>
  <c r="L653" i="9" s="1"/>
  <c r="Y168" i="13"/>
  <c r="L654" i="9" s="1"/>
  <c r="Y169" i="13"/>
  <c r="L655" i="9" s="1"/>
  <c r="Y170" i="13"/>
  <c r="Y171" i="13"/>
  <c r="Y172" i="13"/>
  <c r="Y173" i="13"/>
  <c r="Y174" i="13"/>
  <c r="Y175" i="13"/>
  <c r="Y176" i="13"/>
  <c r="Y177" i="13"/>
  <c r="Y178" i="13"/>
  <c r="Y179" i="13"/>
  <c r="Y180" i="13"/>
  <c r="Y181" i="13"/>
  <c r="Y182" i="13"/>
  <c r="Y183" i="13"/>
  <c r="Y184" i="13"/>
  <c r="Y185" i="13"/>
  <c r="Y186" i="13"/>
  <c r="Y187" i="13"/>
  <c r="Y188" i="13"/>
  <c r="Y189" i="13"/>
  <c r="Y190" i="13"/>
  <c r="Y191" i="13"/>
  <c r="Y192" i="13"/>
  <c r="Y193" i="13"/>
  <c r="Y194" i="13"/>
  <c r="Y195" i="13"/>
  <c r="Y196" i="13"/>
  <c r="Y197" i="13"/>
  <c r="Y198" i="13"/>
  <c r="Y199" i="13"/>
  <c r="Y200" i="13"/>
  <c r="Y201" i="13"/>
  <c r="Y202" i="13"/>
  <c r="Y203" i="13"/>
  <c r="Y204" i="13"/>
  <c r="L799" i="9" s="1"/>
  <c r="Y205" i="13"/>
  <c r="L800" i="9" s="1"/>
  <c r="Y206" i="13"/>
  <c r="Y207" i="13"/>
  <c r="Y208" i="13"/>
  <c r="Y209" i="13"/>
  <c r="Y210" i="13"/>
  <c r="Y211" i="13"/>
  <c r="Y212" i="13"/>
  <c r="Y213" i="13"/>
  <c r="Y214" i="13"/>
  <c r="Y215" i="13"/>
  <c r="Y216" i="13"/>
  <c r="Y217" i="13"/>
  <c r="Y218" i="13"/>
  <c r="Y219" i="13"/>
  <c r="L831" i="9" s="1"/>
  <c r="Y220" i="13"/>
  <c r="Y221" i="13"/>
  <c r="Y222" i="13"/>
  <c r="Y223" i="13"/>
  <c r="Y224" i="13"/>
  <c r="Y225" i="13"/>
  <c r="Y226" i="13"/>
  <c r="Y227" i="13"/>
  <c r="Y228" i="13"/>
  <c r="L843" i="9" s="1"/>
  <c r="Y229" i="13"/>
  <c r="Y230" i="13"/>
  <c r="L850" i="9" s="1"/>
  <c r="Y231" i="13"/>
  <c r="Y232" i="13"/>
  <c r="Y233" i="13"/>
  <c r="Y234" i="13"/>
  <c r="L858" i="9" s="1"/>
  <c r="Y235" i="13"/>
  <c r="L859" i="9" s="1"/>
  <c r="Y236" i="13"/>
  <c r="Y237" i="13"/>
  <c r="L867" i="9" s="1"/>
  <c r="Y238" i="13"/>
  <c r="Y239" i="13"/>
  <c r="Y240" i="13"/>
  <c r="L877" i="9" s="1"/>
  <c r="Y241" i="13"/>
  <c r="Y242" i="13"/>
  <c r="Y243" i="13"/>
  <c r="Y244" i="13"/>
  <c r="Y245" i="13"/>
  <c r="Y246" i="13"/>
  <c r="Y247" i="13"/>
  <c r="Y248" i="13"/>
  <c r="Y249" i="13"/>
  <c r="Y250" i="13"/>
  <c r="Y251" i="13"/>
  <c r="Y252" i="13"/>
  <c r="Y253" i="13"/>
  <c r="Y254" i="13"/>
  <c r="Y255" i="13"/>
  <c r="Y256" i="13"/>
  <c r="Y257" i="13"/>
  <c r="Y258" i="13"/>
  <c r="Y259" i="13"/>
  <c r="Y260" i="13"/>
  <c r="Y261" i="13"/>
  <c r="Y262" i="13"/>
  <c r="Y263" i="13"/>
  <c r="Y264" i="13"/>
  <c r="L966" i="9" s="1"/>
  <c r="Y265" i="13"/>
  <c r="Y266" i="13"/>
  <c r="Y267" i="13"/>
  <c r="Y268" i="13"/>
  <c r="Y269" i="13"/>
  <c r="Y270" i="13"/>
  <c r="Y271" i="13"/>
  <c r="Y272" i="13"/>
  <c r="Y273" i="13"/>
  <c r="Y274" i="13"/>
  <c r="Y275" i="13"/>
  <c r="Y276" i="13"/>
  <c r="Y277" i="13"/>
  <c r="Y278" i="13"/>
  <c r="Y279" i="13"/>
  <c r="Y280" i="13"/>
  <c r="Y281" i="13"/>
  <c r="Y282" i="13"/>
  <c r="Y283" i="13"/>
  <c r="Y284" i="13"/>
  <c r="Y285" i="13"/>
  <c r="Y286" i="13"/>
  <c r="Y287" i="13"/>
  <c r="Y288" i="13"/>
  <c r="Y289" i="13"/>
  <c r="Y290" i="13"/>
  <c r="Y291" i="13"/>
  <c r="Y292" i="13"/>
  <c r="Y293" i="13"/>
  <c r="Y294" i="13"/>
  <c r="Y295" i="13"/>
  <c r="Y296" i="13"/>
  <c r="Y297" i="13"/>
  <c r="Y298" i="13"/>
  <c r="Y299" i="13"/>
  <c r="L1158" i="9" s="1"/>
  <c r="Y300" i="13"/>
  <c r="Y301" i="13"/>
  <c r="Y302" i="13"/>
  <c r="Y303" i="13"/>
  <c r="Y304" i="13"/>
  <c r="L1169" i="9" s="1"/>
  <c r="Y305" i="13"/>
  <c r="L1170" i="9" s="1"/>
  <c r="Y306" i="13"/>
  <c r="Y307" i="13"/>
  <c r="Y308" i="13"/>
  <c r="Y309" i="13"/>
  <c r="Y310" i="13"/>
  <c r="Y311" i="13"/>
  <c r="Y312" i="13"/>
  <c r="Y313" i="13"/>
  <c r="Y314" i="13"/>
  <c r="Y315" i="13"/>
  <c r="Y316" i="13"/>
  <c r="Y317" i="13"/>
  <c r="Y318" i="13"/>
  <c r="L1209" i="9" s="1"/>
  <c r="Y319" i="13"/>
  <c r="Y320" i="13"/>
  <c r="Y321" i="13"/>
  <c r="Y322" i="13"/>
  <c r="Y323" i="13"/>
  <c r="Y324" i="13"/>
  <c r="Y325" i="13"/>
  <c r="Y326" i="13"/>
  <c r="Y327" i="13"/>
  <c r="Y328" i="13"/>
  <c r="Y329" i="13"/>
  <c r="Y330" i="13"/>
  <c r="Y331" i="13"/>
  <c r="Y332" i="13"/>
  <c r="Y333" i="13"/>
  <c r="Y334" i="13"/>
  <c r="Y335" i="13"/>
  <c r="Y336" i="13"/>
  <c r="Y337" i="13"/>
  <c r="Y338" i="13"/>
  <c r="Y339" i="13"/>
  <c r="Y340" i="13"/>
  <c r="L1241" i="9" s="1"/>
  <c r="Y341" i="13"/>
  <c r="L1242" i="9" s="1"/>
  <c r="Y342" i="13"/>
  <c r="Y343" i="13"/>
  <c r="Y344" i="13"/>
  <c r="Y345" i="13"/>
  <c r="Y346" i="13"/>
  <c r="Y347" i="13"/>
  <c r="Y348" i="13"/>
  <c r="Y349" i="13"/>
  <c r="Y350" i="13"/>
  <c r="Y351" i="13"/>
  <c r="Y352" i="13"/>
  <c r="Y353" i="13"/>
  <c r="Y354" i="13"/>
  <c r="Y355" i="13"/>
  <c r="Y356" i="13"/>
  <c r="Y357" i="13"/>
  <c r="Y358" i="13"/>
  <c r="Y359" i="13"/>
  <c r="Y360" i="13"/>
  <c r="Y361" i="13"/>
  <c r="Y362" i="13"/>
  <c r="Y363" i="13"/>
  <c r="Y364" i="13"/>
  <c r="Y365" i="13"/>
  <c r="L1323" i="9" s="1"/>
  <c r="Y366" i="13"/>
  <c r="L1324" i="9" s="1"/>
  <c r="Y367" i="13"/>
  <c r="L1325" i="9" s="1"/>
  <c r="Y368" i="13"/>
  <c r="L1326" i="9" s="1"/>
  <c r="Y369" i="13"/>
  <c r="Y370" i="13"/>
  <c r="L1329" i="9" s="1"/>
  <c r="Y371" i="13"/>
  <c r="Y372" i="13"/>
  <c r="Y373" i="13"/>
  <c r="Y374" i="13"/>
  <c r="Y375" i="13"/>
  <c r="Y376" i="13"/>
  <c r="Y377" i="13"/>
  <c r="Y378" i="13"/>
  <c r="Y379" i="13"/>
  <c r="Y380" i="13"/>
  <c r="Y381" i="13"/>
  <c r="Y382" i="13"/>
  <c r="Y383" i="13"/>
  <c r="Y384" i="13"/>
  <c r="Y385" i="13"/>
  <c r="Y386" i="13"/>
  <c r="Y387" i="13"/>
  <c r="Y388" i="13"/>
  <c r="Y389" i="13"/>
  <c r="Y390" i="13"/>
  <c r="Y391" i="13"/>
  <c r="Y392" i="13"/>
  <c r="Y393" i="13"/>
  <c r="Y394" i="13"/>
  <c r="L1369" i="9" s="1"/>
  <c r="Y395" i="13"/>
  <c r="L1370" i="9" s="1"/>
  <c r="Y396" i="13"/>
  <c r="Y397" i="13"/>
  <c r="L1374" i="9" s="1"/>
  <c r="Y398" i="13"/>
  <c r="Y399" i="13"/>
  <c r="Y400" i="13"/>
  <c r="Y401" i="13"/>
  <c r="Y402" i="13"/>
  <c r="Y403" i="13"/>
  <c r="Y404" i="13"/>
  <c r="Y405" i="13"/>
  <c r="Y406" i="13"/>
  <c r="Y407" i="13"/>
  <c r="Y408" i="13"/>
  <c r="Y409" i="13"/>
  <c r="Y410" i="13"/>
  <c r="Y411" i="13"/>
  <c r="Y412" i="13"/>
  <c r="Y413" i="13"/>
  <c r="Y414" i="13"/>
  <c r="Y415" i="13"/>
  <c r="Y416" i="13"/>
  <c r="Y417" i="13"/>
  <c r="Y418" i="13"/>
  <c r="Y419" i="13"/>
  <c r="Y420" i="13"/>
  <c r="Y421" i="13"/>
  <c r="Y422" i="13"/>
  <c r="Y423" i="13"/>
  <c r="Y424" i="13"/>
  <c r="Y425" i="13"/>
  <c r="Y426" i="13"/>
  <c r="Y427" i="13"/>
  <c r="Y428" i="13"/>
  <c r="Y429" i="13"/>
  <c r="Y430" i="13"/>
  <c r="Y431" i="13"/>
  <c r="Y432" i="13"/>
  <c r="Y433" i="13"/>
  <c r="Y434" i="13"/>
  <c r="Y435" i="13"/>
  <c r="Y436" i="13"/>
  <c r="Y437" i="13"/>
  <c r="Y438" i="13"/>
  <c r="Y439" i="13"/>
  <c r="Y440" i="13"/>
  <c r="Y441" i="13"/>
  <c r="Y442" i="13"/>
  <c r="Y443" i="13"/>
  <c r="Y444" i="13"/>
  <c r="Y445" i="13"/>
  <c r="Y446" i="13"/>
  <c r="Y447" i="13"/>
  <c r="Y448" i="13"/>
  <c r="Y449" i="13"/>
  <c r="Y450" i="13"/>
  <c r="Y451" i="13"/>
  <c r="Y452" i="13"/>
  <c r="Y453" i="13"/>
  <c r="Y454" i="13"/>
  <c r="Y455" i="13"/>
  <c r="Y456" i="13"/>
  <c r="Y457" i="13"/>
  <c r="Y458" i="13"/>
  <c r="Y459" i="13"/>
  <c r="Y460" i="13"/>
  <c r="Y461" i="13"/>
  <c r="Y462" i="13"/>
  <c r="Y463" i="13"/>
  <c r="Y464" i="13"/>
  <c r="Y465" i="13"/>
  <c r="Y466" i="13"/>
  <c r="Y467" i="13"/>
  <c r="Y468" i="13"/>
  <c r="Y469" i="13"/>
  <c r="Y470" i="13"/>
  <c r="Y471" i="13"/>
  <c r="Y472" i="13"/>
  <c r="Y473" i="13"/>
  <c r="Y474" i="13"/>
  <c r="Y475" i="13"/>
  <c r="Y476" i="13"/>
  <c r="Y477" i="13"/>
  <c r="Y478" i="13"/>
  <c r="Y479" i="13"/>
  <c r="Y480" i="13"/>
  <c r="Y481" i="13"/>
  <c r="Y482" i="13"/>
  <c r="Y483" i="13"/>
  <c r="Y484" i="13"/>
  <c r="Y485" i="13"/>
  <c r="Y486" i="13"/>
  <c r="Y487" i="13"/>
  <c r="Y488" i="13"/>
  <c r="Y489" i="13"/>
  <c r="Y490" i="13"/>
  <c r="Y491" i="13"/>
  <c r="Y492" i="13"/>
  <c r="Y493" i="13"/>
  <c r="Y494" i="13"/>
  <c r="Y495" i="13"/>
  <c r="Y496" i="13"/>
  <c r="Y497" i="13"/>
  <c r="Y498" i="13"/>
  <c r="Y499" i="13"/>
  <c r="Y500" i="13"/>
  <c r="Y501" i="13"/>
  <c r="Y502" i="13"/>
  <c r="Y503" i="13"/>
  <c r="Y504" i="13"/>
  <c r="Y505" i="13"/>
  <c r="Y506" i="13"/>
  <c r="Y507" i="13"/>
  <c r="Y508" i="13"/>
  <c r="Y509" i="13"/>
  <c r="Y510" i="13"/>
  <c r="Y511" i="13"/>
  <c r="Y512" i="13"/>
  <c r="Y513" i="13"/>
  <c r="Y514" i="13"/>
  <c r="Y515" i="13"/>
  <c r="Y516" i="13"/>
  <c r="Y517" i="13"/>
  <c r="Y518" i="13"/>
  <c r="Y519" i="13"/>
  <c r="Y520" i="13"/>
  <c r="Y521" i="13"/>
  <c r="Y522" i="13"/>
  <c r="Y523" i="13"/>
  <c r="Y524" i="13"/>
  <c r="Y525" i="13"/>
  <c r="Y526" i="13"/>
  <c r="Y527" i="13"/>
  <c r="Y528" i="13"/>
  <c r="Y529" i="13"/>
  <c r="Y530" i="13"/>
  <c r="Y531" i="13"/>
  <c r="Y532" i="13"/>
  <c r="Y533" i="13"/>
  <c r="Y534" i="13"/>
  <c r="Y535" i="13"/>
  <c r="Y536" i="13"/>
  <c r="Y537" i="13"/>
  <c r="Y538" i="13"/>
  <c r="Y539" i="13"/>
  <c r="Y540" i="13"/>
  <c r="Y541" i="13"/>
  <c r="Y542" i="13"/>
  <c r="Y543" i="13"/>
  <c r="Y544" i="13"/>
  <c r="Y545" i="13"/>
  <c r="Y546" i="13"/>
  <c r="Y547" i="13"/>
  <c r="Y548" i="13"/>
  <c r="Y549" i="13"/>
  <c r="Y550" i="13"/>
  <c r="Y551" i="13"/>
  <c r="Y552" i="13"/>
  <c r="X3" i="13"/>
  <c r="X4" i="13"/>
  <c r="X5" i="13"/>
  <c r="X6" i="13"/>
  <c r="X7" i="13"/>
  <c r="X8" i="13"/>
  <c r="X9" i="13"/>
  <c r="X10" i="13"/>
  <c r="X11" i="13"/>
  <c r="X12" i="13"/>
  <c r="X13" i="13"/>
  <c r="X14" i="13"/>
  <c r="X15" i="13"/>
  <c r="X16" i="13"/>
  <c r="X17" i="13"/>
  <c r="X18" i="13"/>
  <c r="X19" i="13"/>
  <c r="X20" i="13"/>
  <c r="X21" i="13"/>
  <c r="X22" i="13"/>
  <c r="X23" i="13"/>
  <c r="X24" i="13"/>
  <c r="X25" i="13"/>
  <c r="X26" i="13"/>
  <c r="X27" i="13"/>
  <c r="X28" i="13"/>
  <c r="X29" i="13"/>
  <c r="X30" i="13"/>
  <c r="X31" i="13"/>
  <c r="X32" i="13"/>
  <c r="X33" i="13"/>
  <c r="X34" i="13"/>
  <c r="X35" i="13"/>
  <c r="X36" i="13"/>
  <c r="X37" i="13"/>
  <c r="X38" i="13"/>
  <c r="X39" i="13"/>
  <c r="X40" i="13"/>
  <c r="X41" i="13"/>
  <c r="X42" i="13"/>
  <c r="X43" i="13"/>
  <c r="X44" i="13"/>
  <c r="X45" i="13"/>
  <c r="X46" i="13"/>
  <c r="X47" i="13"/>
  <c r="X48" i="13"/>
  <c r="X49" i="13"/>
  <c r="X50" i="13"/>
  <c r="X51" i="13"/>
  <c r="X52" i="13"/>
  <c r="X53" i="13"/>
  <c r="X54" i="13"/>
  <c r="X55" i="13"/>
  <c r="X56" i="13"/>
  <c r="X57" i="13"/>
  <c r="X58" i="13"/>
  <c r="X59" i="13"/>
  <c r="X60" i="13"/>
  <c r="X61" i="13"/>
  <c r="X62" i="13"/>
  <c r="X63" i="13"/>
  <c r="X64" i="13"/>
  <c r="X65" i="13"/>
  <c r="X66" i="13"/>
  <c r="X67" i="13"/>
  <c r="X68" i="13"/>
  <c r="X69" i="13"/>
  <c r="X70" i="13"/>
  <c r="X71" i="13"/>
  <c r="X72" i="13"/>
  <c r="X73" i="13"/>
  <c r="X74" i="13"/>
  <c r="X75" i="13"/>
  <c r="X76" i="13"/>
  <c r="X77" i="13"/>
  <c r="X78" i="13"/>
  <c r="X79" i="13"/>
  <c r="X80" i="13"/>
  <c r="X81" i="13"/>
  <c r="X82" i="13"/>
  <c r="X83" i="13"/>
  <c r="X84" i="13"/>
  <c r="X85" i="13"/>
  <c r="X86" i="13"/>
  <c r="X87" i="13"/>
  <c r="X88" i="13"/>
  <c r="X89" i="13"/>
  <c r="X90" i="13"/>
  <c r="X91" i="13"/>
  <c r="X92" i="13"/>
  <c r="X93" i="13"/>
  <c r="X94" i="13"/>
  <c r="X95" i="13"/>
  <c r="X96" i="13"/>
  <c r="X97" i="13"/>
  <c r="X98" i="13"/>
  <c r="X99" i="13"/>
  <c r="X100" i="13"/>
  <c r="X101" i="13"/>
  <c r="X102" i="13"/>
  <c r="X103" i="13"/>
  <c r="X104" i="13"/>
  <c r="X105" i="13"/>
  <c r="X106" i="13"/>
  <c r="X107" i="13"/>
  <c r="X108" i="13"/>
  <c r="X109" i="13"/>
  <c r="X110" i="13"/>
  <c r="X111" i="13"/>
  <c r="X112" i="13"/>
  <c r="X113" i="13"/>
  <c r="X114" i="13"/>
  <c r="X115" i="13"/>
  <c r="X116" i="13"/>
  <c r="X117" i="13"/>
  <c r="X118" i="13"/>
  <c r="X119" i="13"/>
  <c r="X120" i="13"/>
  <c r="X121" i="13"/>
  <c r="X122" i="13"/>
  <c r="X123" i="13"/>
  <c r="X124" i="13"/>
  <c r="X125" i="13"/>
  <c r="X126" i="13"/>
  <c r="X127" i="13"/>
  <c r="X128" i="13"/>
  <c r="X129" i="13"/>
  <c r="X130" i="13"/>
  <c r="X131" i="13"/>
  <c r="X132" i="13"/>
  <c r="X133" i="13"/>
  <c r="X134" i="13"/>
  <c r="X135" i="13"/>
  <c r="X136" i="13"/>
  <c r="X137" i="13"/>
  <c r="X138" i="13"/>
  <c r="X139" i="13"/>
  <c r="X140" i="13"/>
  <c r="X141" i="13"/>
  <c r="X142" i="13"/>
  <c r="X143" i="13"/>
  <c r="X144" i="13"/>
  <c r="X145" i="13"/>
  <c r="X146" i="13"/>
  <c r="X147" i="13"/>
  <c r="X148" i="13"/>
  <c r="X149" i="13"/>
  <c r="X150" i="13"/>
  <c r="X151" i="13"/>
  <c r="X152" i="13"/>
  <c r="X153" i="13"/>
  <c r="X154" i="13"/>
  <c r="X155" i="13"/>
  <c r="X156" i="13"/>
  <c r="X157" i="13"/>
  <c r="X158" i="13"/>
  <c r="X159" i="13"/>
  <c r="X160" i="13"/>
  <c r="X161" i="13"/>
  <c r="X162" i="13"/>
  <c r="X163" i="13"/>
  <c r="X164" i="13"/>
  <c r="X165" i="13"/>
  <c r="X166" i="13"/>
  <c r="X167" i="13"/>
  <c r="X168" i="13"/>
  <c r="X169" i="13"/>
  <c r="X170" i="13"/>
  <c r="X171" i="13"/>
  <c r="X172" i="13"/>
  <c r="X173" i="13"/>
  <c r="X174" i="13"/>
  <c r="X175" i="13"/>
  <c r="X176" i="13"/>
  <c r="X177" i="13"/>
  <c r="X178" i="13"/>
  <c r="X179" i="13"/>
  <c r="X180" i="13"/>
  <c r="X181" i="13"/>
  <c r="X182" i="13"/>
  <c r="X183" i="13"/>
  <c r="X184" i="13"/>
  <c r="X185" i="13"/>
  <c r="X186" i="13"/>
  <c r="X187" i="13"/>
  <c r="X188" i="13"/>
  <c r="X189" i="13"/>
  <c r="X190" i="13"/>
  <c r="X191" i="13"/>
  <c r="X192" i="13"/>
  <c r="X193" i="13"/>
  <c r="X194" i="13"/>
  <c r="X195" i="13"/>
  <c r="X196" i="13"/>
  <c r="X197" i="13"/>
  <c r="X198" i="13"/>
  <c r="X199" i="13"/>
  <c r="X200" i="13"/>
  <c r="X201" i="13"/>
  <c r="X202" i="13"/>
  <c r="X203" i="13"/>
  <c r="X204" i="13"/>
  <c r="X205" i="13"/>
  <c r="X206" i="13"/>
  <c r="X207" i="13"/>
  <c r="X208" i="13"/>
  <c r="X209" i="13"/>
  <c r="X210" i="13"/>
  <c r="X211" i="13"/>
  <c r="X212" i="13"/>
  <c r="X213" i="13"/>
  <c r="X214" i="13"/>
  <c r="X215" i="13"/>
  <c r="X216" i="13"/>
  <c r="X217" i="13"/>
  <c r="X218" i="13"/>
  <c r="X219" i="13"/>
  <c r="X220" i="13"/>
  <c r="X221" i="13"/>
  <c r="X222" i="13"/>
  <c r="X223" i="13"/>
  <c r="X224" i="13"/>
  <c r="X225" i="13"/>
  <c r="X226" i="13"/>
  <c r="X227" i="13"/>
  <c r="X228" i="13"/>
  <c r="X229" i="13"/>
  <c r="X230" i="13"/>
  <c r="X231" i="13"/>
  <c r="X232" i="13"/>
  <c r="X233" i="13"/>
  <c r="X234" i="13"/>
  <c r="X235" i="13"/>
  <c r="X236" i="13"/>
  <c r="X237" i="13"/>
  <c r="X238" i="13"/>
  <c r="X239" i="13"/>
  <c r="X240" i="13"/>
  <c r="X241" i="13"/>
  <c r="X242" i="13"/>
  <c r="X243" i="13"/>
  <c r="X244" i="13"/>
  <c r="X245" i="13"/>
  <c r="X246" i="13"/>
  <c r="X247" i="13"/>
  <c r="X248" i="13"/>
  <c r="X249" i="13"/>
  <c r="X250" i="13"/>
  <c r="X251" i="13"/>
  <c r="X252" i="13"/>
  <c r="X253" i="13"/>
  <c r="X254" i="13"/>
  <c r="X255" i="13"/>
  <c r="X256" i="13"/>
  <c r="X257" i="13"/>
  <c r="X258" i="13"/>
  <c r="X259" i="13"/>
  <c r="X260" i="13"/>
  <c r="X261" i="13"/>
  <c r="X262" i="13"/>
  <c r="X263" i="13"/>
  <c r="X264" i="13"/>
  <c r="X265" i="13"/>
  <c r="X266" i="13"/>
  <c r="X267" i="13"/>
  <c r="X268" i="13"/>
  <c r="X269" i="13"/>
  <c r="X270" i="13"/>
  <c r="X271" i="13"/>
  <c r="X272" i="13"/>
  <c r="X273" i="13"/>
  <c r="X274" i="13"/>
  <c r="X275" i="13"/>
  <c r="X276" i="13"/>
  <c r="X277" i="13"/>
  <c r="X278" i="13"/>
  <c r="X279" i="13"/>
  <c r="X280" i="13"/>
  <c r="X281" i="13"/>
  <c r="X282" i="13"/>
  <c r="X283" i="13"/>
  <c r="X284" i="13"/>
  <c r="X285" i="13"/>
  <c r="X286" i="13"/>
  <c r="X287" i="13"/>
  <c r="X288" i="13"/>
  <c r="X289" i="13"/>
  <c r="X290" i="13"/>
  <c r="X291" i="13"/>
  <c r="X292" i="13"/>
  <c r="X293" i="13"/>
  <c r="X294" i="13"/>
  <c r="X295" i="13"/>
  <c r="X296" i="13"/>
  <c r="X297" i="13"/>
  <c r="X298" i="13"/>
  <c r="X299" i="13"/>
  <c r="X300" i="13"/>
  <c r="X301" i="13"/>
  <c r="X302" i="13"/>
  <c r="X303" i="13"/>
  <c r="X304" i="13"/>
  <c r="X305" i="13"/>
  <c r="X306" i="13"/>
  <c r="X307" i="13"/>
  <c r="X308" i="13"/>
  <c r="X309" i="13"/>
  <c r="X310" i="13"/>
  <c r="X311" i="13"/>
  <c r="X312" i="13"/>
  <c r="X313" i="13"/>
  <c r="X314" i="13"/>
  <c r="X315" i="13"/>
  <c r="X316" i="13"/>
  <c r="X317" i="13"/>
  <c r="X318" i="13"/>
  <c r="X319" i="13"/>
  <c r="X320" i="13"/>
  <c r="X321" i="13"/>
  <c r="X322" i="13"/>
  <c r="X323" i="13"/>
  <c r="X324" i="13"/>
  <c r="X325" i="13"/>
  <c r="X326" i="13"/>
  <c r="X327" i="13"/>
  <c r="X328" i="13"/>
  <c r="X329" i="13"/>
  <c r="X330" i="13"/>
  <c r="X331" i="13"/>
  <c r="X332" i="13"/>
  <c r="X333" i="13"/>
  <c r="X334" i="13"/>
  <c r="X335" i="13"/>
  <c r="X336" i="13"/>
  <c r="X337" i="13"/>
  <c r="X338" i="13"/>
  <c r="X339" i="13"/>
  <c r="X340" i="13"/>
  <c r="X341" i="13"/>
  <c r="X342" i="13"/>
  <c r="X343" i="13"/>
  <c r="X344" i="13"/>
  <c r="X345" i="13"/>
  <c r="X346" i="13"/>
  <c r="X347" i="13"/>
  <c r="X348" i="13"/>
  <c r="X349" i="13"/>
  <c r="X350" i="13"/>
  <c r="X351" i="13"/>
  <c r="X352" i="13"/>
  <c r="X353" i="13"/>
  <c r="X354" i="13"/>
  <c r="X355" i="13"/>
  <c r="X356" i="13"/>
  <c r="X357" i="13"/>
  <c r="X358" i="13"/>
  <c r="X359" i="13"/>
  <c r="X360" i="13"/>
  <c r="X361" i="13"/>
  <c r="X362" i="13"/>
  <c r="X363" i="13"/>
  <c r="X364" i="13"/>
  <c r="X365" i="13"/>
  <c r="X366" i="13"/>
  <c r="X367" i="13"/>
  <c r="X368" i="13"/>
  <c r="X369" i="13"/>
  <c r="X370" i="13"/>
  <c r="X371" i="13"/>
  <c r="X372" i="13"/>
  <c r="X373" i="13"/>
  <c r="X374" i="13"/>
  <c r="X375" i="13"/>
  <c r="X376" i="13"/>
  <c r="X377" i="13"/>
  <c r="X378" i="13"/>
  <c r="X379" i="13"/>
  <c r="X380" i="13"/>
  <c r="X381" i="13"/>
  <c r="X382" i="13"/>
  <c r="X383" i="13"/>
  <c r="X384" i="13"/>
  <c r="X385" i="13"/>
  <c r="X386" i="13"/>
  <c r="X387" i="13"/>
  <c r="X388" i="13"/>
  <c r="X389" i="13"/>
  <c r="X390" i="13"/>
  <c r="X391" i="13"/>
  <c r="X392" i="13"/>
  <c r="X393" i="13"/>
  <c r="X394" i="13"/>
  <c r="X395" i="13"/>
  <c r="X396" i="13"/>
  <c r="X397" i="13"/>
  <c r="X398" i="13"/>
  <c r="X399" i="13"/>
  <c r="X400" i="13"/>
  <c r="X401" i="13"/>
  <c r="X402" i="13"/>
  <c r="X403" i="13"/>
  <c r="X404" i="13"/>
  <c r="X405" i="13"/>
  <c r="X406" i="13"/>
  <c r="X407" i="13"/>
  <c r="X408" i="13"/>
  <c r="X409" i="13"/>
  <c r="X410" i="13"/>
  <c r="X411" i="13"/>
  <c r="X412" i="13"/>
  <c r="X413" i="13"/>
  <c r="X414" i="13"/>
  <c r="X415" i="13"/>
  <c r="X416" i="13"/>
  <c r="X417" i="13"/>
  <c r="X418" i="13"/>
  <c r="X419" i="13"/>
  <c r="X420" i="13"/>
  <c r="X421" i="13"/>
  <c r="X422" i="13"/>
  <c r="X423" i="13"/>
  <c r="X424" i="13"/>
  <c r="X425" i="13"/>
  <c r="X426" i="13"/>
  <c r="X427" i="13"/>
  <c r="X428" i="13"/>
  <c r="X429" i="13"/>
  <c r="X430" i="13"/>
  <c r="X431" i="13"/>
  <c r="X432" i="13"/>
  <c r="X433" i="13"/>
  <c r="X434" i="13"/>
  <c r="X435" i="13"/>
  <c r="X436" i="13"/>
  <c r="X437" i="13"/>
  <c r="X438" i="13"/>
  <c r="X439" i="13"/>
  <c r="X440" i="13"/>
  <c r="X441" i="13"/>
  <c r="X442" i="13"/>
  <c r="X443" i="13"/>
  <c r="X444" i="13"/>
  <c r="X445" i="13"/>
  <c r="X446" i="13"/>
  <c r="X447" i="13"/>
  <c r="X448" i="13"/>
  <c r="X449" i="13"/>
  <c r="X450" i="13"/>
  <c r="X451" i="13"/>
  <c r="X452" i="13"/>
  <c r="X453" i="13"/>
  <c r="X454" i="13"/>
  <c r="X455" i="13"/>
  <c r="X456" i="13"/>
  <c r="X457" i="13"/>
  <c r="X458" i="13"/>
  <c r="X459" i="13"/>
  <c r="X460" i="13"/>
  <c r="X461" i="13"/>
  <c r="X462" i="13"/>
  <c r="X463" i="13"/>
  <c r="X464" i="13"/>
  <c r="X465" i="13"/>
  <c r="X466" i="13"/>
  <c r="X467" i="13"/>
  <c r="X468" i="13"/>
  <c r="X469" i="13"/>
  <c r="X470" i="13"/>
  <c r="X471" i="13"/>
  <c r="X472" i="13"/>
  <c r="X473" i="13"/>
  <c r="X474" i="13"/>
  <c r="X475" i="13"/>
  <c r="X476" i="13"/>
  <c r="X477" i="13"/>
  <c r="X478" i="13"/>
  <c r="X479" i="13"/>
  <c r="X480" i="13"/>
  <c r="X481" i="13"/>
  <c r="X482" i="13"/>
  <c r="X483" i="13"/>
  <c r="X484" i="13"/>
  <c r="X485" i="13"/>
  <c r="X486" i="13"/>
  <c r="X487" i="13"/>
  <c r="X488" i="13"/>
  <c r="X489" i="13"/>
  <c r="X490" i="13"/>
  <c r="X491" i="13"/>
  <c r="X492" i="13"/>
  <c r="X493" i="13"/>
  <c r="X494" i="13"/>
  <c r="X495" i="13"/>
  <c r="X496" i="13"/>
  <c r="X497" i="13"/>
  <c r="X498" i="13"/>
  <c r="X499" i="13"/>
  <c r="X500" i="13"/>
  <c r="X501" i="13"/>
  <c r="X502" i="13"/>
  <c r="X503" i="13"/>
  <c r="X504" i="13"/>
  <c r="X505" i="13"/>
  <c r="X506" i="13"/>
  <c r="X507" i="13"/>
  <c r="X508" i="13"/>
  <c r="X509" i="13"/>
  <c r="X510" i="13"/>
  <c r="X511" i="13"/>
  <c r="X512" i="13"/>
  <c r="X513" i="13"/>
  <c r="X514" i="13"/>
  <c r="X515" i="13"/>
  <c r="X516" i="13"/>
  <c r="X517" i="13"/>
  <c r="X518" i="13"/>
  <c r="X519" i="13"/>
  <c r="X520" i="13"/>
  <c r="X521" i="13"/>
  <c r="X522" i="13"/>
  <c r="X523" i="13"/>
  <c r="X524" i="13"/>
  <c r="X525" i="13"/>
  <c r="X526" i="13"/>
  <c r="X527" i="13"/>
  <c r="X528" i="13"/>
  <c r="X529" i="13"/>
  <c r="X530" i="13"/>
  <c r="X531" i="13"/>
  <c r="X532" i="13"/>
  <c r="X533" i="13"/>
  <c r="X534" i="13"/>
  <c r="X535" i="13"/>
  <c r="X536" i="13"/>
  <c r="X537" i="13"/>
  <c r="X538" i="13"/>
  <c r="X539" i="13"/>
  <c r="X540" i="13"/>
  <c r="X541" i="13"/>
  <c r="X542" i="13"/>
  <c r="X543" i="13"/>
  <c r="X544" i="13"/>
  <c r="X545" i="13"/>
  <c r="X546" i="13"/>
  <c r="X547" i="13"/>
  <c r="X548" i="13"/>
  <c r="X549" i="13"/>
  <c r="X550" i="13"/>
  <c r="X551" i="13"/>
  <c r="X552" i="13"/>
  <c r="L1509" i="9" l="1"/>
  <c r="L1510" i="9"/>
  <c r="L1511" i="9"/>
  <c r="L1473" i="9"/>
  <c r="L1474" i="9"/>
  <c r="L1475" i="9"/>
  <c r="L1459" i="9"/>
  <c r="L1460" i="9"/>
  <c r="L1384" i="9"/>
  <c r="L1385" i="9"/>
  <c r="L1386" i="9"/>
  <c r="L1387" i="9"/>
  <c r="L1358" i="9"/>
  <c r="L1359" i="9"/>
  <c r="L1327" i="9"/>
  <c r="L1328" i="9"/>
  <c r="L1302" i="9"/>
  <c r="L1303" i="9"/>
  <c r="L1304" i="9"/>
  <c r="L1257" i="9"/>
  <c r="L1258" i="9"/>
  <c r="L1259" i="9"/>
  <c r="L1260" i="9"/>
  <c r="L1445" i="9"/>
  <c r="L1446" i="9"/>
  <c r="L1413" i="9"/>
  <c r="L1412" i="9"/>
  <c r="L1179" i="9"/>
  <c r="L1180" i="9"/>
  <c r="L1181" i="9"/>
  <c r="L1149" i="9"/>
  <c r="L1150" i="9"/>
  <c r="L1151" i="9"/>
  <c r="L1152" i="9"/>
  <c r="L1153" i="9"/>
  <c r="L1146" i="9"/>
  <c r="L1147" i="9"/>
  <c r="L1148" i="9"/>
  <c r="L1077" i="9"/>
  <c r="L1078" i="9"/>
  <c r="L1079" i="9"/>
  <c r="L1080" i="9"/>
  <c r="L1081" i="9"/>
  <c r="L1074" i="9"/>
  <c r="L1075" i="9"/>
  <c r="L1076" i="9"/>
  <c r="L956" i="9"/>
  <c r="L951" i="9"/>
  <c r="L952" i="9"/>
  <c r="L953" i="9"/>
  <c r="L954" i="9"/>
  <c r="L955" i="9"/>
  <c r="L957" i="9"/>
  <c r="L950" i="9"/>
  <c r="L903" i="9"/>
  <c r="L904" i="9"/>
  <c r="L905" i="9"/>
  <c r="L837" i="9"/>
  <c r="L838" i="9"/>
  <c r="L822" i="9"/>
  <c r="L821" i="9"/>
  <c r="L795" i="9"/>
  <c r="L793" i="9"/>
  <c r="L794" i="9"/>
  <c r="L742" i="9"/>
  <c r="L743" i="9"/>
  <c r="L744" i="9"/>
  <c r="L703" i="9"/>
  <c r="L704" i="9"/>
  <c r="L568" i="9"/>
  <c r="L569" i="9"/>
  <c r="L570" i="9"/>
  <c r="L571" i="9"/>
  <c r="L531" i="9"/>
  <c r="L532" i="9"/>
  <c r="L533" i="9"/>
  <c r="L534" i="9"/>
  <c r="L535" i="9"/>
  <c r="L536" i="9"/>
  <c r="L423" i="9"/>
  <c r="L424" i="9"/>
  <c r="L425" i="9"/>
  <c r="L426" i="9"/>
  <c r="L418" i="9"/>
  <c r="L419" i="9"/>
  <c r="L420" i="9"/>
  <c r="L421" i="9"/>
  <c r="L422" i="9"/>
  <c r="L339" i="9"/>
  <c r="L340" i="9"/>
  <c r="L341" i="9"/>
  <c r="L304" i="9"/>
  <c r="L305" i="9"/>
  <c r="L306" i="9"/>
  <c r="L307" i="9"/>
  <c r="L308" i="9"/>
  <c r="L256" i="9"/>
  <c r="L257" i="9"/>
  <c r="L258" i="9"/>
  <c r="L259" i="9"/>
  <c r="L260" i="9"/>
  <c r="L261" i="9"/>
  <c r="L262" i="9"/>
  <c r="L263" i="9"/>
  <c r="L210" i="9"/>
  <c r="L211" i="9"/>
  <c r="L212" i="9"/>
  <c r="L213" i="9"/>
  <c r="L159" i="9"/>
  <c r="L160" i="9"/>
  <c r="L161" i="9"/>
  <c r="L162" i="9"/>
  <c r="L163" i="9"/>
  <c r="L164" i="9"/>
  <c r="L158" i="9"/>
  <c r="L111" i="9"/>
  <c r="L107" i="9"/>
  <c r="L108" i="9"/>
  <c r="L109" i="9"/>
  <c r="L110" i="9"/>
  <c r="L63" i="9"/>
  <c r="L64" i="9"/>
  <c r="L65" i="9"/>
  <c r="L66" i="9"/>
  <c r="L62" i="9"/>
  <c r="L15" i="9"/>
  <c r="L16" i="9"/>
  <c r="L17" i="9"/>
  <c r="L1506" i="9"/>
  <c r="L1507" i="9"/>
  <c r="L1508" i="9"/>
  <c r="L1355" i="9"/>
  <c r="L1356" i="9"/>
  <c r="L1357" i="9"/>
  <c r="L1299" i="9"/>
  <c r="L1300" i="9"/>
  <c r="L1301" i="9"/>
  <c r="L1253" i="9"/>
  <c r="L1254" i="9"/>
  <c r="L1255" i="9"/>
  <c r="L1256" i="9"/>
  <c r="L1441" i="9"/>
  <c r="L1442" i="9"/>
  <c r="L1443" i="9"/>
  <c r="L1444" i="9"/>
  <c r="L1177" i="9"/>
  <c r="L1178" i="9"/>
  <c r="L1138" i="9"/>
  <c r="L1139" i="9"/>
  <c r="L1140" i="9"/>
  <c r="L1141" i="9"/>
  <c r="L1142" i="9"/>
  <c r="L1143" i="9"/>
  <c r="L1144" i="9"/>
  <c r="L1145" i="9"/>
  <c r="L1066" i="9"/>
  <c r="L1067" i="9"/>
  <c r="L1068" i="9"/>
  <c r="L1069" i="9"/>
  <c r="L1070" i="9"/>
  <c r="L1071" i="9"/>
  <c r="L1072" i="9"/>
  <c r="L1073" i="9"/>
  <c r="L1004" i="9"/>
  <c r="L1003" i="9"/>
  <c r="L1005" i="9"/>
  <c r="L1006" i="9"/>
  <c r="L1007" i="9"/>
  <c r="L1008" i="9"/>
  <c r="L1009" i="9"/>
  <c r="L1010" i="9"/>
  <c r="L1011" i="9"/>
  <c r="L944" i="9"/>
  <c r="L942" i="9"/>
  <c r="L943" i="9"/>
  <c r="L945" i="9"/>
  <c r="L946" i="9"/>
  <c r="L947" i="9"/>
  <c r="L948" i="9"/>
  <c r="L949" i="9"/>
  <c r="L899" i="9"/>
  <c r="L900" i="9"/>
  <c r="L901" i="9"/>
  <c r="L902" i="9"/>
  <c r="L860" i="9"/>
  <c r="L861" i="9"/>
  <c r="L862" i="9"/>
  <c r="L863" i="9"/>
  <c r="L864" i="9"/>
  <c r="L865" i="9"/>
  <c r="L866" i="9"/>
  <c r="L835" i="9"/>
  <c r="L836" i="9"/>
  <c r="L819" i="9"/>
  <c r="L820" i="9"/>
  <c r="L818" i="9"/>
  <c r="L788" i="9"/>
  <c r="L789" i="9"/>
  <c r="L790" i="9"/>
  <c r="L791" i="9"/>
  <c r="L792" i="9"/>
  <c r="L738" i="9"/>
  <c r="L739" i="9"/>
  <c r="L740" i="9"/>
  <c r="L741" i="9"/>
  <c r="L646" i="9"/>
  <c r="L647" i="9"/>
  <c r="L567" i="9"/>
  <c r="L566" i="9"/>
  <c r="L525" i="9"/>
  <c r="L526" i="9"/>
  <c r="L527" i="9"/>
  <c r="L528" i="9"/>
  <c r="L529" i="9"/>
  <c r="L530" i="9"/>
  <c r="L413" i="9"/>
  <c r="L414" i="9"/>
  <c r="L415" i="9"/>
  <c r="L416" i="9"/>
  <c r="L417" i="9"/>
  <c r="L303" i="9"/>
  <c r="L300" i="9"/>
  <c r="L301" i="9"/>
  <c r="L302" i="9"/>
  <c r="L255" i="9"/>
  <c r="L248" i="9"/>
  <c r="L249" i="9"/>
  <c r="L250" i="9"/>
  <c r="L251" i="9"/>
  <c r="L252" i="9"/>
  <c r="L253" i="9"/>
  <c r="L254" i="9"/>
  <c r="L152" i="9"/>
  <c r="L153" i="9"/>
  <c r="L154" i="9"/>
  <c r="L155" i="9"/>
  <c r="L156" i="9"/>
  <c r="L157" i="9"/>
  <c r="L102" i="9"/>
  <c r="L103" i="9"/>
  <c r="L104" i="9"/>
  <c r="L105" i="9"/>
  <c r="L106" i="9"/>
  <c r="L1503" i="9"/>
  <c r="L1504" i="9"/>
  <c r="L1505" i="9"/>
  <c r="L1450" i="9"/>
  <c r="L1451" i="9"/>
  <c r="L1452" i="9"/>
  <c r="L1353" i="9"/>
  <c r="L1354" i="9"/>
  <c r="L1296" i="9"/>
  <c r="L1297" i="9"/>
  <c r="L1298" i="9"/>
  <c r="L1246" i="9"/>
  <c r="L1247" i="9"/>
  <c r="L1248" i="9"/>
  <c r="L1249" i="9"/>
  <c r="L1250" i="9"/>
  <c r="L1251" i="9"/>
  <c r="L1252" i="9"/>
  <c r="L1437" i="9"/>
  <c r="L1438" i="9"/>
  <c r="L1439" i="9"/>
  <c r="L1440" i="9"/>
  <c r="L1210" i="9"/>
  <c r="L1211" i="9"/>
  <c r="L1212" i="9"/>
  <c r="L1173" i="9"/>
  <c r="L1174" i="9"/>
  <c r="L1175" i="9"/>
  <c r="L1176" i="9"/>
  <c r="L937" i="9"/>
  <c r="L938" i="9"/>
  <c r="L939" i="9"/>
  <c r="L940" i="9"/>
  <c r="L941" i="9"/>
  <c r="L935" i="9"/>
  <c r="L936" i="9"/>
  <c r="L897" i="9"/>
  <c r="L898" i="9"/>
  <c r="L816" i="9"/>
  <c r="L817" i="9"/>
  <c r="L783" i="9"/>
  <c r="L784" i="9"/>
  <c r="L786" i="9"/>
  <c r="L787" i="9"/>
  <c r="L782" i="9"/>
  <c r="L785" i="9"/>
  <c r="L735" i="9"/>
  <c r="L736" i="9"/>
  <c r="L732" i="9"/>
  <c r="L733" i="9"/>
  <c r="L734" i="9"/>
  <c r="L737" i="9"/>
  <c r="L643" i="9"/>
  <c r="L644" i="9"/>
  <c r="L645" i="9"/>
  <c r="L586" i="9"/>
  <c r="L587" i="9"/>
  <c r="L588" i="9"/>
  <c r="L589" i="9"/>
  <c r="L519" i="9"/>
  <c r="L520" i="9"/>
  <c r="L521" i="9"/>
  <c r="L522" i="9"/>
  <c r="L523" i="9"/>
  <c r="L524" i="9"/>
  <c r="L399" i="9"/>
  <c r="L411" i="9"/>
  <c r="L400" i="9"/>
  <c r="L412" i="9"/>
  <c r="L401" i="9"/>
  <c r="L402" i="9"/>
  <c r="L403" i="9"/>
  <c r="L404" i="9"/>
  <c r="L405" i="9"/>
  <c r="L406" i="9"/>
  <c r="L407" i="9"/>
  <c r="L408" i="9"/>
  <c r="L409" i="9"/>
  <c r="L398" i="9"/>
  <c r="L410" i="9"/>
  <c r="L296" i="9"/>
  <c r="L297" i="9"/>
  <c r="L298" i="9"/>
  <c r="L299" i="9"/>
  <c r="L207" i="9"/>
  <c r="L208" i="9"/>
  <c r="L209" i="9"/>
  <c r="L205" i="9"/>
  <c r="L206" i="9"/>
  <c r="L147" i="9"/>
  <c r="L148" i="9"/>
  <c r="L149" i="9"/>
  <c r="L150" i="9"/>
  <c r="L151" i="9"/>
  <c r="L146" i="9"/>
  <c r="L99" i="9"/>
  <c r="L100" i="9"/>
  <c r="L101" i="9"/>
  <c r="L97" i="9"/>
  <c r="L98" i="9"/>
  <c r="L13" i="9"/>
  <c r="L14" i="9"/>
  <c r="L1500" i="9"/>
  <c r="L1501" i="9"/>
  <c r="L1502" i="9"/>
  <c r="L1456" i="9"/>
  <c r="L1457" i="9"/>
  <c r="L1458" i="9"/>
  <c r="L1449" i="9"/>
  <c r="L1447" i="9"/>
  <c r="L1448" i="9"/>
  <c r="L1351" i="9"/>
  <c r="L1352" i="9"/>
  <c r="L1293" i="9"/>
  <c r="L1294" i="9"/>
  <c r="L1295" i="9"/>
  <c r="L1245" i="9"/>
  <c r="L1243" i="9"/>
  <c r="L1244" i="9"/>
  <c r="L1433" i="9"/>
  <c r="L1434" i="9"/>
  <c r="L1435" i="9"/>
  <c r="L1436" i="9"/>
  <c r="L1171" i="9"/>
  <c r="L1172" i="9"/>
  <c r="L1065" i="9"/>
  <c r="L1058" i="9"/>
  <c r="L1059" i="9"/>
  <c r="L1060" i="9"/>
  <c r="L1061" i="9"/>
  <c r="L1062" i="9"/>
  <c r="L1063" i="9"/>
  <c r="L1064" i="9"/>
  <c r="L994" i="9"/>
  <c r="L995" i="9"/>
  <c r="L996" i="9"/>
  <c r="L997" i="9"/>
  <c r="L998" i="9"/>
  <c r="L999" i="9"/>
  <c r="L1000" i="9"/>
  <c r="L1001" i="9"/>
  <c r="L1002" i="9"/>
  <c r="L932" i="9"/>
  <c r="L933" i="9"/>
  <c r="L934" i="9"/>
  <c r="L895" i="9"/>
  <c r="L896" i="9"/>
  <c r="L832" i="9"/>
  <c r="L834" i="9"/>
  <c r="L833" i="9"/>
  <c r="L812" i="9"/>
  <c r="L813" i="9"/>
  <c r="L814" i="9"/>
  <c r="L815" i="9"/>
  <c r="L583" i="9"/>
  <c r="L584" i="9"/>
  <c r="L585" i="9"/>
  <c r="L513" i="9"/>
  <c r="L514" i="9"/>
  <c r="L515" i="9"/>
  <c r="L516" i="9"/>
  <c r="L517" i="9"/>
  <c r="L518" i="9"/>
  <c r="L387" i="9"/>
  <c r="L388" i="9"/>
  <c r="L389" i="9"/>
  <c r="L390" i="9"/>
  <c r="L391" i="9"/>
  <c r="L392" i="9"/>
  <c r="L393" i="9"/>
  <c r="L382" i="9"/>
  <c r="L394" i="9"/>
  <c r="L383" i="9"/>
  <c r="L395" i="9"/>
  <c r="L384" i="9"/>
  <c r="L396" i="9"/>
  <c r="L385" i="9"/>
  <c r="L397" i="9"/>
  <c r="L386" i="9"/>
  <c r="L292" i="9"/>
  <c r="L293" i="9"/>
  <c r="L294" i="9"/>
  <c r="L295" i="9"/>
  <c r="L243" i="9"/>
  <c r="L244" i="9"/>
  <c r="L245" i="9"/>
  <c r="L246" i="9"/>
  <c r="L247" i="9"/>
  <c r="L199" i="9"/>
  <c r="L200" i="9"/>
  <c r="L201" i="9"/>
  <c r="L202" i="9"/>
  <c r="L203" i="9"/>
  <c r="L204" i="9"/>
  <c r="L142" i="9"/>
  <c r="L143" i="9"/>
  <c r="L144" i="9"/>
  <c r="L145" i="9"/>
  <c r="L94" i="9"/>
  <c r="L95" i="9"/>
  <c r="L96" i="9"/>
  <c r="L1497" i="9"/>
  <c r="L1498" i="9"/>
  <c r="L1499" i="9"/>
  <c r="L1453" i="9"/>
  <c r="L1454" i="9"/>
  <c r="L1455" i="9"/>
  <c r="L1381" i="9"/>
  <c r="L1382" i="9"/>
  <c r="L1383" i="9"/>
  <c r="L1347" i="9"/>
  <c r="L1348" i="9"/>
  <c r="L1349" i="9"/>
  <c r="L1350" i="9"/>
  <c r="L1289" i="9"/>
  <c r="L1290" i="9"/>
  <c r="L1291" i="9"/>
  <c r="L1292" i="9"/>
  <c r="L1429" i="9"/>
  <c r="L1430" i="9"/>
  <c r="L1431" i="9"/>
  <c r="L1432" i="9"/>
  <c r="L1207" i="9"/>
  <c r="L1208" i="9"/>
  <c r="L1137" i="9"/>
  <c r="L1130" i="9"/>
  <c r="L1131" i="9"/>
  <c r="L1132" i="9"/>
  <c r="L1133" i="9"/>
  <c r="L1134" i="9"/>
  <c r="L1135" i="9"/>
  <c r="L1136" i="9"/>
  <c r="L1053" i="9"/>
  <c r="L1054" i="9"/>
  <c r="L1055" i="9"/>
  <c r="L1056" i="9"/>
  <c r="L1057" i="9"/>
  <c r="L1050" i="9"/>
  <c r="L1051" i="9"/>
  <c r="L1052" i="9"/>
  <c r="L992" i="9"/>
  <c r="L990" i="9"/>
  <c r="L991" i="9"/>
  <c r="L993" i="9"/>
  <c r="L986" i="9"/>
  <c r="L987" i="9"/>
  <c r="L988" i="9"/>
  <c r="L989" i="9"/>
  <c r="L931" i="9"/>
  <c r="L930" i="9"/>
  <c r="L891" i="9"/>
  <c r="L892" i="9"/>
  <c r="L894" i="9"/>
  <c r="L893" i="9"/>
  <c r="L856" i="9"/>
  <c r="L857" i="9"/>
  <c r="L807" i="9"/>
  <c r="L808" i="9"/>
  <c r="L810" i="9"/>
  <c r="L811" i="9"/>
  <c r="L809" i="9"/>
  <c r="L780" i="9"/>
  <c r="L781" i="9"/>
  <c r="L615" i="9"/>
  <c r="L616" i="9"/>
  <c r="L618" i="9"/>
  <c r="L619" i="9"/>
  <c r="L620" i="9"/>
  <c r="L614" i="9"/>
  <c r="L617" i="9"/>
  <c r="L507" i="9"/>
  <c r="L508" i="9"/>
  <c r="L509" i="9"/>
  <c r="L510" i="9"/>
  <c r="L511" i="9"/>
  <c r="L512" i="9"/>
  <c r="L505" i="9"/>
  <c r="L506" i="9"/>
  <c r="L375" i="9"/>
  <c r="L376" i="9"/>
  <c r="L377" i="9"/>
  <c r="L378" i="9"/>
  <c r="L379" i="9"/>
  <c r="L368" i="9"/>
  <c r="L380" i="9"/>
  <c r="L369" i="9"/>
  <c r="L381" i="9"/>
  <c r="L370" i="9"/>
  <c r="L371" i="9"/>
  <c r="L372" i="9"/>
  <c r="L373" i="9"/>
  <c r="L374" i="9"/>
  <c r="L333" i="9"/>
  <c r="L334" i="9"/>
  <c r="L335" i="9"/>
  <c r="L291" i="9"/>
  <c r="L289" i="9"/>
  <c r="L290" i="9"/>
  <c r="L238" i="9"/>
  <c r="L239" i="9"/>
  <c r="L240" i="9"/>
  <c r="L241" i="9"/>
  <c r="L242" i="9"/>
  <c r="L195" i="9"/>
  <c r="L196" i="9"/>
  <c r="L197" i="9"/>
  <c r="L198" i="9"/>
  <c r="L193" i="9"/>
  <c r="L194" i="9"/>
  <c r="L138" i="9"/>
  <c r="L139" i="9"/>
  <c r="L140" i="9"/>
  <c r="L141" i="9"/>
  <c r="L89" i="9"/>
  <c r="L90" i="9"/>
  <c r="L91" i="9"/>
  <c r="L92" i="9"/>
  <c r="L93" i="9"/>
  <c r="L10" i="9"/>
  <c r="L11" i="9"/>
  <c r="L12" i="9"/>
  <c r="L1494" i="9"/>
  <c r="L1495" i="9"/>
  <c r="L1496" i="9"/>
  <c r="L1377" i="9"/>
  <c r="L1378" i="9"/>
  <c r="L1379" i="9"/>
  <c r="L1380" i="9"/>
  <c r="L1343" i="9"/>
  <c r="L1344" i="9"/>
  <c r="L1345" i="9"/>
  <c r="L1346" i="9"/>
  <c r="L1321" i="9"/>
  <c r="L1322" i="9"/>
  <c r="L1285" i="9"/>
  <c r="L1286" i="9"/>
  <c r="L1287" i="9"/>
  <c r="L1288" i="9"/>
  <c r="L1425" i="9"/>
  <c r="L1426" i="9"/>
  <c r="L1427" i="9"/>
  <c r="L1428" i="9"/>
  <c r="L1204" i="9"/>
  <c r="L1205" i="9"/>
  <c r="L1206" i="9"/>
  <c r="L1125" i="9"/>
  <c r="L1126" i="9"/>
  <c r="L1127" i="9"/>
  <c r="L1128" i="9"/>
  <c r="L1129" i="9"/>
  <c r="L1122" i="9"/>
  <c r="L1123" i="9"/>
  <c r="L1124" i="9"/>
  <c r="L1042" i="9"/>
  <c r="L1043" i="9"/>
  <c r="L1044" i="9"/>
  <c r="L1045" i="9"/>
  <c r="L1046" i="9"/>
  <c r="L1047" i="9"/>
  <c r="L1048" i="9"/>
  <c r="L1049" i="9"/>
  <c r="L980" i="9"/>
  <c r="L977" i="9"/>
  <c r="L978" i="9"/>
  <c r="L979" i="9"/>
  <c r="L981" i="9"/>
  <c r="L982" i="9"/>
  <c r="L983" i="9"/>
  <c r="L984" i="9"/>
  <c r="L985" i="9"/>
  <c r="L928" i="9"/>
  <c r="L929" i="9"/>
  <c r="L889" i="9"/>
  <c r="L890" i="9"/>
  <c r="L855" i="9"/>
  <c r="L853" i="9"/>
  <c r="L854" i="9"/>
  <c r="L805" i="9"/>
  <c r="L806" i="9"/>
  <c r="L776" i="9"/>
  <c r="L777" i="9"/>
  <c r="L778" i="9"/>
  <c r="L779" i="9"/>
  <c r="L607" i="9"/>
  <c r="L608" i="9"/>
  <c r="L609" i="9"/>
  <c r="L610" i="9"/>
  <c r="L611" i="9"/>
  <c r="L612" i="9"/>
  <c r="L613" i="9"/>
  <c r="L559" i="9"/>
  <c r="L560" i="9"/>
  <c r="L561" i="9"/>
  <c r="L562" i="9"/>
  <c r="L495" i="9"/>
  <c r="L496" i="9"/>
  <c r="L497" i="9"/>
  <c r="L498" i="9"/>
  <c r="L499" i="9"/>
  <c r="L500" i="9"/>
  <c r="L501" i="9"/>
  <c r="L502" i="9"/>
  <c r="L503" i="9"/>
  <c r="L504" i="9"/>
  <c r="L493" i="9"/>
  <c r="L494" i="9"/>
  <c r="L365" i="9"/>
  <c r="L366" i="9"/>
  <c r="L367" i="9"/>
  <c r="L329" i="9"/>
  <c r="L330" i="9"/>
  <c r="L331" i="9"/>
  <c r="L332" i="9"/>
  <c r="L287" i="9"/>
  <c r="L288" i="9"/>
  <c r="L233" i="9"/>
  <c r="L234" i="9"/>
  <c r="L235" i="9"/>
  <c r="L236" i="9"/>
  <c r="L237" i="9"/>
  <c r="L189" i="9"/>
  <c r="L190" i="9"/>
  <c r="L191" i="9"/>
  <c r="L192" i="9"/>
  <c r="L135" i="9"/>
  <c r="L136" i="9"/>
  <c r="L137" i="9"/>
  <c r="L132" i="9"/>
  <c r="L133" i="9"/>
  <c r="L134" i="9"/>
  <c r="L87" i="9"/>
  <c r="L88" i="9"/>
  <c r="L85" i="9"/>
  <c r="L86" i="9"/>
  <c r="L58" i="9"/>
  <c r="L59" i="9"/>
  <c r="L60" i="9"/>
  <c r="L61" i="9"/>
  <c r="L1491" i="9"/>
  <c r="L1492" i="9"/>
  <c r="L1493" i="9"/>
  <c r="L1408" i="9"/>
  <c r="L1409" i="9"/>
  <c r="L1410" i="9"/>
  <c r="L1411" i="9"/>
  <c r="L1375" i="9"/>
  <c r="L1376" i="9"/>
  <c r="L1341" i="9"/>
  <c r="L1342" i="9"/>
  <c r="L1339" i="9"/>
  <c r="L1340" i="9"/>
  <c r="L1319" i="9"/>
  <c r="L1320" i="9"/>
  <c r="L1281" i="9"/>
  <c r="L1282" i="9"/>
  <c r="L1283" i="9"/>
  <c r="L1284" i="9"/>
  <c r="L1237" i="9"/>
  <c r="L1238" i="9"/>
  <c r="L1239" i="9"/>
  <c r="L1240" i="9"/>
  <c r="L1422" i="9"/>
  <c r="L1423" i="9"/>
  <c r="L1424" i="9"/>
  <c r="L1200" i="9"/>
  <c r="L1201" i="9"/>
  <c r="L1202" i="9"/>
  <c r="L1203" i="9"/>
  <c r="L1166" i="9"/>
  <c r="L1167" i="9"/>
  <c r="L1168" i="9"/>
  <c r="L1114" i="9"/>
  <c r="L1115" i="9"/>
  <c r="L1116" i="9"/>
  <c r="L1117" i="9"/>
  <c r="L1118" i="9"/>
  <c r="L1119" i="9"/>
  <c r="L1120" i="9"/>
  <c r="L1121" i="9"/>
  <c r="L927" i="9"/>
  <c r="L926" i="9"/>
  <c r="L887" i="9"/>
  <c r="L888" i="9"/>
  <c r="L851" i="9"/>
  <c r="L852" i="9"/>
  <c r="L803" i="9"/>
  <c r="L804" i="9"/>
  <c r="L772" i="9"/>
  <c r="L774" i="9"/>
  <c r="L775" i="9"/>
  <c r="L773" i="9"/>
  <c r="L675" i="9"/>
  <c r="L687" i="9"/>
  <c r="L699" i="9"/>
  <c r="L676" i="9"/>
  <c r="L688" i="9"/>
  <c r="L700" i="9"/>
  <c r="L678" i="9"/>
  <c r="L690" i="9"/>
  <c r="L702" i="9"/>
  <c r="L679" i="9"/>
  <c r="L691" i="9"/>
  <c r="L680" i="9"/>
  <c r="L692" i="9"/>
  <c r="L681" i="9"/>
  <c r="L693" i="9"/>
  <c r="L682" i="9"/>
  <c r="L694" i="9"/>
  <c r="L683" i="9"/>
  <c r="L695" i="9"/>
  <c r="L684" i="9"/>
  <c r="L696" i="9"/>
  <c r="L673" i="9"/>
  <c r="L685" i="9"/>
  <c r="L697" i="9"/>
  <c r="L674" i="9"/>
  <c r="L686" i="9"/>
  <c r="L698" i="9"/>
  <c r="L677" i="9"/>
  <c r="L689" i="9"/>
  <c r="L701" i="9"/>
  <c r="L557" i="9"/>
  <c r="L558" i="9"/>
  <c r="L487" i="9"/>
  <c r="L488" i="9"/>
  <c r="L489" i="9"/>
  <c r="L490" i="9"/>
  <c r="L491" i="9"/>
  <c r="L492" i="9"/>
  <c r="L363" i="9"/>
  <c r="L364" i="9"/>
  <c r="L362" i="9"/>
  <c r="L327" i="9"/>
  <c r="L328" i="9"/>
  <c r="L325" i="9"/>
  <c r="L326" i="9"/>
  <c r="L284" i="9"/>
  <c r="L285" i="9"/>
  <c r="L286" i="9"/>
  <c r="L231" i="9"/>
  <c r="L232" i="9"/>
  <c r="L228" i="9"/>
  <c r="L229" i="9"/>
  <c r="L230" i="9"/>
  <c r="L186" i="9"/>
  <c r="L187" i="9"/>
  <c r="L188" i="9"/>
  <c r="L128" i="9"/>
  <c r="L129" i="9"/>
  <c r="L130" i="9"/>
  <c r="L131" i="9"/>
  <c r="L81" i="9"/>
  <c r="L82" i="9"/>
  <c r="L83" i="9"/>
  <c r="L84" i="9"/>
  <c r="L56" i="9"/>
  <c r="L57" i="9"/>
  <c r="L3" i="9"/>
  <c r="L4" i="9"/>
  <c r="L5" i="9"/>
  <c r="L6" i="9"/>
  <c r="L7" i="9"/>
  <c r="L8" i="9"/>
  <c r="L9" i="9"/>
  <c r="L1488" i="9"/>
  <c r="L1489" i="9"/>
  <c r="L1490" i="9"/>
  <c r="L1471" i="9"/>
  <c r="L1472" i="9"/>
  <c r="L1404" i="9"/>
  <c r="L1405" i="9"/>
  <c r="L1406" i="9"/>
  <c r="L1407" i="9"/>
  <c r="L1317" i="9"/>
  <c r="L1318" i="9"/>
  <c r="L1277" i="9"/>
  <c r="L1278" i="9"/>
  <c r="L1279" i="9"/>
  <c r="L1280" i="9"/>
  <c r="L1233" i="9"/>
  <c r="L1234" i="9"/>
  <c r="L1235" i="9"/>
  <c r="L1236" i="9"/>
  <c r="L1232" i="9"/>
  <c r="L1197" i="9"/>
  <c r="L1198" i="9"/>
  <c r="L1199" i="9"/>
  <c r="L1196" i="9"/>
  <c r="L1113" i="9"/>
  <c r="L1106" i="9"/>
  <c r="L1107" i="9"/>
  <c r="L1108" i="9"/>
  <c r="L1109" i="9"/>
  <c r="L1110" i="9"/>
  <c r="L1111" i="9"/>
  <c r="L1112" i="9"/>
  <c r="L1041" i="9"/>
  <c r="L1034" i="9"/>
  <c r="L1035" i="9"/>
  <c r="L1036" i="9"/>
  <c r="L1037" i="9"/>
  <c r="L1038" i="9"/>
  <c r="L1039" i="9"/>
  <c r="L1040" i="9"/>
  <c r="L969" i="9"/>
  <c r="L970" i="9"/>
  <c r="L971" i="9"/>
  <c r="L972" i="9"/>
  <c r="L973" i="9"/>
  <c r="L974" i="9"/>
  <c r="L975" i="9"/>
  <c r="L976" i="9"/>
  <c r="L920" i="9"/>
  <c r="L921" i="9"/>
  <c r="L922" i="9"/>
  <c r="L923" i="9"/>
  <c r="L925" i="9"/>
  <c r="L924" i="9"/>
  <c r="L880" i="9"/>
  <c r="L882" i="9"/>
  <c r="L883" i="9"/>
  <c r="L884" i="9"/>
  <c r="L885" i="9"/>
  <c r="L886" i="9"/>
  <c r="L881" i="9"/>
  <c r="L801" i="9"/>
  <c r="L802" i="9"/>
  <c r="L771" i="9"/>
  <c r="L764" i="9"/>
  <c r="L765" i="9"/>
  <c r="L766" i="9"/>
  <c r="L767" i="9"/>
  <c r="L768" i="9"/>
  <c r="L769" i="9"/>
  <c r="L770" i="9"/>
  <c r="L663" i="9"/>
  <c r="L664" i="9"/>
  <c r="L666" i="9"/>
  <c r="L667" i="9"/>
  <c r="L656" i="9"/>
  <c r="L668" i="9"/>
  <c r="L657" i="9"/>
  <c r="L669" i="9"/>
  <c r="L658" i="9"/>
  <c r="L670" i="9"/>
  <c r="L659" i="9"/>
  <c r="L671" i="9"/>
  <c r="L660" i="9"/>
  <c r="L672" i="9"/>
  <c r="L661" i="9"/>
  <c r="L662" i="9"/>
  <c r="L665" i="9"/>
  <c r="L603" i="9"/>
  <c r="L604" i="9"/>
  <c r="L599" i="9"/>
  <c r="L600" i="9"/>
  <c r="L601" i="9"/>
  <c r="L602" i="9"/>
  <c r="L605" i="9"/>
  <c r="L483" i="9"/>
  <c r="L484" i="9"/>
  <c r="L485" i="9"/>
  <c r="L486" i="9"/>
  <c r="L478" i="9"/>
  <c r="L479" i="9"/>
  <c r="L480" i="9"/>
  <c r="L481" i="9"/>
  <c r="L482" i="9"/>
  <c r="L358" i="9"/>
  <c r="L359" i="9"/>
  <c r="L360" i="9"/>
  <c r="L361" i="9"/>
  <c r="L321" i="9"/>
  <c r="L322" i="9"/>
  <c r="L323" i="9"/>
  <c r="L324" i="9"/>
  <c r="L282" i="9"/>
  <c r="L283" i="9"/>
  <c r="L223" i="9"/>
  <c r="L224" i="9"/>
  <c r="L225" i="9"/>
  <c r="L226" i="9"/>
  <c r="L227" i="9"/>
  <c r="L183" i="9"/>
  <c r="L184" i="9"/>
  <c r="L185" i="9"/>
  <c r="L54" i="9"/>
  <c r="L55" i="9"/>
  <c r="L1485" i="9"/>
  <c r="L1486" i="9"/>
  <c r="L1487" i="9"/>
  <c r="L1469" i="9"/>
  <c r="L1470" i="9"/>
  <c r="L1401" i="9"/>
  <c r="L1402" i="9"/>
  <c r="L1403" i="9"/>
  <c r="L1400" i="9"/>
  <c r="L1366" i="9"/>
  <c r="L1367" i="9"/>
  <c r="L1368" i="9"/>
  <c r="L1336" i="9"/>
  <c r="L1337" i="9"/>
  <c r="L1338" i="9"/>
  <c r="L1314" i="9"/>
  <c r="L1315" i="9"/>
  <c r="L1316" i="9"/>
  <c r="L1273" i="9"/>
  <c r="L1274" i="9"/>
  <c r="L1275" i="9"/>
  <c r="L1276" i="9"/>
  <c r="L1227" i="9"/>
  <c r="L1228" i="9"/>
  <c r="L1229" i="9"/>
  <c r="L1230" i="9"/>
  <c r="L1231" i="9"/>
  <c r="L1193" i="9"/>
  <c r="L1194" i="9"/>
  <c r="L1195" i="9"/>
  <c r="L1164" i="9"/>
  <c r="L1165" i="9"/>
  <c r="L1101" i="9"/>
  <c r="L1102" i="9"/>
  <c r="L1103" i="9"/>
  <c r="L1104" i="9"/>
  <c r="L1105" i="9"/>
  <c r="L1098" i="9"/>
  <c r="L1099" i="9"/>
  <c r="L1100" i="9"/>
  <c r="L1029" i="9"/>
  <c r="L1030" i="9"/>
  <c r="L1031" i="9"/>
  <c r="L1032" i="9"/>
  <c r="L1033" i="9"/>
  <c r="L1027" i="9"/>
  <c r="L1028" i="9"/>
  <c r="L968" i="9"/>
  <c r="L967" i="9"/>
  <c r="L915" i="9"/>
  <c r="L916" i="9"/>
  <c r="L919" i="9"/>
  <c r="L914" i="9"/>
  <c r="L917" i="9"/>
  <c r="L918" i="9"/>
  <c r="L879" i="9"/>
  <c r="L878" i="9"/>
  <c r="L844" i="9"/>
  <c r="L846" i="9"/>
  <c r="L847" i="9"/>
  <c r="L848" i="9"/>
  <c r="L849" i="9"/>
  <c r="L845" i="9"/>
  <c r="L829" i="9"/>
  <c r="L830" i="9"/>
  <c r="L759" i="9"/>
  <c r="L760" i="9"/>
  <c r="L762" i="9"/>
  <c r="L763" i="9"/>
  <c r="L758" i="9"/>
  <c r="L761" i="9"/>
  <c r="L631" i="9"/>
  <c r="L632" i="9"/>
  <c r="L633" i="9"/>
  <c r="L634" i="9"/>
  <c r="L635" i="9"/>
  <c r="L636" i="9"/>
  <c r="L637" i="9"/>
  <c r="L594" i="9"/>
  <c r="L595" i="9"/>
  <c r="L596" i="9"/>
  <c r="L597" i="9"/>
  <c r="L598" i="9"/>
  <c r="L555" i="9"/>
  <c r="L552" i="9"/>
  <c r="L553" i="9"/>
  <c r="L554" i="9"/>
  <c r="L471" i="9"/>
  <c r="L472" i="9"/>
  <c r="L473" i="9"/>
  <c r="L474" i="9"/>
  <c r="L475" i="9"/>
  <c r="L464" i="9"/>
  <c r="L476" i="9"/>
  <c r="L465" i="9"/>
  <c r="L477" i="9"/>
  <c r="L466" i="9"/>
  <c r="L467" i="9"/>
  <c r="L468" i="9"/>
  <c r="L469" i="9"/>
  <c r="L470" i="9"/>
  <c r="L355" i="9"/>
  <c r="L356" i="9"/>
  <c r="L357" i="9"/>
  <c r="L279" i="9"/>
  <c r="L280" i="9"/>
  <c r="L281" i="9"/>
  <c r="L219" i="9"/>
  <c r="L220" i="9"/>
  <c r="L221" i="9"/>
  <c r="L222" i="9"/>
  <c r="L218" i="9"/>
  <c r="L179" i="9"/>
  <c r="L180" i="9"/>
  <c r="L181" i="9"/>
  <c r="L182" i="9"/>
  <c r="L123" i="9"/>
  <c r="L124" i="9"/>
  <c r="L125" i="9"/>
  <c r="L126" i="9"/>
  <c r="L127" i="9"/>
  <c r="L121" i="9"/>
  <c r="L122" i="9"/>
  <c r="L77" i="9"/>
  <c r="L78" i="9"/>
  <c r="L79" i="9"/>
  <c r="L80" i="9"/>
  <c r="L51" i="9"/>
  <c r="L52" i="9"/>
  <c r="L53" i="9"/>
  <c r="L43" i="9"/>
  <c r="L44" i="9"/>
  <c r="L45" i="9"/>
  <c r="L46" i="9"/>
  <c r="L47" i="9"/>
  <c r="L48" i="9"/>
  <c r="L49" i="9"/>
  <c r="L50" i="9"/>
  <c r="L1482" i="9"/>
  <c r="L1483" i="9"/>
  <c r="L1484" i="9"/>
  <c r="L1466" i="9"/>
  <c r="L1467" i="9"/>
  <c r="L1468" i="9"/>
  <c r="L1396" i="9"/>
  <c r="L1397" i="9"/>
  <c r="L1398" i="9"/>
  <c r="L1399" i="9"/>
  <c r="L1371" i="9"/>
  <c r="L1372" i="9"/>
  <c r="L1373" i="9"/>
  <c r="L1365" i="9"/>
  <c r="L1364" i="9"/>
  <c r="L1333" i="9"/>
  <c r="L1334" i="9"/>
  <c r="L1335" i="9"/>
  <c r="L1311" i="9"/>
  <c r="L1312" i="9"/>
  <c r="L1313" i="9"/>
  <c r="L1269" i="9"/>
  <c r="L1270" i="9"/>
  <c r="L1271" i="9"/>
  <c r="L1272" i="9"/>
  <c r="L1222" i="9"/>
  <c r="L1223" i="9"/>
  <c r="L1224" i="9"/>
  <c r="L1225" i="9"/>
  <c r="L1226" i="9"/>
  <c r="L1420" i="9"/>
  <c r="L1421" i="9"/>
  <c r="L1187" i="9"/>
  <c r="L1188" i="9"/>
  <c r="L1189" i="9"/>
  <c r="L1190" i="9"/>
  <c r="L1191" i="9"/>
  <c r="L1192" i="9"/>
  <c r="L1161" i="9"/>
  <c r="L1162" i="9"/>
  <c r="L1163" i="9"/>
  <c r="L1159" i="9"/>
  <c r="L1160" i="9"/>
  <c r="L1090" i="9"/>
  <c r="L1091" i="9"/>
  <c r="L1092" i="9"/>
  <c r="L1093" i="9"/>
  <c r="L1094" i="9"/>
  <c r="L1095" i="9"/>
  <c r="L1096" i="9"/>
  <c r="L1097" i="9"/>
  <c r="L1020" i="9"/>
  <c r="L1021" i="9"/>
  <c r="L1022" i="9"/>
  <c r="L1023" i="9"/>
  <c r="L1024" i="9"/>
  <c r="L1025" i="9"/>
  <c r="L1026" i="9"/>
  <c r="L911" i="9"/>
  <c r="L912" i="9"/>
  <c r="L913" i="9"/>
  <c r="L827" i="9"/>
  <c r="L828" i="9"/>
  <c r="L754" i="9"/>
  <c r="L755" i="9"/>
  <c r="L756" i="9"/>
  <c r="L757" i="9"/>
  <c r="L711" i="9"/>
  <c r="L723" i="9"/>
  <c r="L712" i="9"/>
  <c r="L724" i="9"/>
  <c r="L714" i="9"/>
  <c r="L726" i="9"/>
  <c r="L715" i="9"/>
  <c r="L727" i="9"/>
  <c r="L716" i="9"/>
  <c r="L728" i="9"/>
  <c r="L717" i="9"/>
  <c r="L729" i="9"/>
  <c r="L718" i="9"/>
  <c r="L730" i="9"/>
  <c r="L719" i="9"/>
  <c r="L731" i="9"/>
  <c r="L720" i="9"/>
  <c r="L721" i="9"/>
  <c r="L722" i="9"/>
  <c r="L725" i="9"/>
  <c r="L713" i="9"/>
  <c r="L627" i="9"/>
  <c r="L628" i="9"/>
  <c r="L630" i="9"/>
  <c r="L626" i="9"/>
  <c r="L629" i="9"/>
  <c r="L543" i="9"/>
  <c r="L544" i="9"/>
  <c r="L545" i="9"/>
  <c r="L546" i="9"/>
  <c r="L547" i="9"/>
  <c r="L548" i="9"/>
  <c r="L549" i="9"/>
  <c r="L550" i="9"/>
  <c r="L551" i="9"/>
  <c r="L459" i="9"/>
  <c r="L460" i="9"/>
  <c r="L461" i="9"/>
  <c r="L450" i="9"/>
  <c r="L462" i="9"/>
  <c r="L451" i="9"/>
  <c r="L463" i="9"/>
  <c r="L452" i="9"/>
  <c r="L453" i="9"/>
  <c r="L454" i="9"/>
  <c r="L455" i="9"/>
  <c r="L456" i="9"/>
  <c r="L457" i="9"/>
  <c r="L458" i="9"/>
  <c r="L351" i="9"/>
  <c r="L352" i="9"/>
  <c r="L353" i="9"/>
  <c r="L354" i="9"/>
  <c r="L316" i="9"/>
  <c r="L317" i="9"/>
  <c r="L318" i="9"/>
  <c r="L319" i="9"/>
  <c r="L276" i="9"/>
  <c r="L277" i="9"/>
  <c r="L278" i="9"/>
  <c r="L214" i="9"/>
  <c r="L215" i="9"/>
  <c r="L216" i="9"/>
  <c r="L217" i="9"/>
  <c r="L173" i="9"/>
  <c r="L174" i="9"/>
  <c r="L175" i="9"/>
  <c r="L176" i="9"/>
  <c r="L177" i="9"/>
  <c r="L178" i="9"/>
  <c r="L115" i="9"/>
  <c r="L116" i="9"/>
  <c r="L117" i="9"/>
  <c r="L118" i="9"/>
  <c r="L119" i="9"/>
  <c r="L120" i="9"/>
  <c r="L75" i="9"/>
  <c r="L76" i="9"/>
  <c r="L39" i="9"/>
  <c r="L40" i="9"/>
  <c r="L41" i="9"/>
  <c r="L42" i="9"/>
  <c r="L32" i="9"/>
  <c r="L33" i="9"/>
  <c r="L34" i="9"/>
  <c r="L35" i="9"/>
  <c r="L36" i="9"/>
  <c r="L37" i="9"/>
  <c r="L38" i="9"/>
  <c r="L1479" i="9"/>
  <c r="L1480" i="9"/>
  <c r="L1481" i="9"/>
  <c r="L1463" i="9"/>
  <c r="L1464" i="9"/>
  <c r="L1465" i="9"/>
  <c r="L1392" i="9"/>
  <c r="L1393" i="9"/>
  <c r="L1394" i="9"/>
  <c r="L1395" i="9"/>
  <c r="L1362" i="9"/>
  <c r="L1363" i="9"/>
  <c r="L1330" i="9"/>
  <c r="L1331" i="9"/>
  <c r="L1332" i="9"/>
  <c r="L1308" i="9"/>
  <c r="L1309" i="9"/>
  <c r="L1310" i="9"/>
  <c r="L1265" i="9"/>
  <c r="L1266" i="9"/>
  <c r="L1267" i="9"/>
  <c r="L1268" i="9"/>
  <c r="L1221" i="9"/>
  <c r="L1217" i="9"/>
  <c r="L1218" i="9"/>
  <c r="L1219" i="9"/>
  <c r="L1220" i="9"/>
  <c r="L1417" i="9"/>
  <c r="L1418" i="9"/>
  <c r="L1419" i="9"/>
  <c r="L1185" i="9"/>
  <c r="L1186" i="9"/>
  <c r="L1184" i="9"/>
  <c r="L908" i="9"/>
  <c r="L909" i="9"/>
  <c r="L910" i="9"/>
  <c r="L870" i="9"/>
  <c r="L871" i="9"/>
  <c r="L872" i="9"/>
  <c r="L873" i="9"/>
  <c r="L874" i="9"/>
  <c r="L875" i="9"/>
  <c r="L876" i="9"/>
  <c r="L841" i="9"/>
  <c r="L842" i="9"/>
  <c r="L825" i="9"/>
  <c r="L826" i="9"/>
  <c r="L750" i="9"/>
  <c r="L751" i="9"/>
  <c r="L752" i="9"/>
  <c r="L753" i="9"/>
  <c r="L749" i="9"/>
  <c r="L447" i="9"/>
  <c r="L448" i="9"/>
  <c r="L449" i="9"/>
  <c r="L439" i="9"/>
  <c r="L440" i="9"/>
  <c r="L441" i="9"/>
  <c r="L442" i="9"/>
  <c r="L443" i="9"/>
  <c r="L444" i="9"/>
  <c r="L445" i="9"/>
  <c r="L446" i="9"/>
  <c r="L346" i="9"/>
  <c r="L347" i="9"/>
  <c r="L348" i="9"/>
  <c r="L349" i="9"/>
  <c r="L350" i="9"/>
  <c r="L315" i="9"/>
  <c r="L313" i="9"/>
  <c r="L314" i="9"/>
  <c r="L273" i="9"/>
  <c r="L274" i="9"/>
  <c r="L275" i="9"/>
  <c r="L171" i="9"/>
  <c r="L172" i="9"/>
  <c r="L168" i="9"/>
  <c r="L169" i="9"/>
  <c r="L170" i="9"/>
  <c r="L112" i="9"/>
  <c r="L113" i="9"/>
  <c r="L114" i="9"/>
  <c r="L72" i="9"/>
  <c r="L73" i="9"/>
  <c r="L74" i="9"/>
  <c r="L27" i="9"/>
  <c r="L28" i="9"/>
  <c r="L29" i="9"/>
  <c r="L30" i="9"/>
  <c r="L31" i="9"/>
  <c r="L21" i="9"/>
  <c r="L22" i="9"/>
  <c r="L23" i="9"/>
  <c r="L24" i="9"/>
  <c r="L25" i="9"/>
  <c r="L26" i="9"/>
  <c r="L1512" i="9"/>
  <c r="L1513" i="9"/>
  <c r="L1514" i="9"/>
  <c r="L1476" i="9"/>
  <c r="L1477" i="9"/>
  <c r="L1478" i="9"/>
  <c r="L1461" i="9"/>
  <c r="L1462" i="9"/>
  <c r="L1389" i="9"/>
  <c r="L1390" i="9"/>
  <c r="L1391" i="9"/>
  <c r="L1388" i="9"/>
  <c r="L1360" i="9"/>
  <c r="L1361" i="9"/>
  <c r="L1305" i="9"/>
  <c r="L1306" i="9"/>
  <c r="L1307" i="9"/>
  <c r="L1261" i="9"/>
  <c r="L1262" i="9"/>
  <c r="L1263" i="9"/>
  <c r="L1264" i="9"/>
  <c r="L1213" i="9"/>
  <c r="L1214" i="9"/>
  <c r="L1215" i="9"/>
  <c r="L1216" i="9"/>
  <c r="L1414" i="9"/>
  <c r="L1415" i="9"/>
  <c r="L1416" i="9"/>
  <c r="L1182" i="9"/>
  <c r="L1183" i="9"/>
  <c r="L1154" i="9"/>
  <c r="L1155" i="9"/>
  <c r="L1156" i="9"/>
  <c r="L1157" i="9"/>
  <c r="L1089" i="9"/>
  <c r="L1082" i="9"/>
  <c r="L1083" i="9"/>
  <c r="L1084" i="9"/>
  <c r="L1085" i="9"/>
  <c r="L1086" i="9"/>
  <c r="L1087" i="9"/>
  <c r="L1088" i="9"/>
  <c r="L1016" i="9"/>
  <c r="L1017" i="9"/>
  <c r="L1018" i="9"/>
  <c r="L1019" i="9"/>
  <c r="L1012" i="9"/>
  <c r="L1013" i="9"/>
  <c r="L1014" i="9"/>
  <c r="L1015" i="9"/>
  <c r="L964" i="9"/>
  <c r="L965" i="9"/>
  <c r="L958" i="9"/>
  <c r="L959" i="9"/>
  <c r="L960" i="9"/>
  <c r="L961" i="9"/>
  <c r="L962" i="9"/>
  <c r="L963" i="9"/>
  <c r="L906" i="9"/>
  <c r="L907" i="9"/>
  <c r="L868" i="9"/>
  <c r="L869" i="9"/>
  <c r="L839" i="9"/>
  <c r="L840" i="9"/>
  <c r="L823" i="9"/>
  <c r="L824" i="9"/>
  <c r="L796" i="9"/>
  <c r="L798" i="9"/>
  <c r="L797" i="9"/>
  <c r="L747" i="9"/>
  <c r="L748" i="9"/>
  <c r="L745" i="9"/>
  <c r="L746" i="9"/>
  <c r="L705" i="9"/>
  <c r="L706" i="9"/>
  <c r="L707" i="9"/>
  <c r="L708" i="9"/>
  <c r="L709" i="9"/>
  <c r="L710" i="9"/>
  <c r="L651" i="9"/>
  <c r="L652" i="9"/>
  <c r="L649" i="9"/>
  <c r="L650" i="9"/>
  <c r="L572" i="9"/>
  <c r="L573" i="9"/>
  <c r="L574" i="9"/>
  <c r="L575" i="9"/>
  <c r="L576" i="9"/>
  <c r="L537" i="9"/>
  <c r="L538" i="9"/>
  <c r="L539" i="9"/>
  <c r="L540" i="9"/>
  <c r="L541" i="9"/>
  <c r="L542" i="9"/>
  <c r="L435" i="9"/>
  <c r="L436" i="9"/>
  <c r="L437" i="9"/>
  <c r="L438" i="9"/>
  <c r="L427" i="9"/>
  <c r="L428" i="9"/>
  <c r="L429" i="9"/>
  <c r="L430" i="9"/>
  <c r="L431" i="9"/>
  <c r="L432" i="9"/>
  <c r="L433" i="9"/>
  <c r="L434" i="9"/>
  <c r="L342" i="9"/>
  <c r="L343" i="9"/>
  <c r="L344" i="9"/>
  <c r="L345" i="9"/>
  <c r="L309" i="9"/>
  <c r="L310" i="9"/>
  <c r="L311" i="9"/>
  <c r="L312" i="9"/>
  <c r="L267" i="9"/>
  <c r="L268" i="9"/>
  <c r="L269" i="9"/>
  <c r="L270" i="9"/>
  <c r="L271" i="9"/>
  <c r="L272" i="9"/>
  <c r="L264" i="9"/>
  <c r="L265" i="9"/>
  <c r="L266" i="9"/>
  <c r="L165" i="9"/>
  <c r="L166" i="9"/>
  <c r="L167" i="9"/>
  <c r="L67" i="9"/>
  <c r="L68" i="9"/>
  <c r="L69" i="9"/>
  <c r="L70" i="9"/>
  <c r="L71" i="9"/>
  <c r="L18" i="9"/>
  <c r="L19" i="9"/>
  <c r="L20" i="9"/>
  <c r="AL547" i="13"/>
  <c r="AL535" i="13"/>
  <c r="AL523" i="13"/>
  <c r="AL511" i="13"/>
  <c r="AS511" i="13" s="1" a="1"/>
  <c r="AS511" i="13" s="1"/>
  <c r="AL499" i="13"/>
  <c r="AS499" i="13" s="1" a="1"/>
  <c r="AS499" i="13" s="1"/>
  <c r="AL487" i="13"/>
  <c r="AL475" i="13"/>
  <c r="AL463" i="13"/>
  <c r="AL451" i="13"/>
  <c r="AS451" i="13" s="1" a="1"/>
  <c r="AS451" i="13" s="1"/>
  <c r="AL439" i="13"/>
  <c r="AL427" i="13"/>
  <c r="AL415" i="13"/>
  <c r="AS415" i="13" s="1" a="1"/>
  <c r="AS415" i="13" s="1"/>
  <c r="AL403" i="13"/>
  <c r="AL391" i="13"/>
  <c r="AL379" i="13"/>
  <c r="AL367" i="13"/>
  <c r="AL355" i="13"/>
  <c r="AS355" i="13" s="1" a="1"/>
  <c r="AS355" i="13" s="1"/>
  <c r="AL343" i="13"/>
  <c r="AL331" i="13"/>
  <c r="AL319" i="13"/>
  <c r="AL307" i="13"/>
  <c r="AS307" i="13" s="1" a="1"/>
  <c r="AS307" i="13" s="1"/>
  <c r="AL295" i="13"/>
  <c r="AL283" i="13"/>
  <c r="AL271" i="13"/>
  <c r="AS271" i="13" s="1" a="1"/>
  <c r="AS271" i="13" s="1"/>
  <c r="AL259" i="13"/>
  <c r="AL247" i="13"/>
  <c r="AL235" i="13"/>
  <c r="AL223" i="13"/>
  <c r="AL211" i="13"/>
  <c r="AL199" i="13"/>
  <c r="AL187" i="13"/>
  <c r="AL175" i="13"/>
  <c r="AL546" i="13"/>
  <c r="AS546" i="13" s="1" a="1"/>
  <c r="AS546" i="13" s="1"/>
  <c r="AL534" i="13"/>
  <c r="AL522" i="13"/>
  <c r="AS522" i="13" s="1" a="1"/>
  <c r="AS522" i="13" s="1"/>
  <c r="AL510" i="13"/>
  <c r="AS510" i="13" s="1" a="1"/>
  <c r="AS510" i="13" s="1"/>
  <c r="AL498" i="13"/>
  <c r="AL486" i="13"/>
  <c r="AL474" i="13"/>
  <c r="AS474" i="13" s="1" a="1"/>
  <c r="AS474" i="13" s="1"/>
  <c r="AL462" i="13"/>
  <c r="AS462" i="13" s="1" a="1"/>
  <c r="AS462" i="13" s="1"/>
  <c r="AL450" i="13"/>
  <c r="AS450" i="13" s="1" a="1"/>
  <c r="AS450" i="13" s="1"/>
  <c r="AL438" i="13"/>
  <c r="AS438" i="13" s="1" a="1"/>
  <c r="AS438" i="13" s="1"/>
  <c r="AL426" i="13"/>
  <c r="AL414" i="13"/>
  <c r="AL402" i="13"/>
  <c r="AS402" i="13" s="1" a="1"/>
  <c r="AS402" i="13" s="1"/>
  <c r="AL390" i="13"/>
  <c r="AL378" i="13"/>
  <c r="AS378" i="13" s="1" a="1"/>
  <c r="AS378" i="13" s="1"/>
  <c r="AL366" i="13"/>
  <c r="AS366" i="13" s="1" a="1"/>
  <c r="AS366" i="13" s="1"/>
  <c r="AL354" i="13"/>
  <c r="AS354" i="13" s="1" a="1"/>
  <c r="AS354" i="13" s="1"/>
  <c r="AL342" i="13"/>
  <c r="AL330" i="13"/>
  <c r="AS330" i="13" s="1" a="1"/>
  <c r="AS330" i="13" s="1"/>
  <c r="AL318" i="13"/>
  <c r="AL306" i="13"/>
  <c r="AS306" i="13" s="1" a="1"/>
  <c r="AS306" i="13" s="1"/>
  <c r="AL294" i="13"/>
  <c r="AL282" i="13"/>
  <c r="AS282" i="13" s="1" a="1"/>
  <c r="AS282" i="13" s="1"/>
  <c r="AL270" i="13"/>
  <c r="AS270" i="13" s="1" a="1"/>
  <c r="AS270" i="13" s="1"/>
  <c r="AL258" i="13"/>
  <c r="AS258" i="13" s="1" a="1"/>
  <c r="AS258" i="13" s="1"/>
  <c r="AL246" i="13"/>
  <c r="AS246" i="13" s="1" a="1"/>
  <c r="AS246" i="13" s="1"/>
  <c r="AL234" i="13"/>
  <c r="AS234" i="13" s="1" a="1"/>
  <c r="AS234" i="13" s="1"/>
  <c r="AL222" i="13"/>
  <c r="AS222" i="13" s="1" a="1"/>
  <c r="AS222" i="13" s="1"/>
  <c r="AL210" i="13"/>
  <c r="AL198" i="13"/>
  <c r="AL186" i="13"/>
  <c r="AL545" i="13"/>
  <c r="AS545" i="13" s="1" a="1"/>
  <c r="AS545" i="13" s="1"/>
  <c r="AL533" i="13"/>
  <c r="AS533" i="13" s="1" a="1"/>
  <c r="AS533" i="13" s="1"/>
  <c r="AL521" i="13"/>
  <c r="AL509" i="13"/>
  <c r="AL497" i="13"/>
  <c r="AS497" i="13" s="1" a="1"/>
  <c r="AS497" i="13" s="1"/>
  <c r="AL485" i="13"/>
  <c r="AS485" i="13" s="1" a="1"/>
  <c r="AS485" i="13" s="1"/>
  <c r="AL473" i="13"/>
  <c r="AS473" i="13" s="1" a="1"/>
  <c r="AS473" i="13" s="1"/>
  <c r="AL461" i="13"/>
  <c r="AS461" i="13" s="1" a="1"/>
  <c r="AS461" i="13" s="1"/>
  <c r="AL449" i="13"/>
  <c r="AS449" i="13" s="1" a="1"/>
  <c r="AS449" i="13" s="1"/>
  <c r="AL437" i="13"/>
  <c r="AL425" i="13"/>
  <c r="AL413" i="13"/>
  <c r="AS413" i="13" s="1" a="1"/>
  <c r="AS413" i="13" s="1"/>
  <c r="AL401" i="13"/>
  <c r="AS401" i="13" s="1" a="1"/>
  <c r="AS401" i="13" s="1"/>
  <c r="AL389" i="13"/>
  <c r="AS389" i="13" s="1" a="1"/>
  <c r="AS389" i="13" s="1"/>
  <c r="AL377" i="13"/>
  <c r="AL365" i="13"/>
  <c r="AL353" i="13"/>
  <c r="AL341" i="13"/>
  <c r="AL329" i="13"/>
  <c r="AS329" i="13" s="1" a="1"/>
  <c r="AS329" i="13" s="1"/>
  <c r="AL317" i="13"/>
  <c r="AS317" i="13" s="1" a="1"/>
  <c r="AS317" i="13" s="1"/>
  <c r="AL305" i="13"/>
  <c r="AS305" i="13" s="1" a="1"/>
  <c r="AS305" i="13" s="1"/>
  <c r="AL293" i="13"/>
  <c r="AS293" i="13" s="1" a="1"/>
  <c r="AS293" i="13" s="1"/>
  <c r="AL281" i="13"/>
  <c r="AL269" i="13"/>
  <c r="AL257" i="13"/>
  <c r="AS257" i="13" s="1" a="1"/>
  <c r="AS257" i="13" s="1"/>
  <c r="AL245" i="13"/>
  <c r="AS245" i="13" s="1" a="1"/>
  <c r="AS245" i="13" s="1"/>
  <c r="AL233" i="13"/>
  <c r="AL221" i="13"/>
  <c r="AL209" i="13"/>
  <c r="AL544" i="13"/>
  <c r="AS544" i="13" s="1" a="1"/>
  <c r="AS544" i="13" s="1"/>
  <c r="AL532" i="13"/>
  <c r="AS532" i="13" s="1" a="1"/>
  <c r="AS532" i="13" s="1"/>
  <c r="AL520" i="13"/>
  <c r="AS520" i="13" s="1" a="1"/>
  <c r="AS520" i="13" s="1"/>
  <c r="AL508" i="13"/>
  <c r="AS508" i="13" s="1" a="1"/>
  <c r="AS508" i="13" s="1"/>
  <c r="AL496" i="13"/>
  <c r="AL484" i="13"/>
  <c r="AL472" i="13"/>
  <c r="AL460" i="13"/>
  <c r="AS460" i="13" s="1" a="1"/>
  <c r="AS460" i="13" s="1"/>
  <c r="AL448" i="13"/>
  <c r="AS448" i="13" s="1" a="1"/>
  <c r="AS448" i="13" s="1"/>
  <c r="AL436" i="13"/>
  <c r="AL424" i="13"/>
  <c r="AL412" i="13"/>
  <c r="AL400" i="13"/>
  <c r="AS400" i="13" s="1" a="1"/>
  <c r="AS400" i="13" s="1"/>
  <c r="AL388" i="13"/>
  <c r="AS388" i="13" s="1" a="1"/>
  <c r="AS388" i="13" s="1"/>
  <c r="AL376" i="13"/>
  <c r="AS376" i="13" s="1" a="1"/>
  <c r="AS376" i="13" s="1"/>
  <c r="AL364" i="13"/>
  <c r="AS364" i="13" s="1" a="1"/>
  <c r="AS364" i="13" s="1"/>
  <c r="AL352" i="13"/>
  <c r="AL340" i="13"/>
  <c r="AL328" i="13"/>
  <c r="AL316" i="13"/>
  <c r="AL304" i="13"/>
  <c r="AL292" i="13"/>
  <c r="AL280" i="13"/>
  <c r="AL268" i="13"/>
  <c r="AL256" i="13"/>
  <c r="AL244" i="13"/>
  <c r="AL232" i="13"/>
  <c r="AS232" i="13" s="1" a="1"/>
  <c r="AS232" i="13" s="1"/>
  <c r="AL220" i="13"/>
  <c r="AS220" i="13" s="1" a="1"/>
  <c r="AS220" i="13" s="1"/>
  <c r="AL208" i="13"/>
  <c r="AS208" i="13" s="1" a="1"/>
  <c r="AS208" i="13" s="1"/>
  <c r="AL196" i="13"/>
  <c r="AL184" i="13"/>
  <c r="AS184" i="13" s="1" a="1"/>
  <c r="AS184" i="13" s="1"/>
  <c r="AL543" i="13"/>
  <c r="AL531" i="13"/>
  <c r="AS531" i="13" s="1" a="1"/>
  <c r="AS531" i="13" s="1"/>
  <c r="AL519" i="13"/>
  <c r="AL507" i="13"/>
  <c r="AL495" i="13"/>
  <c r="AL483" i="13"/>
  <c r="AS483" i="13" s="1" a="1"/>
  <c r="AS483" i="13" s="1"/>
  <c r="AL471" i="13"/>
  <c r="AS471" i="13" s="1" a="1"/>
  <c r="AS471" i="13" s="1"/>
  <c r="AL459" i="13"/>
  <c r="AS459" i="13" s="1" a="1"/>
  <c r="AS459" i="13" s="1"/>
  <c r="AL447" i="13"/>
  <c r="AS447" i="13" s="1" a="1"/>
  <c r="AS447" i="13" s="1"/>
  <c r="AL435" i="13"/>
  <c r="AS435" i="13" s="1" a="1"/>
  <c r="AS435" i="13" s="1"/>
  <c r="AL423" i="13"/>
  <c r="AL411" i="13"/>
  <c r="AS411" i="13" s="1" a="1"/>
  <c r="AS411" i="13" s="1"/>
  <c r="AL399" i="13"/>
  <c r="AS399" i="13" s="1" a="1"/>
  <c r="AS399" i="13" s="1"/>
  <c r="AL387" i="13"/>
  <c r="AS387" i="13" s="1" a="1"/>
  <c r="AS387" i="13" s="1"/>
  <c r="AL375" i="13"/>
  <c r="AL363" i="13"/>
  <c r="AS363" i="13" s="1" a="1"/>
  <c r="AS363" i="13" s="1"/>
  <c r="AL351" i="13"/>
  <c r="AL339" i="13"/>
  <c r="AS339" i="13" s="1" a="1"/>
  <c r="AS339" i="13" s="1"/>
  <c r="AL327" i="13"/>
  <c r="AL315" i="13"/>
  <c r="AS315" i="13" s="1" a="1"/>
  <c r="AS315" i="13" s="1"/>
  <c r="AL303" i="13"/>
  <c r="AS303" i="13" s="1" a="1"/>
  <c r="AS303" i="13" s="1"/>
  <c r="AL291" i="13"/>
  <c r="AL279" i="13"/>
  <c r="AL267" i="13"/>
  <c r="AS267" i="13" s="1" a="1"/>
  <c r="AS267" i="13" s="1"/>
  <c r="AL255" i="13"/>
  <c r="AS255" i="13" s="1" a="1"/>
  <c r="AS255" i="13" s="1"/>
  <c r="AL243" i="13"/>
  <c r="AS243" i="13" s="1" a="1"/>
  <c r="AS243" i="13" s="1"/>
  <c r="AL231" i="13"/>
  <c r="AL219" i="13"/>
  <c r="AL207" i="13"/>
  <c r="AL195" i="13"/>
  <c r="AS195" i="13" s="1" a="1"/>
  <c r="AS195" i="13" s="1"/>
  <c r="AL183" i="13"/>
  <c r="AS183" i="13" s="1" a="1"/>
  <c r="AS183" i="13" s="1"/>
  <c r="AL542" i="13"/>
  <c r="AS542" i="13" s="1" a="1"/>
  <c r="AS542" i="13" s="1"/>
  <c r="AL530" i="13"/>
  <c r="AS530" i="13" s="1" a="1"/>
  <c r="AS530" i="13" s="1"/>
  <c r="AL518" i="13"/>
  <c r="AL506" i="13"/>
  <c r="AL494" i="13"/>
  <c r="AS494" i="13" s="1" a="1"/>
  <c r="AS494" i="13" s="1"/>
  <c r="AL482" i="13"/>
  <c r="AS482" i="13" s="1" a="1"/>
  <c r="AS482" i="13" s="1"/>
  <c r="AL470" i="13"/>
  <c r="AS470" i="13" s="1" a="1"/>
  <c r="AS470" i="13" s="1"/>
  <c r="AL458" i="13"/>
  <c r="AL446" i="13"/>
  <c r="AL434" i="13"/>
  <c r="AL422" i="13"/>
  <c r="AS422" i="13" s="1" a="1"/>
  <c r="AS422" i="13" s="1"/>
  <c r="AL410" i="13"/>
  <c r="AS410" i="13" s="1" a="1"/>
  <c r="AS410" i="13" s="1"/>
  <c r="AL398" i="13"/>
  <c r="AS398" i="13" s="1" a="1"/>
  <c r="AS398" i="13" s="1"/>
  <c r="AL386" i="13"/>
  <c r="AS386" i="13" s="1" a="1"/>
  <c r="AS386" i="13" s="1"/>
  <c r="AL374" i="13"/>
  <c r="AS374" i="13" s="1" a="1"/>
  <c r="AS374" i="13" s="1"/>
  <c r="AL362" i="13"/>
  <c r="AL350" i="13"/>
  <c r="AS350" i="13" s="1" a="1"/>
  <c r="AS350" i="13" s="1"/>
  <c r="AL338" i="13"/>
  <c r="AS338" i="13" s="1" a="1"/>
  <c r="AS338" i="13" s="1"/>
  <c r="AL326" i="13"/>
  <c r="AS326" i="13" s="1" a="1"/>
  <c r="AS326" i="13" s="1"/>
  <c r="AL314" i="13"/>
  <c r="AL302" i="13"/>
  <c r="AL290" i="13"/>
  <c r="AL541" i="13"/>
  <c r="AS541" i="13" s="1" a="1"/>
  <c r="AS541" i="13" s="1"/>
  <c r="AL529" i="13"/>
  <c r="AS529" i="13" s="1" a="1"/>
  <c r="AS529" i="13" s="1"/>
  <c r="AL517" i="13"/>
  <c r="AS517" i="13" s="1" a="1"/>
  <c r="AS517" i="13" s="1"/>
  <c r="AL505" i="13"/>
  <c r="AS505" i="13" s="1" a="1"/>
  <c r="AS505" i="13" s="1"/>
  <c r="AL493" i="13"/>
  <c r="AL481" i="13"/>
  <c r="AL469" i="13"/>
  <c r="AS469" i="13" s="1" a="1"/>
  <c r="AS469" i="13" s="1"/>
  <c r="AL457" i="13"/>
  <c r="AS457" i="13" s="1" a="1"/>
  <c r="AS457" i="13" s="1"/>
  <c r="AL445" i="13"/>
  <c r="AS445" i="13" s="1" a="1"/>
  <c r="AS445" i="13" s="1"/>
  <c r="AL433" i="13"/>
  <c r="AL421" i="13"/>
  <c r="AL409" i="13"/>
  <c r="AL397" i="13"/>
  <c r="AS397" i="13" s="1" a="1"/>
  <c r="AS397" i="13" s="1"/>
  <c r="AL385" i="13"/>
  <c r="AL373" i="13"/>
  <c r="AS373" i="13" s="1" a="1"/>
  <c r="AS373" i="13" s="1"/>
  <c r="AL361" i="13"/>
  <c r="AS361" i="13" s="1" a="1"/>
  <c r="AS361" i="13" s="1"/>
  <c r="AL349" i="13"/>
  <c r="AS349" i="13" s="1" a="1"/>
  <c r="AS349" i="13" s="1"/>
  <c r="AL337" i="13"/>
  <c r="AL325" i="13"/>
  <c r="AS325" i="13" s="1" a="1"/>
  <c r="AS325" i="13" s="1"/>
  <c r="AL313" i="13"/>
  <c r="AL301" i="13"/>
  <c r="AS301" i="13" s="1" a="1"/>
  <c r="AS301" i="13" s="1"/>
  <c r="AL289" i="13"/>
  <c r="AL552" i="13"/>
  <c r="AL540" i="13"/>
  <c r="AL528" i="13"/>
  <c r="AL516" i="13"/>
  <c r="AS516" i="13" s="1" a="1"/>
  <c r="AS516" i="13" s="1"/>
  <c r="AL504" i="13"/>
  <c r="AS504" i="13" s="1" a="1"/>
  <c r="AS504" i="13" s="1"/>
  <c r="AL492" i="13"/>
  <c r="AS492" i="13" s="1" a="1"/>
  <c r="AS492" i="13" s="1"/>
  <c r="AL480" i="13"/>
  <c r="AS480" i="13" s="1" a="1"/>
  <c r="AS480" i="13" s="1"/>
  <c r="AL468" i="13"/>
  <c r="AL456" i="13"/>
  <c r="AL444" i="13"/>
  <c r="AS444" i="13" s="1" a="1"/>
  <c r="AS444" i="13" s="1"/>
  <c r="AL432" i="13"/>
  <c r="AS432" i="13" s="1" a="1"/>
  <c r="AS432" i="13" s="1"/>
  <c r="AL420" i="13"/>
  <c r="AL408" i="13"/>
  <c r="AL396" i="13"/>
  <c r="AL384" i="13"/>
  <c r="AS384" i="13" s="1" a="1"/>
  <c r="AS384" i="13" s="1"/>
  <c r="AL372" i="13"/>
  <c r="AL360" i="13"/>
  <c r="AS360" i="13" s="1" a="1"/>
  <c r="AS360" i="13" s="1"/>
  <c r="AL348" i="13"/>
  <c r="AS348" i="13" s="1" a="1"/>
  <c r="AS348" i="13" s="1"/>
  <c r="AL336" i="13"/>
  <c r="AL324" i="13"/>
  <c r="AS324" i="13" s="1" a="1"/>
  <c r="AS324" i="13" s="1"/>
  <c r="AL312" i="13"/>
  <c r="AS312" i="13" s="1" a="1"/>
  <c r="AS312" i="13" s="1"/>
  <c r="AL300" i="13"/>
  <c r="AS300" i="13" s="1" a="1"/>
  <c r="AS300" i="13" s="1"/>
  <c r="AL288" i="13"/>
  <c r="AL276" i="13"/>
  <c r="AL264" i="13"/>
  <c r="AL252" i="13"/>
  <c r="AL240" i="13"/>
  <c r="AS240" i="13" s="1" a="1"/>
  <c r="AS240" i="13" s="1"/>
  <c r="AL228" i="13"/>
  <c r="AS228" i="13" s="1" a="1"/>
  <c r="AS228" i="13" s="1"/>
  <c r="AL216" i="13"/>
  <c r="AS216" i="13" s="1" a="1"/>
  <c r="AS216" i="13" s="1"/>
  <c r="AL204" i="13"/>
  <c r="AS204" i="13" s="1" a="1"/>
  <c r="AS204" i="13" s="1"/>
  <c r="AL192" i="13"/>
  <c r="AL180" i="13"/>
  <c r="AL168" i="13"/>
  <c r="AL156" i="13"/>
  <c r="AS156" i="13" s="1" a="1"/>
  <c r="AS156" i="13" s="1"/>
  <c r="AL551" i="13"/>
  <c r="AS551" i="13" s="1" a="1"/>
  <c r="AS551" i="13" s="1"/>
  <c r="AL539" i="13"/>
  <c r="AL527" i="13"/>
  <c r="AL515" i="13"/>
  <c r="AL503" i="13"/>
  <c r="AS503" i="13" s="1" a="1"/>
  <c r="AS503" i="13" s="1"/>
  <c r="AL491" i="13"/>
  <c r="AL479" i="13"/>
  <c r="AS479" i="13" s="1" a="1"/>
  <c r="AS479" i="13" s="1"/>
  <c r="AL467" i="13"/>
  <c r="AS467" i="13" s="1" a="1"/>
  <c r="AS467" i="13" s="1"/>
  <c r="AL455" i="13"/>
  <c r="AL443" i="13"/>
  <c r="AL431" i="13"/>
  <c r="AS431" i="13" s="1" a="1"/>
  <c r="AS431" i="13" s="1"/>
  <c r="AL419" i="13"/>
  <c r="AS419" i="13" s="1" a="1"/>
  <c r="AS419" i="13" s="1"/>
  <c r="AL407" i="13"/>
  <c r="AS407" i="13" s="1" a="1"/>
  <c r="AS407" i="13" s="1"/>
  <c r="AL395" i="13"/>
  <c r="AL383" i="13"/>
  <c r="AL371" i="13"/>
  <c r="AL359" i="13"/>
  <c r="AS359" i="13" s="1" a="1"/>
  <c r="AS359" i="13" s="1"/>
  <c r="AL347" i="13"/>
  <c r="AL335" i="13"/>
  <c r="AS335" i="13" s="1" a="1"/>
  <c r="AS335" i="13" s="1"/>
  <c r="AL323" i="13"/>
  <c r="AS323" i="13" s="1" a="1"/>
  <c r="AS323" i="13" s="1"/>
  <c r="AL311" i="13"/>
  <c r="AL299" i="13"/>
  <c r="AL287" i="13"/>
  <c r="AL275" i="13"/>
  <c r="AL263" i="13"/>
  <c r="AS263" i="13" s="1" a="1"/>
  <c r="AS263" i="13" s="1"/>
  <c r="AL251" i="13"/>
  <c r="AL239" i="13"/>
  <c r="AL227" i="13"/>
  <c r="AL215" i="13"/>
  <c r="AS215" i="13" s="1" a="1"/>
  <c r="AS215" i="13" s="1"/>
  <c r="AL203" i="13"/>
  <c r="AS203" i="13" s="1" a="1"/>
  <c r="AS203" i="13" s="1"/>
  <c r="AL191" i="13"/>
  <c r="AS191" i="13" s="1" a="1"/>
  <c r="AS191" i="13" s="1"/>
  <c r="AL179" i="13"/>
  <c r="AS179" i="13" s="1" a="1"/>
  <c r="AS179" i="13" s="1"/>
  <c r="AL167" i="13"/>
  <c r="AS167" i="13" s="1" a="1"/>
  <c r="AS167" i="13" s="1"/>
  <c r="AL155" i="13"/>
  <c r="AL143" i="13"/>
  <c r="AS143" i="13" s="1" a="1"/>
  <c r="AS143" i="13" s="1"/>
  <c r="AL131" i="13"/>
  <c r="AS131" i="13" s="1" a="1"/>
  <c r="AS131" i="13" s="1"/>
  <c r="AL550" i="13"/>
  <c r="AS550" i="13" s="1" a="1"/>
  <c r="AS550" i="13" s="1"/>
  <c r="AL538" i="13"/>
  <c r="AL526" i="13"/>
  <c r="AL514" i="13"/>
  <c r="AL502" i="13"/>
  <c r="AL490" i="13"/>
  <c r="AS490" i="13" s="1" a="1"/>
  <c r="AS490" i="13" s="1"/>
  <c r="AL478" i="13"/>
  <c r="AS478" i="13" s="1" a="1"/>
  <c r="AS478" i="13" s="1"/>
  <c r="AL466" i="13"/>
  <c r="AS466" i="13" s="1" a="1"/>
  <c r="AS466" i="13" s="1"/>
  <c r="AL454" i="13"/>
  <c r="AL442" i="13"/>
  <c r="AL430" i="13"/>
  <c r="AL418" i="13"/>
  <c r="AS418" i="13" s="1" a="1"/>
  <c r="AS418" i="13" s="1"/>
  <c r="AL406" i="13"/>
  <c r="AS406" i="13" s="1" a="1"/>
  <c r="AS406" i="13" s="1"/>
  <c r="AL394" i="13"/>
  <c r="AL382" i="13"/>
  <c r="AL370" i="13"/>
  <c r="AL358" i="13"/>
  <c r="AS358" i="13" s="1" a="1"/>
  <c r="AS358" i="13" s="1"/>
  <c r="AL346" i="13"/>
  <c r="AL334" i="13"/>
  <c r="AS334" i="13" s="1" a="1"/>
  <c r="AS334" i="13" s="1"/>
  <c r="AL322" i="13"/>
  <c r="AS322" i="13" s="1" a="1"/>
  <c r="AS322" i="13" s="1"/>
  <c r="AL310" i="13"/>
  <c r="AL298" i="13"/>
  <c r="AL286" i="13"/>
  <c r="AS286" i="13" s="1" a="1"/>
  <c r="AS286" i="13" s="1"/>
  <c r="AL274" i="13"/>
  <c r="AS274" i="13" s="1" a="1"/>
  <c r="AS274" i="13" s="1"/>
  <c r="AL262" i="13"/>
  <c r="AL250" i="13"/>
  <c r="AL238" i="13"/>
  <c r="AL226" i="13"/>
  <c r="AL214" i="13"/>
  <c r="AS214" i="13" s="1" a="1"/>
  <c r="AS214" i="13" s="1"/>
  <c r="AL202" i="13"/>
  <c r="AL190" i="13"/>
  <c r="AS190" i="13" s="1" a="1"/>
  <c r="AS190" i="13" s="1"/>
  <c r="AL178" i="13"/>
  <c r="AS178" i="13" s="1" a="1"/>
  <c r="AS178" i="13" s="1"/>
  <c r="AL166" i="13"/>
  <c r="AL154" i="13"/>
  <c r="AL142" i="13"/>
  <c r="AL130" i="13"/>
  <c r="AS130" i="13" s="1" a="1"/>
  <c r="AS130" i="13" s="1"/>
  <c r="AL549" i="13"/>
  <c r="AS549" i="13" s="1" a="1"/>
  <c r="AS549" i="13" s="1"/>
  <c r="AL537" i="13"/>
  <c r="AL525" i="13"/>
  <c r="AL513" i="13"/>
  <c r="AL501" i="13"/>
  <c r="AS501" i="13" s="1" a="1"/>
  <c r="AS501" i="13" s="1"/>
  <c r="AL489" i="13"/>
  <c r="AL477" i="13"/>
  <c r="AL465" i="13"/>
  <c r="AL453" i="13"/>
  <c r="AL441" i="13"/>
  <c r="AL429" i="13"/>
  <c r="AS429" i="13" s="1" a="1"/>
  <c r="AS429" i="13" s="1"/>
  <c r="AL417" i="13"/>
  <c r="AS417" i="13" s="1" a="1"/>
  <c r="AS417" i="13" s="1"/>
  <c r="AL405" i="13"/>
  <c r="AS405" i="13" s="1" a="1"/>
  <c r="AS405" i="13" s="1"/>
  <c r="AL393" i="13"/>
  <c r="AL381" i="13"/>
  <c r="AL369" i="13"/>
  <c r="AL357" i="13"/>
  <c r="AS357" i="13" s="1" a="1"/>
  <c r="AS357" i="13" s="1"/>
  <c r="AL345" i="13"/>
  <c r="AL333" i="13"/>
  <c r="AL321" i="13"/>
  <c r="AL309" i="13"/>
  <c r="AL297" i="13"/>
  <c r="AL285" i="13"/>
  <c r="AS285" i="13" s="1" a="1"/>
  <c r="AS285" i="13" s="1"/>
  <c r="AL273" i="13"/>
  <c r="AS273" i="13" s="1" a="1"/>
  <c r="AS273" i="13" s="1"/>
  <c r="AL261" i="13"/>
  <c r="AS261" i="13" s="1" a="1"/>
  <c r="AS261" i="13" s="1"/>
  <c r="AL249" i="13"/>
  <c r="AL237" i="13"/>
  <c r="AL225" i="13"/>
  <c r="AL213" i="13"/>
  <c r="AS213" i="13" s="1" a="1"/>
  <c r="AS213" i="13" s="1"/>
  <c r="AL201" i="13"/>
  <c r="AL189" i="13"/>
  <c r="AL548" i="13"/>
  <c r="AS548" i="13" s="1" a="1"/>
  <c r="AS548" i="13" s="1"/>
  <c r="AL536" i="13"/>
  <c r="AL524" i="13"/>
  <c r="AL512" i="13"/>
  <c r="AS512" i="13" s="1" a="1"/>
  <c r="AS512" i="13" s="1"/>
  <c r="AL500" i="13"/>
  <c r="AS500" i="13" s="1" a="1"/>
  <c r="AS500" i="13" s="1"/>
  <c r="AL488" i="13"/>
  <c r="AL476" i="13"/>
  <c r="AL464" i="13"/>
  <c r="AL452" i="13"/>
  <c r="AL440" i="13"/>
  <c r="AS440" i="13" s="1" a="1"/>
  <c r="AS440" i="13" s="1"/>
  <c r="AL428" i="13"/>
  <c r="AL416" i="13"/>
  <c r="AS416" i="13" s="1" a="1"/>
  <c r="AS416" i="13" s="1"/>
  <c r="AL404" i="13"/>
  <c r="AS404" i="13" s="1" a="1"/>
  <c r="AS404" i="13" s="1"/>
  <c r="AL392" i="13"/>
  <c r="AL380" i="13"/>
  <c r="AL368" i="13"/>
  <c r="AL356" i="13"/>
  <c r="AS356" i="13" s="1" a="1"/>
  <c r="AS356" i="13" s="1"/>
  <c r="AL344" i="13"/>
  <c r="AS344" i="13" s="1" a="1"/>
  <c r="AS344" i="13" s="1"/>
  <c r="AL332" i="13"/>
  <c r="AL320" i="13"/>
  <c r="AL308" i="13"/>
  <c r="AL296" i="13"/>
  <c r="AS296" i="13" s="1" a="1"/>
  <c r="AS296" i="13" s="1"/>
  <c r="AL284" i="13"/>
  <c r="AL272" i="13"/>
  <c r="AS272" i="13" s="1" a="1"/>
  <c r="AS272" i="13" s="1"/>
  <c r="AL260" i="13"/>
  <c r="AS260" i="13" s="1" a="1"/>
  <c r="AS260" i="13" s="1"/>
  <c r="AL248" i="13"/>
  <c r="AL236" i="13"/>
  <c r="AL224" i="13"/>
  <c r="AL212" i="13"/>
  <c r="AL200" i="13"/>
  <c r="AL188" i="13"/>
  <c r="AL176" i="13"/>
  <c r="AL144" i="13"/>
  <c r="AL132" i="13"/>
  <c r="AS132" i="13" s="1" a="1"/>
  <c r="AS132" i="13" s="1"/>
  <c r="AL120" i="13"/>
  <c r="AL108" i="13"/>
  <c r="AS108" i="13" s="1" a="1"/>
  <c r="AS108" i="13" s="1"/>
  <c r="AL96" i="13"/>
  <c r="AS96" i="13" s="1" a="1"/>
  <c r="AS96" i="13" s="1"/>
  <c r="AL84" i="13"/>
  <c r="AL72" i="13"/>
  <c r="AL60" i="13"/>
  <c r="AS60" i="13" s="1" a="1"/>
  <c r="AS60" i="13" s="1"/>
  <c r="AL48" i="13"/>
  <c r="AS48" i="13" s="1" a="1"/>
  <c r="AS48" i="13" s="1"/>
  <c r="AL36" i="13"/>
  <c r="AS36" i="13" s="1" a="1"/>
  <c r="AS36" i="13" s="1"/>
  <c r="AL24" i="13"/>
  <c r="AL12" i="13"/>
  <c r="AS534" i="13" a="1"/>
  <c r="AS534" i="13" s="1"/>
  <c r="AS498" i="13" a="1"/>
  <c r="AS498" i="13" s="1"/>
  <c r="AS486" i="13" a="1"/>
  <c r="AS486" i="13" s="1"/>
  <c r="AS426" i="13" a="1"/>
  <c r="AS426" i="13" s="1"/>
  <c r="AS414" i="13" a="1"/>
  <c r="AS414" i="13" s="1"/>
  <c r="AS390" i="13" a="1"/>
  <c r="AS390" i="13" s="1"/>
  <c r="AS342" i="13" a="1"/>
  <c r="AS342" i="13" s="1"/>
  <c r="AS318" i="13" a="1"/>
  <c r="AS318" i="13" s="1"/>
  <c r="AS294" i="13" a="1"/>
  <c r="AS294" i="13" s="1"/>
  <c r="AS210" i="13" a="1"/>
  <c r="AS210" i="13" s="1"/>
  <c r="AS198" i="13" a="1"/>
  <c r="AS198" i="13" s="1"/>
  <c r="AS186" i="13" a="1"/>
  <c r="AS186" i="13" s="1"/>
  <c r="AL119" i="13"/>
  <c r="AL107" i="13"/>
  <c r="AL95" i="13"/>
  <c r="AL83" i="13"/>
  <c r="AS83" i="13" s="1" a="1"/>
  <c r="AS83" i="13" s="1"/>
  <c r="AL71" i="13"/>
  <c r="AS71" i="13" s="1" a="1"/>
  <c r="AS71" i="13" s="1"/>
  <c r="AL59" i="13"/>
  <c r="AS59" i="13" s="1" a="1"/>
  <c r="AS59" i="13" s="1"/>
  <c r="AL47" i="13"/>
  <c r="AS47" i="13" s="1" a="1"/>
  <c r="AS47" i="13" s="1"/>
  <c r="AL35" i="13"/>
  <c r="AS35" i="13" s="1" a="1"/>
  <c r="AS35" i="13" s="1"/>
  <c r="AL23" i="13"/>
  <c r="AL11" i="13"/>
  <c r="AS521" i="13" a="1"/>
  <c r="AS521" i="13" s="1"/>
  <c r="AS509" i="13" a="1"/>
  <c r="AS509" i="13" s="1"/>
  <c r="AS437" i="13" a="1"/>
  <c r="AS437" i="13" s="1"/>
  <c r="AS425" i="13" a="1"/>
  <c r="AS425" i="13" s="1"/>
  <c r="AS377" i="13" a="1"/>
  <c r="AS377" i="13" s="1"/>
  <c r="AS365" i="13" a="1"/>
  <c r="AS365" i="13" s="1"/>
  <c r="AS353" i="13" a="1"/>
  <c r="AS353" i="13" s="1"/>
  <c r="AS341" i="13" a="1"/>
  <c r="AS341" i="13" s="1"/>
  <c r="AS281" i="13" a="1"/>
  <c r="AS281" i="13" s="1"/>
  <c r="AS269" i="13" a="1"/>
  <c r="AS269" i="13" s="1"/>
  <c r="AS233" i="13" a="1"/>
  <c r="AS233" i="13" s="1"/>
  <c r="AS221" i="13" a="1"/>
  <c r="AS221" i="13" s="1"/>
  <c r="AS209" i="13" a="1"/>
  <c r="AS209" i="13" s="1"/>
  <c r="AL118" i="13"/>
  <c r="AS118" i="13" s="1" a="1"/>
  <c r="AS118" i="13" s="1"/>
  <c r="AL106" i="13"/>
  <c r="AS106" i="13" s="1" a="1"/>
  <c r="AS106" i="13" s="1"/>
  <c r="AL94" i="13"/>
  <c r="AL82" i="13"/>
  <c r="AL70" i="13"/>
  <c r="AS70" i="13" s="1" a="1"/>
  <c r="AS70" i="13" s="1"/>
  <c r="AL58" i="13"/>
  <c r="AS58" i="13" s="1" a="1"/>
  <c r="AS58" i="13" s="1"/>
  <c r="AL46" i="13"/>
  <c r="AS46" i="13" s="1" a="1"/>
  <c r="AS46" i="13" s="1"/>
  <c r="AL34" i="13"/>
  <c r="AS34" i="13" s="1" a="1"/>
  <c r="AS34" i="13" s="1"/>
  <c r="AL22" i="13"/>
  <c r="AS22" i="13" s="1" a="1"/>
  <c r="AS22" i="13" s="1"/>
  <c r="AL10" i="13"/>
  <c r="AS496" i="13" a="1"/>
  <c r="AS496" i="13" s="1"/>
  <c r="AS484" i="13" a="1"/>
  <c r="AS484" i="13" s="1"/>
  <c r="AS472" i="13" a="1"/>
  <c r="AS472" i="13" s="1"/>
  <c r="AS436" i="13" a="1"/>
  <c r="AS436" i="13" s="1"/>
  <c r="AS424" i="13" a="1"/>
  <c r="AS424" i="13" s="1"/>
  <c r="AS412" i="13" a="1"/>
  <c r="AS412" i="13" s="1"/>
  <c r="AS352" i="13" a="1"/>
  <c r="AS352" i="13" s="1"/>
  <c r="AS340" i="13" a="1"/>
  <c r="AS340" i="13" s="1"/>
  <c r="AS328" i="13" a="1"/>
  <c r="AS328" i="13" s="1"/>
  <c r="AS316" i="13" a="1"/>
  <c r="AS316" i="13" s="1"/>
  <c r="AS304" i="13" a="1"/>
  <c r="AS304" i="13" s="1"/>
  <c r="AS292" i="13" a="1"/>
  <c r="AS292" i="13" s="1"/>
  <c r="AS280" i="13" a="1"/>
  <c r="AS280" i="13" s="1"/>
  <c r="AS268" i="13" a="1"/>
  <c r="AS268" i="13" s="1"/>
  <c r="AS256" i="13" a="1"/>
  <c r="AS256" i="13" s="1"/>
  <c r="AS244" i="13" a="1"/>
  <c r="AS244" i="13" s="1"/>
  <c r="AS196" i="13" a="1"/>
  <c r="AS196" i="13" s="1"/>
  <c r="AL177" i="13"/>
  <c r="AL165" i="13"/>
  <c r="AS165" i="13" s="1" a="1"/>
  <c r="AS165" i="13" s="1"/>
  <c r="AL153" i="13"/>
  <c r="AS153" i="13" s="1" a="1"/>
  <c r="AS153" i="13" s="1"/>
  <c r="AL141" i="13"/>
  <c r="AS141" i="13" s="1" a="1"/>
  <c r="AS141" i="13" s="1"/>
  <c r="AL129" i="13"/>
  <c r="AL117" i="13"/>
  <c r="AS117" i="13" s="1" a="1"/>
  <c r="AS117" i="13" s="1"/>
  <c r="AL105" i="13"/>
  <c r="AS105" i="13" s="1" a="1"/>
  <c r="AS105" i="13" s="1"/>
  <c r="AL93" i="13"/>
  <c r="AS93" i="13" s="1" a="1"/>
  <c r="AS93" i="13" s="1"/>
  <c r="AL81" i="13"/>
  <c r="AS81" i="13" s="1" a="1"/>
  <c r="AS81" i="13" s="1"/>
  <c r="AL69" i="13"/>
  <c r="AS69" i="13" s="1" a="1"/>
  <c r="AS69" i="13" s="1"/>
  <c r="AL57" i="13"/>
  <c r="AL45" i="13"/>
  <c r="AL33" i="13"/>
  <c r="AL21" i="13"/>
  <c r="AS21" i="13" s="1" a="1"/>
  <c r="AS21" i="13" s="1"/>
  <c r="AL9" i="13"/>
  <c r="AS543" i="13" a="1"/>
  <c r="AS543" i="13" s="1"/>
  <c r="AS519" i="13" a="1"/>
  <c r="AS519" i="13" s="1"/>
  <c r="AS507" i="13" a="1"/>
  <c r="AS507" i="13" s="1"/>
  <c r="AS495" i="13" a="1"/>
  <c r="AS495" i="13" s="1"/>
  <c r="AS423" i="13" a="1"/>
  <c r="AS423" i="13" s="1"/>
  <c r="AS375" i="13" a="1"/>
  <c r="AS375" i="13" s="1"/>
  <c r="AS351" i="13" a="1"/>
  <c r="AS351" i="13" s="1"/>
  <c r="AS327" i="13" a="1"/>
  <c r="AS327" i="13" s="1"/>
  <c r="AS291" i="13" a="1"/>
  <c r="AS291" i="13" s="1"/>
  <c r="AS279" i="13" a="1"/>
  <c r="AS279" i="13" s="1"/>
  <c r="AS231" i="13" a="1"/>
  <c r="AS231" i="13" s="1"/>
  <c r="AS219" i="13" a="1"/>
  <c r="AS219" i="13" s="1"/>
  <c r="AS207" i="13" a="1"/>
  <c r="AS207" i="13" s="1"/>
  <c r="AL164" i="13"/>
  <c r="AS164" i="13" s="1" a="1"/>
  <c r="AS164" i="13" s="1"/>
  <c r="AL152" i="13"/>
  <c r="AS152" i="13" s="1" a="1"/>
  <c r="AS152" i="13" s="1"/>
  <c r="AL140" i="13"/>
  <c r="AS140" i="13" s="1" a="1"/>
  <c r="AS140" i="13" s="1"/>
  <c r="AL128" i="13"/>
  <c r="AS128" i="13" s="1" a="1"/>
  <c r="AS128" i="13" s="1"/>
  <c r="AL116" i="13"/>
  <c r="AL104" i="13"/>
  <c r="AL92" i="13"/>
  <c r="AL80" i="13"/>
  <c r="AS80" i="13" s="1" a="1"/>
  <c r="AS80" i="13" s="1"/>
  <c r="AL68" i="13"/>
  <c r="AS68" i="13" s="1" a="1"/>
  <c r="AS68" i="13" s="1"/>
  <c r="AL56" i="13"/>
  <c r="AS56" i="13" s="1" a="1"/>
  <c r="AS56" i="13" s="1"/>
  <c r="AL44" i="13"/>
  <c r="AS44" i="13" s="1" a="1"/>
  <c r="AS44" i="13" s="1"/>
  <c r="AL32" i="13"/>
  <c r="AS32" i="13" s="1" a="1"/>
  <c r="AS32" i="13" s="1"/>
  <c r="AL20" i="13"/>
  <c r="AL8" i="13"/>
  <c r="AS8" i="13" s="1" a="1"/>
  <c r="AS8" i="13" s="1"/>
  <c r="AS518" i="13" a="1"/>
  <c r="AS518" i="13" s="1"/>
  <c r="AS506" i="13" a="1"/>
  <c r="AS506" i="13" s="1"/>
  <c r="AS458" i="13" a="1"/>
  <c r="AS458" i="13" s="1"/>
  <c r="AS446" i="13" a="1"/>
  <c r="AS446" i="13" s="1"/>
  <c r="AS434" i="13" a="1"/>
  <c r="AS434" i="13" s="1"/>
  <c r="AS362" i="13" a="1"/>
  <c r="AS362" i="13" s="1"/>
  <c r="AS314" i="13" a="1"/>
  <c r="AS314" i="13" s="1"/>
  <c r="AS302" i="13" a="1"/>
  <c r="AS302" i="13" s="1"/>
  <c r="AS290" i="13" a="1"/>
  <c r="AS290" i="13" s="1"/>
  <c r="AL163" i="13"/>
  <c r="AL151" i="13"/>
  <c r="AS151" i="13" s="1" a="1"/>
  <c r="AS151" i="13" s="1"/>
  <c r="AL139" i="13"/>
  <c r="AL127" i="13"/>
  <c r="AS127" i="13" s="1" a="1"/>
  <c r="AS127" i="13" s="1"/>
  <c r="AL115" i="13"/>
  <c r="AS115" i="13" s="1" a="1"/>
  <c r="AS115" i="13" s="1"/>
  <c r="AL103" i="13"/>
  <c r="AS103" i="13" s="1" a="1"/>
  <c r="AS103" i="13" s="1"/>
  <c r="AL91" i="13"/>
  <c r="AS91" i="13" s="1" a="1"/>
  <c r="AS91" i="13" s="1"/>
  <c r="AL79" i="13"/>
  <c r="AL67" i="13"/>
  <c r="AL55" i="13"/>
  <c r="AL43" i="13"/>
  <c r="AL31" i="13"/>
  <c r="AL19" i="13"/>
  <c r="AL7" i="13"/>
  <c r="AS7" i="13" s="1" a="1"/>
  <c r="AS7" i="13" s="1"/>
  <c r="AS493" i="13" a="1"/>
  <c r="AS493" i="13" s="1"/>
  <c r="AS481" i="13" a="1"/>
  <c r="AS481" i="13" s="1"/>
  <c r="AS433" i="13" a="1"/>
  <c r="AS433" i="13" s="1"/>
  <c r="AS421" i="13" a="1"/>
  <c r="AS421" i="13" s="1"/>
  <c r="AS409" i="13" a="1"/>
  <c r="AS409" i="13" s="1"/>
  <c r="AS385" i="13" a="1"/>
  <c r="AS385" i="13" s="1"/>
  <c r="AS337" i="13" a="1"/>
  <c r="AS337" i="13" s="1"/>
  <c r="AS313" i="13" a="1"/>
  <c r="AS313" i="13" s="1"/>
  <c r="AS289" i="13" a="1"/>
  <c r="AS289" i="13" s="1"/>
  <c r="AL174" i="13"/>
  <c r="AS174" i="13" s="1" a="1"/>
  <c r="AS174" i="13" s="1"/>
  <c r="AL162" i="13"/>
  <c r="AS162" i="13" s="1" a="1"/>
  <c r="AS162" i="13" s="1"/>
  <c r="AL150" i="13"/>
  <c r="AS150" i="13" s="1" a="1"/>
  <c r="AS150" i="13" s="1"/>
  <c r="AL138" i="13"/>
  <c r="AS138" i="13" s="1" a="1"/>
  <c r="AS138" i="13" s="1"/>
  <c r="AL126" i="13"/>
  <c r="AS126" i="13" s="1" a="1"/>
  <c r="AS126" i="13" s="1"/>
  <c r="AL114" i="13"/>
  <c r="AS114" i="13" s="1" a="1"/>
  <c r="AS114" i="13" s="1"/>
  <c r="AL102" i="13"/>
  <c r="AS102" i="13" s="1" a="1"/>
  <c r="AS102" i="13" s="1"/>
  <c r="AL90" i="13"/>
  <c r="AS90" i="13" s="1" a="1"/>
  <c r="AS90" i="13" s="1"/>
  <c r="AL78" i="13"/>
  <c r="AS78" i="13" s="1" a="1"/>
  <c r="AS78" i="13" s="1"/>
  <c r="AL66" i="13"/>
  <c r="AS66" i="13" s="1" a="1"/>
  <c r="AS66" i="13" s="1"/>
  <c r="AL54" i="13"/>
  <c r="AS54" i="13" s="1" a="1"/>
  <c r="AS54" i="13" s="1"/>
  <c r="AL42" i="13"/>
  <c r="AS42" i="13" s="1" a="1"/>
  <c r="AS42" i="13" s="1"/>
  <c r="AL30" i="13"/>
  <c r="AS30" i="13" s="1" a="1"/>
  <c r="AS30" i="13" s="1"/>
  <c r="AL18" i="13"/>
  <c r="AS18" i="13" s="1" a="1"/>
  <c r="AS18" i="13" s="1"/>
  <c r="AL6" i="13"/>
  <c r="AS6" i="13" s="1" a="1"/>
  <c r="AS6" i="13" s="1"/>
  <c r="AS552" i="13" a="1"/>
  <c r="AS552" i="13" s="1"/>
  <c r="AS540" i="13" a="1"/>
  <c r="AS540" i="13" s="1"/>
  <c r="AS528" i="13" a="1"/>
  <c r="AS528" i="13" s="1"/>
  <c r="AS468" i="13" a="1"/>
  <c r="AS468" i="13" s="1"/>
  <c r="AS456" i="13" a="1"/>
  <c r="AS456" i="13" s="1"/>
  <c r="AS420" i="13" a="1"/>
  <c r="AS420" i="13" s="1"/>
  <c r="AS408" i="13" a="1"/>
  <c r="AS408" i="13" s="1"/>
  <c r="AS396" i="13" a="1"/>
  <c r="AS396" i="13" s="1"/>
  <c r="AS372" i="13" a="1"/>
  <c r="AS372" i="13" s="1"/>
  <c r="AS336" i="13" a="1"/>
  <c r="AS336" i="13" s="1"/>
  <c r="AS288" i="13" a="1"/>
  <c r="AS288" i="13" s="1"/>
  <c r="AS276" i="13" a="1"/>
  <c r="AS276" i="13" s="1"/>
  <c r="AS264" i="13" a="1"/>
  <c r="AS264" i="13" s="1"/>
  <c r="AS252" i="13" a="1"/>
  <c r="AS252" i="13" s="1"/>
  <c r="AS192" i="13" a="1"/>
  <c r="AS192" i="13" s="1"/>
  <c r="AS180" i="13" a="1"/>
  <c r="AS180" i="13" s="1"/>
  <c r="AS168" i="13" a="1"/>
  <c r="AS168" i="13" s="1"/>
  <c r="AS144" i="13" a="1"/>
  <c r="AS144" i="13" s="1"/>
  <c r="AS120" i="13" a="1"/>
  <c r="AS120" i="13" s="1"/>
  <c r="AS84" i="13" a="1"/>
  <c r="AS84" i="13" s="1"/>
  <c r="AS72" i="13" a="1"/>
  <c r="AS72" i="13" s="1"/>
  <c r="AS24" i="13" a="1"/>
  <c r="AS24" i="13" s="1"/>
  <c r="AS12" i="13" a="1"/>
  <c r="AS12" i="13" s="1"/>
  <c r="AL197" i="13"/>
  <c r="AS197" i="13" s="1" a="1"/>
  <c r="AS197" i="13" s="1"/>
  <c r="AL185" i="13"/>
  <c r="AS185" i="13" s="1" a="1"/>
  <c r="AS185" i="13" s="1"/>
  <c r="AL173" i="13"/>
  <c r="AS173" i="13" s="1" a="1"/>
  <c r="AS173" i="13" s="1"/>
  <c r="AL161" i="13"/>
  <c r="AS161" i="13" s="1" a="1"/>
  <c r="AS161" i="13" s="1"/>
  <c r="AL149" i="13"/>
  <c r="AS149" i="13" s="1" a="1"/>
  <c r="AS149" i="13" s="1"/>
  <c r="AL137" i="13"/>
  <c r="AS137" i="13" s="1" a="1"/>
  <c r="AS137" i="13" s="1"/>
  <c r="AL125" i="13"/>
  <c r="AS125" i="13" s="1" a="1"/>
  <c r="AS125" i="13" s="1"/>
  <c r="AL113" i="13"/>
  <c r="AS113" i="13" s="1" a="1"/>
  <c r="AS113" i="13" s="1"/>
  <c r="AL101" i="13"/>
  <c r="AS101" i="13" s="1" a="1"/>
  <c r="AS101" i="13" s="1"/>
  <c r="AL89" i="13"/>
  <c r="AS89" i="13" s="1" a="1"/>
  <c r="AS89" i="13" s="1"/>
  <c r="AL77" i="13"/>
  <c r="AS77" i="13" s="1" a="1"/>
  <c r="AS77" i="13" s="1"/>
  <c r="AL65" i="13"/>
  <c r="AS65" i="13" s="1" a="1"/>
  <c r="AS65" i="13" s="1"/>
  <c r="AL53" i="13"/>
  <c r="AS53" i="13" s="1" a="1"/>
  <c r="AS53" i="13" s="1"/>
  <c r="AL41" i="13"/>
  <c r="AS41" i="13" s="1" a="1"/>
  <c r="AS41" i="13" s="1"/>
  <c r="AL29" i="13"/>
  <c r="AS29" i="13" s="1" a="1"/>
  <c r="AS29" i="13" s="1"/>
  <c r="AL17" i="13"/>
  <c r="AS17" i="13" s="1" a="1"/>
  <c r="AS17" i="13" s="1"/>
  <c r="AL5" i="13"/>
  <c r="AS5" i="13" s="1" a="1"/>
  <c r="AS5" i="13" s="1"/>
  <c r="AS539" i="13" a="1"/>
  <c r="AS539" i="13" s="1"/>
  <c r="AS527" i="13" a="1"/>
  <c r="AS527" i="13" s="1"/>
  <c r="AS515" i="13" a="1"/>
  <c r="AS515" i="13" s="1"/>
  <c r="AS491" i="13" a="1"/>
  <c r="AS491" i="13" s="1"/>
  <c r="AS455" i="13" a="1"/>
  <c r="AS455" i="13" s="1"/>
  <c r="AS443" i="13" a="1"/>
  <c r="AS443" i="13" s="1"/>
  <c r="AS395" i="13" a="1"/>
  <c r="AS395" i="13" s="1"/>
  <c r="AS383" i="13" a="1"/>
  <c r="AS383" i="13" s="1"/>
  <c r="AS371" i="13" a="1"/>
  <c r="AS371" i="13" s="1"/>
  <c r="AS347" i="13" a="1"/>
  <c r="AS347" i="13" s="1"/>
  <c r="AS311" i="13" a="1"/>
  <c r="AS311" i="13" s="1"/>
  <c r="AS299" i="13" a="1"/>
  <c r="AS299" i="13" s="1"/>
  <c r="AS287" i="13" a="1"/>
  <c r="AS287" i="13" s="1"/>
  <c r="AS275" i="13" a="1"/>
  <c r="AS275" i="13" s="1"/>
  <c r="AS251" i="13" a="1"/>
  <c r="AS251" i="13" s="1"/>
  <c r="AS239" i="13" a="1"/>
  <c r="AS239" i="13" s="1"/>
  <c r="AS227" i="13" a="1"/>
  <c r="AS227" i="13" s="1"/>
  <c r="AS155" i="13" a="1"/>
  <c r="AS155" i="13" s="1"/>
  <c r="AS119" i="13" a="1"/>
  <c r="AS119" i="13" s="1"/>
  <c r="AS107" i="13" a="1"/>
  <c r="AS107" i="13" s="1"/>
  <c r="AS95" i="13" a="1"/>
  <c r="AS95" i="13" s="1"/>
  <c r="AS23" i="13" a="1"/>
  <c r="AS23" i="13" s="1"/>
  <c r="AS11" i="13" a="1"/>
  <c r="AS11" i="13" s="1"/>
  <c r="AL172" i="13"/>
  <c r="AS172" i="13" s="1" a="1"/>
  <c r="AS172" i="13" s="1"/>
  <c r="AL160" i="13"/>
  <c r="AS160" i="13" s="1" a="1"/>
  <c r="AS160" i="13" s="1"/>
  <c r="AL148" i="13"/>
  <c r="AS148" i="13" s="1" a="1"/>
  <c r="AS148" i="13" s="1"/>
  <c r="AL136" i="13"/>
  <c r="AS136" i="13" s="1" a="1"/>
  <c r="AS136" i="13" s="1"/>
  <c r="AL124" i="13"/>
  <c r="AS124" i="13" s="1" a="1"/>
  <c r="AS124" i="13" s="1"/>
  <c r="AL112" i="13"/>
  <c r="AS112" i="13" s="1" a="1"/>
  <c r="AS112" i="13" s="1"/>
  <c r="AL100" i="13"/>
  <c r="AS100" i="13" s="1" a="1"/>
  <c r="AS100" i="13" s="1"/>
  <c r="AL88" i="13"/>
  <c r="AS88" i="13" s="1" a="1"/>
  <c r="AS88" i="13" s="1"/>
  <c r="AL76" i="13"/>
  <c r="AS76" i="13" s="1" a="1"/>
  <c r="AS76" i="13" s="1"/>
  <c r="AL64" i="13"/>
  <c r="AS64" i="13" s="1" a="1"/>
  <c r="AS64" i="13" s="1"/>
  <c r="AL52" i="13"/>
  <c r="AS52" i="13" s="1" a="1"/>
  <c r="AS52" i="13" s="1"/>
  <c r="AL40" i="13"/>
  <c r="AS40" i="13" s="1" a="1"/>
  <c r="AS40" i="13" s="1"/>
  <c r="AL28" i="13"/>
  <c r="AS28" i="13" s="1" a="1"/>
  <c r="AS28" i="13" s="1"/>
  <c r="AL16" i="13"/>
  <c r="AS16" i="13" s="1" a="1"/>
  <c r="AS16" i="13" s="1"/>
  <c r="AL4" i="13"/>
  <c r="AS4" i="13" s="1" a="1"/>
  <c r="AS4" i="13" s="1"/>
  <c r="AS538" i="13" a="1"/>
  <c r="AS538" i="13" s="1"/>
  <c r="AS526" i="13" a="1"/>
  <c r="AS526" i="13" s="1"/>
  <c r="AS514" i="13" a="1"/>
  <c r="AS514" i="13" s="1"/>
  <c r="AS502" i="13" a="1"/>
  <c r="AS502" i="13" s="1"/>
  <c r="AS454" i="13" a="1"/>
  <c r="AS454" i="13" s="1"/>
  <c r="AS442" i="13" a="1"/>
  <c r="AS442" i="13" s="1"/>
  <c r="AS430" i="13" a="1"/>
  <c r="AS430" i="13" s="1"/>
  <c r="AS394" i="13" a="1"/>
  <c r="AS394" i="13" s="1"/>
  <c r="AS382" i="13" a="1"/>
  <c r="AS382" i="13" s="1"/>
  <c r="AS370" i="13" a="1"/>
  <c r="AS370" i="13" s="1"/>
  <c r="AS346" i="13" a="1"/>
  <c r="AS346" i="13" s="1"/>
  <c r="AS310" i="13" a="1"/>
  <c r="AS310" i="13" s="1"/>
  <c r="AS298" i="13" a="1"/>
  <c r="AS298" i="13" s="1"/>
  <c r="AS262" i="13" a="1"/>
  <c r="AS262" i="13" s="1"/>
  <c r="AS250" i="13" a="1"/>
  <c r="AS250" i="13" s="1"/>
  <c r="AS238" i="13" a="1"/>
  <c r="AS238" i="13" s="1"/>
  <c r="AS226" i="13" a="1"/>
  <c r="AS226" i="13" s="1"/>
  <c r="AS202" i="13" a="1"/>
  <c r="AS202" i="13" s="1"/>
  <c r="AS166" i="13" a="1"/>
  <c r="AS166" i="13" s="1"/>
  <c r="AS154" i="13" a="1"/>
  <c r="AS154" i="13" s="1"/>
  <c r="AS142" i="13" a="1"/>
  <c r="AS142" i="13" s="1"/>
  <c r="AS94" i="13" a="1"/>
  <c r="AS94" i="13" s="1"/>
  <c r="AS82" i="13" a="1"/>
  <c r="AS82" i="13" s="1"/>
  <c r="AS10" i="13" a="1"/>
  <c r="AS10" i="13" s="1"/>
  <c r="AL171" i="13"/>
  <c r="AS171" i="13" s="1" a="1"/>
  <c r="AS171" i="13" s="1"/>
  <c r="AL159" i="13"/>
  <c r="AS159" i="13" s="1" a="1"/>
  <c r="AS159" i="13" s="1"/>
  <c r="AL147" i="13"/>
  <c r="AS147" i="13" s="1" a="1"/>
  <c r="AS147" i="13" s="1"/>
  <c r="AL135" i="13"/>
  <c r="AS135" i="13" s="1" a="1"/>
  <c r="AS135" i="13" s="1"/>
  <c r="AL123" i="13"/>
  <c r="AS123" i="13" s="1" a="1"/>
  <c r="AS123" i="13" s="1"/>
  <c r="AL111" i="13"/>
  <c r="AS111" i="13" s="1" a="1"/>
  <c r="AS111" i="13" s="1"/>
  <c r="AL99" i="13"/>
  <c r="AS99" i="13" s="1" a="1"/>
  <c r="AS99" i="13" s="1"/>
  <c r="AL87" i="13"/>
  <c r="AS87" i="13" s="1" a="1"/>
  <c r="AS87" i="13" s="1"/>
  <c r="AL75" i="13"/>
  <c r="AS75" i="13" s="1" a="1"/>
  <c r="AS75" i="13" s="1"/>
  <c r="AL63" i="13"/>
  <c r="AS63" i="13" s="1" a="1"/>
  <c r="AS63" i="13" s="1"/>
  <c r="AL51" i="13"/>
  <c r="AS51" i="13" s="1" a="1"/>
  <c r="AS51" i="13" s="1"/>
  <c r="AL39" i="13"/>
  <c r="AS39" i="13" s="1" a="1"/>
  <c r="AS39" i="13" s="1"/>
  <c r="AL27" i="13"/>
  <c r="AS27" i="13" s="1" a="1"/>
  <c r="AS27" i="13" s="1"/>
  <c r="AL15" i="13"/>
  <c r="AS15" i="13" s="1" a="1"/>
  <c r="AS15" i="13" s="1"/>
  <c r="AL3" i="13"/>
  <c r="AS3" i="13" s="1" a="1"/>
  <c r="AS3" i="13" s="1"/>
  <c r="AS537" i="13" a="1"/>
  <c r="AS537" i="13" s="1"/>
  <c r="AS525" i="13" a="1"/>
  <c r="AS525" i="13" s="1"/>
  <c r="AS513" i="13" a="1"/>
  <c r="AS513" i="13" s="1"/>
  <c r="AS489" i="13" a="1"/>
  <c r="AS489" i="13" s="1"/>
  <c r="AS477" i="13" a="1"/>
  <c r="AS477" i="13" s="1"/>
  <c r="AS465" i="13" a="1"/>
  <c r="AS465" i="13" s="1"/>
  <c r="AS453" i="13" a="1"/>
  <c r="AS453" i="13" s="1"/>
  <c r="AS441" i="13" a="1"/>
  <c r="AS441" i="13" s="1"/>
  <c r="AS393" i="13" a="1"/>
  <c r="AS393" i="13" s="1"/>
  <c r="AS381" i="13" a="1"/>
  <c r="AS381" i="13" s="1"/>
  <c r="AS369" i="13" a="1"/>
  <c r="AS369" i="13" s="1"/>
  <c r="AS345" i="13" a="1"/>
  <c r="AS345" i="13" s="1"/>
  <c r="AS333" i="13" a="1"/>
  <c r="AS333" i="13" s="1"/>
  <c r="AS321" i="13" a="1"/>
  <c r="AS321" i="13" s="1"/>
  <c r="AS309" i="13" a="1"/>
  <c r="AS309" i="13" s="1"/>
  <c r="AS297" i="13" a="1"/>
  <c r="AS297" i="13" s="1"/>
  <c r="AS249" i="13" a="1"/>
  <c r="AS249" i="13" s="1"/>
  <c r="AS237" i="13" a="1"/>
  <c r="AS237" i="13" s="1"/>
  <c r="AS225" i="13" a="1"/>
  <c r="AS225" i="13" s="1"/>
  <c r="AS201" i="13" a="1"/>
  <c r="AS201" i="13" s="1"/>
  <c r="AS189" i="13" a="1"/>
  <c r="AS189" i="13" s="1"/>
  <c r="AS177" i="13" a="1"/>
  <c r="AS177" i="13" s="1"/>
  <c r="AS129" i="13" a="1"/>
  <c r="AS129" i="13" s="1"/>
  <c r="AS57" i="13" a="1"/>
  <c r="AS57" i="13" s="1"/>
  <c r="AS45" i="13" a="1"/>
  <c r="AS45" i="13" s="1"/>
  <c r="AS33" i="13" a="1"/>
  <c r="AS33" i="13" s="1"/>
  <c r="AS9" i="13" a="1"/>
  <c r="AS9" i="13" s="1"/>
  <c r="AL278" i="13"/>
  <c r="AS278" i="13" s="1" a="1"/>
  <c r="AS278" i="13" s="1"/>
  <c r="AL266" i="13"/>
  <c r="AS266" i="13" s="1" a="1"/>
  <c r="AS266" i="13" s="1"/>
  <c r="AL254" i="13"/>
  <c r="AS254" i="13" s="1" a="1"/>
  <c r="AS254" i="13" s="1"/>
  <c r="AL242" i="13"/>
  <c r="AS242" i="13" s="1" a="1"/>
  <c r="AS242" i="13" s="1"/>
  <c r="AL230" i="13"/>
  <c r="AS230" i="13" s="1" a="1"/>
  <c r="AS230" i="13" s="1"/>
  <c r="AL218" i="13"/>
  <c r="AS218" i="13" s="1" a="1"/>
  <c r="AS218" i="13" s="1"/>
  <c r="AL206" i="13"/>
  <c r="AS206" i="13" s="1" a="1"/>
  <c r="AS206" i="13" s="1"/>
  <c r="AL194" i="13"/>
  <c r="AS194" i="13" s="1" a="1"/>
  <c r="AS194" i="13" s="1"/>
  <c r="AL182" i="13"/>
  <c r="AS182" i="13" s="1" a="1"/>
  <c r="AS182" i="13" s="1"/>
  <c r="AL170" i="13"/>
  <c r="AS170" i="13" s="1" a="1"/>
  <c r="AS170" i="13" s="1"/>
  <c r="AL158" i="13"/>
  <c r="AS158" i="13" s="1" a="1"/>
  <c r="AS158" i="13" s="1"/>
  <c r="AL146" i="13"/>
  <c r="AS146" i="13" s="1" a="1"/>
  <c r="AS146" i="13" s="1"/>
  <c r="AL134" i="13"/>
  <c r="AS134" i="13" s="1" a="1"/>
  <c r="AS134" i="13" s="1"/>
  <c r="AL122" i="13"/>
  <c r="AS122" i="13" s="1" a="1"/>
  <c r="AS122" i="13" s="1"/>
  <c r="AL110" i="13"/>
  <c r="AS110" i="13" s="1" a="1"/>
  <c r="AS110" i="13" s="1"/>
  <c r="AL98" i="13"/>
  <c r="AS98" i="13" s="1" a="1"/>
  <c r="AS98" i="13" s="1"/>
  <c r="AL86" i="13"/>
  <c r="AS86" i="13" s="1" a="1"/>
  <c r="AS86" i="13" s="1"/>
  <c r="AL74" i="13"/>
  <c r="AS74" i="13" s="1" a="1"/>
  <c r="AS74" i="13" s="1"/>
  <c r="AL62" i="13"/>
  <c r="AS62" i="13" s="1" a="1"/>
  <c r="AS62" i="13" s="1"/>
  <c r="AL50" i="13"/>
  <c r="AS50" i="13" s="1" a="1"/>
  <c r="AS50" i="13" s="1"/>
  <c r="AL38" i="13"/>
  <c r="AS38" i="13" s="1" a="1"/>
  <c r="AS38" i="13" s="1"/>
  <c r="AL26" i="13"/>
  <c r="AS26" i="13" s="1" a="1"/>
  <c r="AS26" i="13" s="1"/>
  <c r="AL14" i="13"/>
  <c r="AS14" i="13" s="1" a="1"/>
  <c r="AS14" i="13" s="1"/>
  <c r="AS536" i="13" a="1"/>
  <c r="AS536" i="13" s="1"/>
  <c r="AS524" i="13" a="1"/>
  <c r="AS524" i="13" s="1"/>
  <c r="AS488" i="13" a="1"/>
  <c r="AS488" i="13" s="1"/>
  <c r="AS476" i="13" a="1"/>
  <c r="AS476" i="13" s="1"/>
  <c r="AS464" i="13" a="1"/>
  <c r="AS464" i="13" s="1"/>
  <c r="AS452" i="13" a="1"/>
  <c r="AS452" i="13" s="1"/>
  <c r="AS428" i="13" a="1"/>
  <c r="AS428" i="13" s="1"/>
  <c r="AS392" i="13" a="1"/>
  <c r="AS392" i="13" s="1"/>
  <c r="AS380" i="13" a="1"/>
  <c r="AS380" i="13" s="1"/>
  <c r="AS368" i="13" a="1"/>
  <c r="AS368" i="13" s="1"/>
  <c r="AS332" i="13" a="1"/>
  <c r="AS332" i="13" s="1"/>
  <c r="AS320" i="13" a="1"/>
  <c r="AS320" i="13" s="1"/>
  <c r="AS308" i="13" a="1"/>
  <c r="AS308" i="13" s="1"/>
  <c r="AS284" i="13" a="1"/>
  <c r="AS284" i="13" s="1"/>
  <c r="AS248" i="13" a="1"/>
  <c r="AS248" i="13" s="1"/>
  <c r="AS236" i="13" a="1"/>
  <c r="AS236" i="13" s="1"/>
  <c r="AS224" i="13" a="1"/>
  <c r="AS224" i="13" s="1"/>
  <c r="AS212" i="13" a="1"/>
  <c r="AS212" i="13" s="1"/>
  <c r="AS200" i="13" a="1"/>
  <c r="AS200" i="13" s="1"/>
  <c r="AS188" i="13" a="1"/>
  <c r="AS188" i="13" s="1"/>
  <c r="AS176" i="13" a="1"/>
  <c r="AS176" i="13" s="1"/>
  <c r="AS116" i="13" a="1"/>
  <c r="AS116" i="13" s="1"/>
  <c r="AS104" i="13" a="1"/>
  <c r="AS104" i="13" s="1"/>
  <c r="AS92" i="13" a="1"/>
  <c r="AS92" i="13" s="1"/>
  <c r="AS20" i="13" a="1"/>
  <c r="AS20" i="13" s="1"/>
  <c r="AL277" i="13"/>
  <c r="AS277" i="13" s="1" a="1"/>
  <c r="AS277" i="13" s="1"/>
  <c r="AL265" i="13"/>
  <c r="AS265" i="13" s="1" a="1"/>
  <c r="AS265" i="13" s="1"/>
  <c r="AL253" i="13"/>
  <c r="AS253" i="13" s="1" a="1"/>
  <c r="AS253" i="13" s="1"/>
  <c r="AL241" i="13"/>
  <c r="AS241" i="13" s="1" a="1"/>
  <c r="AS241" i="13" s="1"/>
  <c r="AL229" i="13"/>
  <c r="AS229" i="13" s="1" a="1"/>
  <c r="AS229" i="13" s="1"/>
  <c r="AL217" i="13"/>
  <c r="AS217" i="13" s="1" a="1"/>
  <c r="AS217" i="13" s="1"/>
  <c r="AL205" i="13"/>
  <c r="AS205" i="13" s="1" a="1"/>
  <c r="AS205" i="13" s="1"/>
  <c r="AL193" i="13"/>
  <c r="AS193" i="13" s="1" a="1"/>
  <c r="AS193" i="13" s="1"/>
  <c r="AL181" i="13"/>
  <c r="AS181" i="13" s="1" a="1"/>
  <c r="AS181" i="13" s="1"/>
  <c r="AL169" i="13"/>
  <c r="AS169" i="13" s="1" a="1"/>
  <c r="AS169" i="13" s="1"/>
  <c r="AL157" i="13"/>
  <c r="AS157" i="13" s="1" a="1"/>
  <c r="AS157" i="13" s="1"/>
  <c r="AL145" i="13"/>
  <c r="AS145" i="13" s="1" a="1"/>
  <c r="AS145" i="13" s="1"/>
  <c r="AL133" i="13"/>
  <c r="AS133" i="13" s="1" a="1"/>
  <c r="AS133" i="13" s="1"/>
  <c r="AL121" i="13"/>
  <c r="AS121" i="13" s="1" a="1"/>
  <c r="AS121" i="13" s="1"/>
  <c r="AL109" i="13"/>
  <c r="AS109" i="13" s="1" a="1"/>
  <c r="AS109" i="13" s="1"/>
  <c r="AL97" i="13"/>
  <c r="AS97" i="13" s="1" a="1"/>
  <c r="AS97" i="13" s="1"/>
  <c r="AL85" i="13"/>
  <c r="AS85" i="13" s="1" a="1"/>
  <c r="AS85" i="13" s="1"/>
  <c r="AL73" i="13"/>
  <c r="AS73" i="13" s="1" a="1"/>
  <c r="AS73" i="13" s="1"/>
  <c r="AL61" i="13"/>
  <c r="AS61" i="13" s="1" a="1"/>
  <c r="AS61" i="13" s="1"/>
  <c r="AL49" i="13"/>
  <c r="AS49" i="13" s="1" a="1"/>
  <c r="AS49" i="13" s="1"/>
  <c r="AL37" i="13"/>
  <c r="AS37" i="13" s="1" a="1"/>
  <c r="AS37" i="13" s="1"/>
  <c r="AL25" i="13"/>
  <c r="AS25" i="13" s="1" a="1"/>
  <c r="AS25" i="13" s="1"/>
  <c r="AL13" i="13"/>
  <c r="AS13" i="13" s="1" a="1"/>
  <c r="AS13" i="13" s="1"/>
  <c r="AS547" i="13" a="1"/>
  <c r="AS547" i="13" s="1"/>
  <c r="AS535" i="13" a="1"/>
  <c r="AS535" i="13" s="1"/>
  <c r="AS523" i="13" a="1"/>
  <c r="AS523" i="13" s="1"/>
  <c r="AS487" i="13" a="1"/>
  <c r="AS487" i="13" s="1"/>
  <c r="AS475" i="13" a="1"/>
  <c r="AS475" i="13" s="1"/>
  <c r="AS463" i="13" a="1"/>
  <c r="AS463" i="13" s="1"/>
  <c r="AS439" i="13" a="1"/>
  <c r="AS439" i="13" s="1"/>
  <c r="AS427" i="13" a="1"/>
  <c r="AS427" i="13" s="1"/>
  <c r="AS403" i="13" a="1"/>
  <c r="AS403" i="13" s="1"/>
  <c r="AS391" i="13" a="1"/>
  <c r="AS391" i="13" s="1"/>
  <c r="AS379" i="13" a="1"/>
  <c r="AS379" i="13" s="1"/>
  <c r="AS367" i="13" a="1"/>
  <c r="AS367" i="13" s="1"/>
  <c r="AS343" i="13" a="1"/>
  <c r="AS343" i="13" s="1"/>
  <c r="AS331" i="13" a="1"/>
  <c r="AS331" i="13" s="1"/>
  <c r="AS319" i="13" a="1"/>
  <c r="AS319" i="13" s="1"/>
  <c r="AS295" i="13" a="1"/>
  <c r="AS295" i="13" s="1"/>
  <c r="AS283" i="13" a="1"/>
  <c r="AS283" i="13" s="1"/>
  <c r="AS259" i="13" a="1"/>
  <c r="AS259" i="13" s="1"/>
  <c r="AS247" i="13" a="1"/>
  <c r="AS247" i="13" s="1"/>
  <c r="AS235" i="13" a="1"/>
  <c r="AS235" i="13" s="1"/>
  <c r="AS223" i="13" a="1"/>
  <c r="AS223" i="13" s="1"/>
  <c r="AS211" i="13" a="1"/>
  <c r="AS211" i="13" s="1"/>
  <c r="AS199" i="13" a="1"/>
  <c r="AS199" i="13" s="1"/>
  <c r="AS187" i="13" a="1"/>
  <c r="AS187" i="13" s="1"/>
  <c r="AS175" i="13" a="1"/>
  <c r="AS175" i="13" s="1"/>
  <c r="AS163" i="13" a="1"/>
  <c r="AS163" i="13" s="1"/>
  <c r="AS139" i="13" a="1"/>
  <c r="AS139" i="13" s="1"/>
  <c r="AS79" i="13" a="1"/>
  <c r="AS79" i="13" s="1"/>
  <c r="AS67" i="13" a="1"/>
  <c r="AS67" i="13" s="1"/>
  <c r="AS55" i="13" a="1"/>
  <c r="AS55" i="13" s="1"/>
  <c r="AS43" i="13" a="1"/>
  <c r="AS43" i="13" s="1"/>
  <c r="AS31" i="13" a="1"/>
  <c r="AS31" i="13" s="1"/>
  <c r="AS19" i="13" a="1"/>
  <c r="AS19" i="13" s="1"/>
  <c r="M24" i="15"/>
  <c r="M23" i="15"/>
  <c r="M28" i="15"/>
  <c r="M27" i="15"/>
  <c r="B80" i="15" l="1"/>
  <c r="B81" i="15"/>
  <c r="B82" i="15"/>
  <c r="B83" i="15"/>
  <c r="B84" i="15"/>
  <c r="B76" i="15"/>
  <c r="B77" i="15"/>
  <c r="B78" i="15"/>
  <c r="B79" i="15"/>
  <c r="B75" i="15"/>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K298" i="9"/>
  <c r="K299" i="9"/>
  <c r="K300" i="9"/>
  <c r="K301" i="9"/>
  <c r="K302" i="9"/>
  <c r="K303" i="9"/>
  <c r="K304" i="9"/>
  <c r="K305" i="9"/>
  <c r="K306" i="9"/>
  <c r="K307" i="9"/>
  <c r="K308" i="9"/>
  <c r="K309" i="9"/>
  <c r="K310" i="9"/>
  <c r="K311" i="9"/>
  <c r="K312" i="9"/>
  <c r="K313" i="9"/>
  <c r="K314" i="9"/>
  <c r="K315" i="9"/>
  <c r="K316" i="9"/>
  <c r="K317" i="9"/>
  <c r="K318" i="9"/>
  <c r="K319" i="9"/>
  <c r="K320" i="9"/>
  <c r="K321" i="9"/>
  <c r="K322" i="9"/>
  <c r="K323" i="9"/>
  <c r="K324" i="9"/>
  <c r="K325" i="9"/>
  <c r="K326" i="9"/>
  <c r="K327" i="9"/>
  <c r="K328" i="9"/>
  <c r="K329" i="9"/>
  <c r="K330" i="9"/>
  <c r="K331" i="9"/>
  <c r="K332" i="9"/>
  <c r="K333" i="9"/>
  <c r="K334" i="9"/>
  <c r="K335" i="9"/>
  <c r="K336" i="9"/>
  <c r="K337" i="9"/>
  <c r="K338" i="9"/>
  <c r="K339" i="9"/>
  <c r="K340" i="9"/>
  <c r="K341" i="9"/>
  <c r="K342" i="9"/>
  <c r="K343" i="9"/>
  <c r="K344" i="9"/>
  <c r="K345" i="9"/>
  <c r="K346" i="9"/>
  <c r="K347" i="9"/>
  <c r="K348" i="9"/>
  <c r="K349" i="9"/>
  <c r="K350" i="9"/>
  <c r="K351" i="9"/>
  <c r="K352" i="9"/>
  <c r="K353" i="9"/>
  <c r="K354" i="9"/>
  <c r="K355" i="9"/>
  <c r="K356" i="9"/>
  <c r="K357" i="9"/>
  <c r="K358" i="9"/>
  <c r="K359" i="9"/>
  <c r="K360" i="9"/>
  <c r="K361" i="9"/>
  <c r="K362" i="9"/>
  <c r="K363" i="9"/>
  <c r="K364" i="9"/>
  <c r="K365" i="9"/>
  <c r="K366" i="9"/>
  <c r="K367" i="9"/>
  <c r="K368" i="9"/>
  <c r="K369" i="9"/>
  <c r="K370" i="9"/>
  <c r="K371" i="9"/>
  <c r="K372" i="9"/>
  <c r="K373" i="9"/>
  <c r="K374" i="9"/>
  <c r="K375" i="9"/>
  <c r="K376" i="9"/>
  <c r="K377" i="9"/>
  <c r="K378" i="9"/>
  <c r="K379" i="9"/>
  <c r="K380" i="9"/>
  <c r="K381" i="9"/>
  <c r="K382" i="9"/>
  <c r="K383" i="9"/>
  <c r="K384" i="9"/>
  <c r="K385" i="9"/>
  <c r="K386" i="9"/>
  <c r="K387" i="9"/>
  <c r="K388" i="9"/>
  <c r="K389" i="9"/>
  <c r="K390" i="9"/>
  <c r="K391" i="9"/>
  <c r="K392" i="9"/>
  <c r="K393" i="9"/>
  <c r="K394" i="9"/>
  <c r="K395" i="9"/>
  <c r="K396" i="9"/>
  <c r="K397" i="9"/>
  <c r="K398" i="9"/>
  <c r="K399" i="9"/>
  <c r="K400" i="9"/>
  <c r="K401" i="9"/>
  <c r="K402" i="9"/>
  <c r="K403" i="9"/>
  <c r="K404" i="9"/>
  <c r="K405" i="9"/>
  <c r="K406" i="9"/>
  <c r="K407" i="9"/>
  <c r="K408" i="9"/>
  <c r="K409" i="9"/>
  <c r="K410" i="9"/>
  <c r="K411" i="9"/>
  <c r="K412" i="9"/>
  <c r="K413" i="9"/>
  <c r="K414" i="9"/>
  <c r="K415" i="9"/>
  <c r="K416" i="9"/>
  <c r="K417" i="9"/>
  <c r="K418" i="9"/>
  <c r="K419" i="9"/>
  <c r="K420" i="9"/>
  <c r="K421" i="9"/>
  <c r="K422" i="9"/>
  <c r="K423" i="9"/>
  <c r="K424" i="9"/>
  <c r="K425" i="9"/>
  <c r="K426" i="9"/>
  <c r="K427" i="9"/>
  <c r="K428" i="9"/>
  <c r="K429" i="9"/>
  <c r="K430" i="9"/>
  <c r="K431" i="9"/>
  <c r="K432" i="9"/>
  <c r="K433" i="9"/>
  <c r="K434" i="9"/>
  <c r="K435" i="9"/>
  <c r="K436" i="9"/>
  <c r="K437" i="9"/>
  <c r="K438" i="9"/>
  <c r="K439" i="9"/>
  <c r="K440" i="9"/>
  <c r="K441" i="9"/>
  <c r="K442" i="9"/>
  <c r="K443" i="9"/>
  <c r="K444" i="9"/>
  <c r="K445" i="9"/>
  <c r="K446" i="9"/>
  <c r="K447" i="9"/>
  <c r="K448" i="9"/>
  <c r="K449" i="9"/>
  <c r="K450" i="9"/>
  <c r="K451" i="9"/>
  <c r="K452" i="9"/>
  <c r="K453" i="9"/>
  <c r="K454" i="9"/>
  <c r="K455" i="9"/>
  <c r="K456" i="9"/>
  <c r="K457" i="9"/>
  <c r="K458" i="9"/>
  <c r="K459" i="9"/>
  <c r="K460" i="9"/>
  <c r="K461" i="9"/>
  <c r="K462" i="9"/>
  <c r="K463" i="9"/>
  <c r="K464" i="9"/>
  <c r="K465" i="9"/>
  <c r="K466" i="9"/>
  <c r="K467" i="9"/>
  <c r="K468" i="9"/>
  <c r="K469" i="9"/>
  <c r="K470" i="9"/>
  <c r="K471" i="9"/>
  <c r="K472" i="9"/>
  <c r="K473" i="9"/>
  <c r="K474" i="9"/>
  <c r="K475" i="9"/>
  <c r="K476" i="9"/>
  <c r="K477" i="9"/>
  <c r="K478" i="9"/>
  <c r="K479" i="9"/>
  <c r="K480" i="9"/>
  <c r="K481" i="9"/>
  <c r="K482" i="9"/>
  <c r="K483" i="9"/>
  <c r="K484" i="9"/>
  <c r="K485" i="9"/>
  <c r="K486" i="9"/>
  <c r="K487" i="9"/>
  <c r="K488" i="9"/>
  <c r="K489" i="9"/>
  <c r="K490" i="9"/>
  <c r="K491" i="9"/>
  <c r="K492" i="9"/>
  <c r="K493" i="9"/>
  <c r="K494" i="9"/>
  <c r="K495" i="9"/>
  <c r="K496" i="9"/>
  <c r="K497" i="9"/>
  <c r="K498" i="9"/>
  <c r="K499" i="9"/>
  <c r="K500" i="9"/>
  <c r="K501" i="9"/>
  <c r="K502" i="9"/>
  <c r="K503" i="9"/>
  <c r="K504" i="9"/>
  <c r="K505" i="9"/>
  <c r="K506" i="9"/>
  <c r="K507" i="9"/>
  <c r="K508" i="9"/>
  <c r="K509" i="9"/>
  <c r="K510" i="9"/>
  <c r="K511" i="9"/>
  <c r="K512" i="9"/>
  <c r="K513" i="9"/>
  <c r="K514" i="9"/>
  <c r="K515" i="9"/>
  <c r="K516" i="9"/>
  <c r="K517" i="9"/>
  <c r="K518" i="9"/>
  <c r="K519" i="9"/>
  <c r="K520" i="9"/>
  <c r="K521" i="9"/>
  <c r="K522" i="9"/>
  <c r="K523" i="9"/>
  <c r="K524" i="9"/>
  <c r="K525" i="9"/>
  <c r="K526" i="9"/>
  <c r="K527" i="9"/>
  <c r="K528" i="9"/>
  <c r="K529" i="9"/>
  <c r="K530" i="9"/>
  <c r="K531" i="9"/>
  <c r="K532" i="9"/>
  <c r="K533" i="9"/>
  <c r="K534" i="9"/>
  <c r="K535" i="9"/>
  <c r="K536" i="9"/>
  <c r="K537" i="9"/>
  <c r="K538" i="9"/>
  <c r="K539" i="9"/>
  <c r="K540" i="9"/>
  <c r="K541" i="9"/>
  <c r="K542" i="9"/>
  <c r="K543" i="9"/>
  <c r="K544" i="9"/>
  <c r="K545" i="9"/>
  <c r="K546" i="9"/>
  <c r="K547" i="9"/>
  <c r="K548" i="9"/>
  <c r="K549" i="9"/>
  <c r="K550" i="9"/>
  <c r="K551" i="9"/>
  <c r="K552" i="9"/>
  <c r="K553" i="9"/>
  <c r="K554" i="9"/>
  <c r="K555" i="9"/>
  <c r="K556" i="9"/>
  <c r="K557" i="9"/>
  <c r="K558" i="9"/>
  <c r="K559" i="9"/>
  <c r="K560" i="9"/>
  <c r="K561" i="9"/>
  <c r="K562" i="9"/>
  <c r="K563" i="9"/>
  <c r="K564" i="9"/>
  <c r="K565" i="9"/>
  <c r="K566" i="9"/>
  <c r="K567" i="9"/>
  <c r="K568" i="9"/>
  <c r="K569" i="9"/>
  <c r="K570" i="9"/>
  <c r="K571" i="9"/>
  <c r="K572" i="9"/>
  <c r="K573" i="9"/>
  <c r="K574" i="9"/>
  <c r="K575" i="9"/>
  <c r="K576" i="9"/>
  <c r="K577" i="9"/>
  <c r="K578" i="9"/>
  <c r="K579" i="9"/>
  <c r="K580" i="9"/>
  <c r="K581" i="9"/>
  <c r="K582" i="9"/>
  <c r="K583" i="9"/>
  <c r="K584" i="9"/>
  <c r="K585" i="9"/>
  <c r="K586" i="9"/>
  <c r="K587" i="9"/>
  <c r="K588" i="9"/>
  <c r="K589" i="9"/>
  <c r="K590" i="9"/>
  <c r="K591" i="9"/>
  <c r="K592" i="9"/>
  <c r="K593" i="9"/>
  <c r="K594" i="9"/>
  <c r="K595" i="9"/>
  <c r="K596" i="9"/>
  <c r="K597" i="9"/>
  <c r="K598" i="9"/>
  <c r="K599" i="9"/>
  <c r="K600" i="9"/>
  <c r="K601" i="9"/>
  <c r="K602" i="9"/>
  <c r="K603" i="9"/>
  <c r="K604" i="9"/>
  <c r="K605" i="9"/>
  <c r="K606" i="9"/>
  <c r="K607" i="9"/>
  <c r="K608" i="9"/>
  <c r="K609" i="9"/>
  <c r="K610" i="9"/>
  <c r="K611" i="9"/>
  <c r="K612" i="9"/>
  <c r="K613" i="9"/>
  <c r="K614" i="9"/>
  <c r="K615" i="9"/>
  <c r="K616" i="9"/>
  <c r="K617" i="9"/>
  <c r="K618" i="9"/>
  <c r="K619" i="9"/>
  <c r="K620" i="9"/>
  <c r="K621" i="9"/>
  <c r="K622" i="9"/>
  <c r="K623" i="9"/>
  <c r="K624" i="9"/>
  <c r="K625" i="9"/>
  <c r="K626" i="9"/>
  <c r="K627" i="9"/>
  <c r="K628" i="9"/>
  <c r="K629" i="9"/>
  <c r="K630" i="9"/>
  <c r="K631" i="9"/>
  <c r="K632" i="9"/>
  <c r="K633" i="9"/>
  <c r="K634" i="9"/>
  <c r="K635" i="9"/>
  <c r="K636" i="9"/>
  <c r="K637" i="9"/>
  <c r="K638" i="9"/>
  <c r="K639" i="9"/>
  <c r="K640" i="9"/>
  <c r="K641" i="9"/>
  <c r="K642" i="9"/>
  <c r="K643" i="9"/>
  <c r="K644" i="9"/>
  <c r="K645" i="9"/>
  <c r="K646" i="9"/>
  <c r="K647" i="9"/>
  <c r="K648" i="9"/>
  <c r="K649" i="9"/>
  <c r="K650" i="9"/>
  <c r="K651" i="9"/>
  <c r="K652" i="9"/>
  <c r="K653" i="9"/>
  <c r="K654" i="9"/>
  <c r="K655" i="9"/>
  <c r="K656" i="9"/>
  <c r="K657" i="9"/>
  <c r="K658" i="9"/>
  <c r="K659" i="9"/>
  <c r="K660" i="9"/>
  <c r="K661" i="9"/>
  <c r="K662" i="9"/>
  <c r="K663" i="9"/>
  <c r="K664" i="9"/>
  <c r="K665" i="9"/>
  <c r="K666" i="9"/>
  <c r="K667" i="9"/>
  <c r="K668" i="9"/>
  <c r="K669" i="9"/>
  <c r="K670" i="9"/>
  <c r="K671" i="9"/>
  <c r="K672" i="9"/>
  <c r="K673" i="9"/>
  <c r="K674" i="9"/>
  <c r="K675" i="9"/>
  <c r="K676" i="9"/>
  <c r="K677" i="9"/>
  <c r="K678" i="9"/>
  <c r="K679" i="9"/>
  <c r="K680" i="9"/>
  <c r="K681" i="9"/>
  <c r="K682" i="9"/>
  <c r="K683" i="9"/>
  <c r="K684" i="9"/>
  <c r="K685" i="9"/>
  <c r="K686" i="9"/>
  <c r="K687" i="9"/>
  <c r="K688" i="9"/>
  <c r="K689" i="9"/>
  <c r="K690" i="9"/>
  <c r="K691" i="9"/>
  <c r="K692" i="9"/>
  <c r="K693" i="9"/>
  <c r="K694" i="9"/>
  <c r="K695" i="9"/>
  <c r="K696" i="9"/>
  <c r="K697" i="9"/>
  <c r="K698" i="9"/>
  <c r="K699" i="9"/>
  <c r="K700" i="9"/>
  <c r="K701" i="9"/>
  <c r="K702" i="9"/>
  <c r="K703" i="9"/>
  <c r="K704" i="9"/>
  <c r="K705" i="9"/>
  <c r="K706" i="9"/>
  <c r="K707" i="9"/>
  <c r="K708" i="9"/>
  <c r="K709" i="9"/>
  <c r="K710" i="9"/>
  <c r="K711" i="9"/>
  <c r="K712" i="9"/>
  <c r="K713" i="9"/>
  <c r="K714" i="9"/>
  <c r="K715" i="9"/>
  <c r="K716" i="9"/>
  <c r="K717" i="9"/>
  <c r="K718" i="9"/>
  <c r="K719" i="9"/>
  <c r="K720" i="9"/>
  <c r="K721" i="9"/>
  <c r="K722" i="9"/>
  <c r="K723" i="9"/>
  <c r="K724" i="9"/>
  <c r="K725" i="9"/>
  <c r="K726" i="9"/>
  <c r="K727" i="9"/>
  <c r="K728" i="9"/>
  <c r="K729" i="9"/>
  <c r="K730" i="9"/>
  <c r="K731" i="9"/>
  <c r="K732" i="9"/>
  <c r="K733" i="9"/>
  <c r="K734" i="9"/>
  <c r="K735" i="9"/>
  <c r="K736" i="9"/>
  <c r="K737" i="9"/>
  <c r="K738" i="9"/>
  <c r="K739" i="9"/>
  <c r="K740" i="9"/>
  <c r="K741" i="9"/>
  <c r="K742" i="9"/>
  <c r="K743" i="9"/>
  <c r="K744" i="9"/>
  <c r="K745" i="9"/>
  <c r="K746" i="9"/>
  <c r="K747" i="9"/>
  <c r="K748" i="9"/>
  <c r="K749" i="9"/>
  <c r="K750" i="9"/>
  <c r="K751" i="9"/>
  <c r="K752" i="9"/>
  <c r="K753" i="9"/>
  <c r="K754" i="9"/>
  <c r="K755" i="9"/>
  <c r="K756" i="9"/>
  <c r="K757" i="9"/>
  <c r="K758" i="9"/>
  <c r="K759" i="9"/>
  <c r="K760" i="9"/>
  <c r="K761" i="9"/>
  <c r="K762" i="9"/>
  <c r="K763" i="9"/>
  <c r="K764" i="9"/>
  <c r="K765" i="9"/>
  <c r="K766" i="9"/>
  <c r="K767" i="9"/>
  <c r="K768" i="9"/>
  <c r="K769" i="9"/>
  <c r="K770" i="9"/>
  <c r="K771" i="9"/>
  <c r="K772" i="9"/>
  <c r="K773" i="9"/>
  <c r="K774" i="9"/>
  <c r="K775" i="9"/>
  <c r="K776" i="9"/>
  <c r="K777" i="9"/>
  <c r="K778" i="9"/>
  <c r="K779" i="9"/>
  <c r="K780" i="9"/>
  <c r="K781" i="9"/>
  <c r="K782" i="9"/>
  <c r="K783" i="9"/>
  <c r="K784" i="9"/>
  <c r="K785" i="9"/>
  <c r="K786" i="9"/>
  <c r="K787" i="9"/>
  <c r="K788" i="9"/>
  <c r="K789" i="9"/>
  <c r="K790" i="9"/>
  <c r="K791" i="9"/>
  <c r="K792" i="9"/>
  <c r="K793" i="9"/>
  <c r="K794" i="9"/>
  <c r="K795" i="9"/>
  <c r="K796" i="9"/>
  <c r="K797" i="9"/>
  <c r="K798" i="9"/>
  <c r="K799" i="9"/>
  <c r="K800" i="9"/>
  <c r="K801" i="9"/>
  <c r="K802" i="9"/>
  <c r="K803" i="9"/>
  <c r="K804" i="9"/>
  <c r="K805" i="9"/>
  <c r="K806" i="9"/>
  <c r="K807" i="9"/>
  <c r="K808" i="9"/>
  <c r="K809" i="9"/>
  <c r="K810" i="9"/>
  <c r="K811" i="9"/>
  <c r="K812" i="9"/>
  <c r="K813" i="9"/>
  <c r="K814" i="9"/>
  <c r="K815" i="9"/>
  <c r="K816" i="9"/>
  <c r="K817" i="9"/>
  <c r="K818" i="9"/>
  <c r="K819" i="9"/>
  <c r="K820" i="9"/>
  <c r="K821" i="9"/>
  <c r="K822" i="9"/>
  <c r="K823" i="9"/>
  <c r="K824" i="9"/>
  <c r="K825" i="9"/>
  <c r="K826" i="9"/>
  <c r="K827" i="9"/>
  <c r="K828" i="9"/>
  <c r="K829" i="9"/>
  <c r="K830" i="9"/>
  <c r="K831" i="9"/>
  <c r="K832" i="9"/>
  <c r="K833" i="9"/>
  <c r="K834" i="9"/>
  <c r="K835" i="9"/>
  <c r="K836" i="9"/>
  <c r="K837" i="9"/>
  <c r="K838" i="9"/>
  <c r="K839" i="9"/>
  <c r="K840" i="9"/>
  <c r="K841" i="9"/>
  <c r="K842" i="9"/>
  <c r="K843" i="9"/>
  <c r="K844" i="9"/>
  <c r="K845" i="9"/>
  <c r="K846" i="9"/>
  <c r="K847" i="9"/>
  <c r="K848" i="9"/>
  <c r="K849" i="9"/>
  <c r="K850" i="9"/>
  <c r="K851" i="9"/>
  <c r="K852" i="9"/>
  <c r="K853" i="9"/>
  <c r="K854" i="9"/>
  <c r="K855" i="9"/>
  <c r="K856" i="9"/>
  <c r="K857" i="9"/>
  <c r="K858" i="9"/>
  <c r="K859" i="9"/>
  <c r="K860" i="9"/>
  <c r="K861" i="9"/>
  <c r="K862" i="9"/>
  <c r="K863" i="9"/>
  <c r="K864" i="9"/>
  <c r="K865" i="9"/>
  <c r="K866" i="9"/>
  <c r="K867" i="9"/>
  <c r="K868" i="9"/>
  <c r="K869" i="9"/>
  <c r="K870" i="9"/>
  <c r="K871" i="9"/>
  <c r="K872" i="9"/>
  <c r="K873" i="9"/>
  <c r="K874" i="9"/>
  <c r="K875" i="9"/>
  <c r="K876" i="9"/>
  <c r="K877" i="9"/>
  <c r="K878" i="9"/>
  <c r="K879" i="9"/>
  <c r="K880" i="9"/>
  <c r="K881" i="9"/>
  <c r="K882" i="9"/>
  <c r="K883" i="9"/>
  <c r="K884" i="9"/>
  <c r="K885" i="9"/>
  <c r="K886" i="9"/>
  <c r="K887" i="9"/>
  <c r="K888" i="9"/>
  <c r="K889" i="9"/>
  <c r="K890" i="9"/>
  <c r="K891" i="9"/>
  <c r="K892" i="9"/>
  <c r="K893" i="9"/>
  <c r="K894" i="9"/>
  <c r="K895" i="9"/>
  <c r="K896" i="9"/>
  <c r="K897" i="9"/>
  <c r="K898" i="9"/>
  <c r="K899" i="9"/>
  <c r="K900" i="9"/>
  <c r="K901" i="9"/>
  <c r="K902" i="9"/>
  <c r="K903" i="9"/>
  <c r="K904" i="9"/>
  <c r="K905" i="9"/>
  <c r="K906" i="9"/>
  <c r="K907" i="9"/>
  <c r="K908" i="9"/>
  <c r="K909" i="9"/>
  <c r="K910" i="9"/>
  <c r="K911" i="9"/>
  <c r="K912" i="9"/>
  <c r="K913" i="9"/>
  <c r="K914" i="9"/>
  <c r="K915" i="9"/>
  <c r="K916" i="9"/>
  <c r="K917" i="9"/>
  <c r="K918" i="9"/>
  <c r="K919" i="9"/>
  <c r="K920" i="9"/>
  <c r="K921" i="9"/>
  <c r="K922" i="9"/>
  <c r="K923" i="9"/>
  <c r="K924" i="9"/>
  <c r="K925" i="9"/>
  <c r="K926" i="9"/>
  <c r="K927" i="9"/>
  <c r="K928" i="9"/>
  <c r="K929" i="9"/>
  <c r="K930" i="9"/>
  <c r="K931" i="9"/>
  <c r="K932" i="9"/>
  <c r="K933" i="9"/>
  <c r="K934" i="9"/>
  <c r="K935" i="9"/>
  <c r="K936" i="9"/>
  <c r="K937" i="9"/>
  <c r="K938" i="9"/>
  <c r="K939" i="9"/>
  <c r="K940" i="9"/>
  <c r="K941" i="9"/>
  <c r="K942" i="9"/>
  <c r="K943" i="9"/>
  <c r="K944" i="9"/>
  <c r="K945" i="9"/>
  <c r="K946" i="9"/>
  <c r="K947" i="9"/>
  <c r="K948" i="9"/>
  <c r="K949" i="9"/>
  <c r="K950" i="9"/>
  <c r="K951" i="9"/>
  <c r="K952" i="9"/>
  <c r="K953" i="9"/>
  <c r="K954" i="9"/>
  <c r="K955" i="9"/>
  <c r="K956" i="9"/>
  <c r="K957" i="9"/>
  <c r="K958" i="9"/>
  <c r="K959" i="9"/>
  <c r="K960" i="9"/>
  <c r="K961" i="9"/>
  <c r="K962" i="9"/>
  <c r="K963" i="9"/>
  <c r="K964" i="9"/>
  <c r="K965" i="9"/>
  <c r="K966" i="9"/>
  <c r="K967" i="9"/>
  <c r="K968" i="9"/>
  <c r="K969" i="9"/>
  <c r="K970" i="9"/>
  <c r="K971" i="9"/>
  <c r="K972" i="9"/>
  <c r="K973" i="9"/>
  <c r="K974" i="9"/>
  <c r="K975" i="9"/>
  <c r="K976" i="9"/>
  <c r="K977" i="9"/>
  <c r="K978" i="9"/>
  <c r="K979" i="9"/>
  <c r="K980" i="9"/>
  <c r="K981" i="9"/>
  <c r="K982" i="9"/>
  <c r="K983" i="9"/>
  <c r="K984" i="9"/>
  <c r="K985" i="9"/>
  <c r="K986" i="9"/>
  <c r="K987" i="9"/>
  <c r="K988" i="9"/>
  <c r="K989" i="9"/>
  <c r="K990" i="9"/>
  <c r="K991" i="9"/>
  <c r="K992" i="9"/>
  <c r="K993" i="9"/>
  <c r="K994" i="9"/>
  <c r="K995" i="9"/>
  <c r="K996" i="9"/>
  <c r="K997" i="9"/>
  <c r="K998" i="9"/>
  <c r="K999" i="9"/>
  <c r="K1000" i="9"/>
  <c r="K1001" i="9"/>
  <c r="K1002" i="9"/>
  <c r="K1003" i="9"/>
  <c r="K1004" i="9"/>
  <c r="K1005" i="9"/>
  <c r="K1006" i="9"/>
  <c r="K1007" i="9"/>
  <c r="K1008" i="9"/>
  <c r="K1009" i="9"/>
  <c r="K1010" i="9"/>
  <c r="K1011" i="9"/>
  <c r="K1012" i="9"/>
  <c r="K1013" i="9"/>
  <c r="K1014" i="9"/>
  <c r="K1015" i="9"/>
  <c r="K1016" i="9"/>
  <c r="K1017" i="9"/>
  <c r="K1018" i="9"/>
  <c r="K1019" i="9"/>
  <c r="K1020" i="9"/>
  <c r="K1021" i="9"/>
  <c r="K1022" i="9"/>
  <c r="K1023" i="9"/>
  <c r="K1024" i="9"/>
  <c r="K1025" i="9"/>
  <c r="K1026" i="9"/>
  <c r="K1027" i="9"/>
  <c r="K1028" i="9"/>
  <c r="K1029" i="9"/>
  <c r="K1030" i="9"/>
  <c r="K1031" i="9"/>
  <c r="K1032" i="9"/>
  <c r="K1033" i="9"/>
  <c r="K1034" i="9"/>
  <c r="K1035" i="9"/>
  <c r="K1036" i="9"/>
  <c r="K1037" i="9"/>
  <c r="K1038" i="9"/>
  <c r="K1039" i="9"/>
  <c r="K1040" i="9"/>
  <c r="K1041" i="9"/>
  <c r="K1042" i="9"/>
  <c r="K1043" i="9"/>
  <c r="K1044" i="9"/>
  <c r="K1045" i="9"/>
  <c r="K1046" i="9"/>
  <c r="K1047" i="9"/>
  <c r="K1048" i="9"/>
  <c r="K1049" i="9"/>
  <c r="K1050" i="9"/>
  <c r="K1051" i="9"/>
  <c r="K1052" i="9"/>
  <c r="K1053" i="9"/>
  <c r="K1054" i="9"/>
  <c r="K1055" i="9"/>
  <c r="K1056" i="9"/>
  <c r="K1057" i="9"/>
  <c r="K1058" i="9"/>
  <c r="K1059" i="9"/>
  <c r="K1060" i="9"/>
  <c r="K1061" i="9"/>
  <c r="K1062" i="9"/>
  <c r="K1063" i="9"/>
  <c r="K1064" i="9"/>
  <c r="K1065" i="9"/>
  <c r="K1066" i="9"/>
  <c r="K1067" i="9"/>
  <c r="K1068" i="9"/>
  <c r="K1069" i="9"/>
  <c r="K1070" i="9"/>
  <c r="K1071" i="9"/>
  <c r="K1072" i="9"/>
  <c r="K1073" i="9"/>
  <c r="K1074" i="9"/>
  <c r="K1075" i="9"/>
  <c r="K1076" i="9"/>
  <c r="K1077" i="9"/>
  <c r="K1078" i="9"/>
  <c r="K1079" i="9"/>
  <c r="K1080" i="9"/>
  <c r="K1081" i="9"/>
  <c r="K1082" i="9"/>
  <c r="K1083" i="9"/>
  <c r="K1084" i="9"/>
  <c r="K1085" i="9"/>
  <c r="K1086" i="9"/>
  <c r="K1087" i="9"/>
  <c r="K1088" i="9"/>
  <c r="K1089" i="9"/>
  <c r="K1090" i="9"/>
  <c r="K1091" i="9"/>
  <c r="K1092" i="9"/>
  <c r="K1093" i="9"/>
  <c r="K1094" i="9"/>
  <c r="K1095" i="9"/>
  <c r="K1096" i="9"/>
  <c r="K1097" i="9"/>
  <c r="K1098" i="9"/>
  <c r="K1099" i="9"/>
  <c r="K1100" i="9"/>
  <c r="K1101" i="9"/>
  <c r="K1102" i="9"/>
  <c r="K1103" i="9"/>
  <c r="K1104" i="9"/>
  <c r="K1105" i="9"/>
  <c r="K1106" i="9"/>
  <c r="K1107" i="9"/>
  <c r="K1108" i="9"/>
  <c r="K1109" i="9"/>
  <c r="K1110" i="9"/>
  <c r="K1111" i="9"/>
  <c r="K1112" i="9"/>
  <c r="K1113" i="9"/>
  <c r="K1114" i="9"/>
  <c r="K1115" i="9"/>
  <c r="K1116" i="9"/>
  <c r="K1117" i="9"/>
  <c r="K1118" i="9"/>
  <c r="K1119" i="9"/>
  <c r="K1120" i="9"/>
  <c r="K1121" i="9"/>
  <c r="K1122" i="9"/>
  <c r="K1123" i="9"/>
  <c r="K1124" i="9"/>
  <c r="K1125" i="9"/>
  <c r="K1126" i="9"/>
  <c r="K1127" i="9"/>
  <c r="K1128" i="9"/>
  <c r="K1129" i="9"/>
  <c r="K1130" i="9"/>
  <c r="K1131" i="9"/>
  <c r="K1132" i="9"/>
  <c r="K1133" i="9"/>
  <c r="K1134" i="9"/>
  <c r="K1135" i="9"/>
  <c r="K1136" i="9"/>
  <c r="K1137" i="9"/>
  <c r="K1138" i="9"/>
  <c r="K1139" i="9"/>
  <c r="K1140" i="9"/>
  <c r="K1141" i="9"/>
  <c r="K1142" i="9"/>
  <c r="K1143" i="9"/>
  <c r="K1144" i="9"/>
  <c r="K1145" i="9"/>
  <c r="K1146" i="9"/>
  <c r="K1147" i="9"/>
  <c r="K1148" i="9"/>
  <c r="K1149" i="9"/>
  <c r="K1150" i="9"/>
  <c r="K1151" i="9"/>
  <c r="K1152" i="9"/>
  <c r="K1153" i="9"/>
  <c r="K1154" i="9"/>
  <c r="K1155" i="9"/>
  <c r="K1156" i="9"/>
  <c r="K1157" i="9"/>
  <c r="K1158" i="9"/>
  <c r="K1159" i="9"/>
  <c r="K1160" i="9"/>
  <c r="K1161" i="9"/>
  <c r="K1162" i="9"/>
  <c r="K1163" i="9"/>
  <c r="K1164" i="9"/>
  <c r="K1165" i="9"/>
  <c r="K1166" i="9"/>
  <c r="K1167" i="9"/>
  <c r="K1168" i="9"/>
  <c r="K1169" i="9"/>
  <c r="K1170" i="9"/>
  <c r="K1171" i="9"/>
  <c r="K1172" i="9"/>
  <c r="K1173" i="9"/>
  <c r="K1174" i="9"/>
  <c r="K1175" i="9"/>
  <c r="K1176" i="9"/>
  <c r="K1177" i="9"/>
  <c r="K1178" i="9"/>
  <c r="K1179" i="9"/>
  <c r="K1180" i="9"/>
  <c r="K1181" i="9"/>
  <c r="K1182" i="9"/>
  <c r="K1183" i="9"/>
  <c r="K1184" i="9"/>
  <c r="K1185" i="9"/>
  <c r="K1186" i="9"/>
  <c r="K1187" i="9"/>
  <c r="K1188" i="9"/>
  <c r="K1189" i="9"/>
  <c r="K1190" i="9"/>
  <c r="K1191" i="9"/>
  <c r="K1192" i="9"/>
  <c r="K1193" i="9"/>
  <c r="K1194" i="9"/>
  <c r="K1195" i="9"/>
  <c r="K1196" i="9"/>
  <c r="K1197" i="9"/>
  <c r="K1198" i="9"/>
  <c r="K1199" i="9"/>
  <c r="K1200" i="9"/>
  <c r="K1201" i="9"/>
  <c r="K1202" i="9"/>
  <c r="K1203" i="9"/>
  <c r="K1204" i="9"/>
  <c r="K1205" i="9"/>
  <c r="K1206" i="9"/>
  <c r="K1207" i="9"/>
  <c r="K1208" i="9"/>
  <c r="K1209" i="9"/>
  <c r="K1210" i="9"/>
  <c r="K1211" i="9"/>
  <c r="K1212" i="9"/>
  <c r="K1213" i="9"/>
  <c r="K1214" i="9"/>
  <c r="K1215" i="9"/>
  <c r="K1216" i="9"/>
  <c r="K1217" i="9"/>
  <c r="K1218" i="9"/>
  <c r="K1219" i="9"/>
  <c r="K1220" i="9"/>
  <c r="K1221" i="9"/>
  <c r="K1222" i="9"/>
  <c r="K1223" i="9"/>
  <c r="K1224" i="9"/>
  <c r="K1225" i="9"/>
  <c r="K1226" i="9"/>
  <c r="K1227" i="9"/>
  <c r="K1228" i="9"/>
  <c r="K1229" i="9"/>
  <c r="K1230" i="9"/>
  <c r="K1231" i="9"/>
  <c r="K1232" i="9"/>
  <c r="K1233" i="9"/>
  <c r="K1234" i="9"/>
  <c r="K1235" i="9"/>
  <c r="K1236" i="9"/>
  <c r="K1237" i="9"/>
  <c r="K1238" i="9"/>
  <c r="K1239" i="9"/>
  <c r="K1240" i="9"/>
  <c r="K1241" i="9"/>
  <c r="K1242" i="9"/>
  <c r="K1243" i="9"/>
  <c r="K1244" i="9"/>
  <c r="K1245" i="9"/>
  <c r="K1246" i="9"/>
  <c r="K1247" i="9"/>
  <c r="K1248" i="9"/>
  <c r="K1249" i="9"/>
  <c r="K1250" i="9"/>
  <c r="K1251" i="9"/>
  <c r="K1252" i="9"/>
  <c r="K1253" i="9"/>
  <c r="K1254" i="9"/>
  <c r="K1255" i="9"/>
  <c r="K1256" i="9"/>
  <c r="K1257" i="9"/>
  <c r="K1258" i="9"/>
  <c r="K1259" i="9"/>
  <c r="K1260" i="9"/>
  <c r="K1261" i="9"/>
  <c r="K1262" i="9"/>
  <c r="K1263" i="9"/>
  <c r="K1264" i="9"/>
  <c r="K1265" i="9"/>
  <c r="K1266" i="9"/>
  <c r="K1267" i="9"/>
  <c r="K1268" i="9"/>
  <c r="K1269" i="9"/>
  <c r="K1270" i="9"/>
  <c r="K1271" i="9"/>
  <c r="K1272" i="9"/>
  <c r="K1273" i="9"/>
  <c r="K1274" i="9"/>
  <c r="K1275" i="9"/>
  <c r="K1276" i="9"/>
  <c r="K1277" i="9"/>
  <c r="K1278" i="9"/>
  <c r="K1279" i="9"/>
  <c r="K1280" i="9"/>
  <c r="K1281" i="9"/>
  <c r="K1282" i="9"/>
  <c r="K1283" i="9"/>
  <c r="K1284" i="9"/>
  <c r="K1285" i="9"/>
  <c r="K1286" i="9"/>
  <c r="K1287" i="9"/>
  <c r="K1288" i="9"/>
  <c r="K1289" i="9"/>
  <c r="K1290" i="9"/>
  <c r="K1291" i="9"/>
  <c r="K1292" i="9"/>
  <c r="K1293" i="9"/>
  <c r="K1294" i="9"/>
  <c r="K1295" i="9"/>
  <c r="K1296" i="9"/>
  <c r="K1297" i="9"/>
  <c r="K1298" i="9"/>
  <c r="K1299" i="9"/>
  <c r="K1300" i="9"/>
  <c r="K1301" i="9"/>
  <c r="K1302" i="9"/>
  <c r="K1303" i="9"/>
  <c r="K1304" i="9"/>
  <c r="K1305" i="9"/>
  <c r="K1306" i="9"/>
  <c r="K1307" i="9"/>
  <c r="K1308" i="9"/>
  <c r="K1309" i="9"/>
  <c r="K1310" i="9"/>
  <c r="K1311" i="9"/>
  <c r="K1312" i="9"/>
  <c r="K1313" i="9"/>
  <c r="K1314" i="9"/>
  <c r="K1315" i="9"/>
  <c r="K1316" i="9"/>
  <c r="K1317" i="9"/>
  <c r="K1318" i="9"/>
  <c r="K1319" i="9"/>
  <c r="K1320" i="9"/>
  <c r="K1321" i="9"/>
  <c r="K1322" i="9"/>
  <c r="K1323" i="9"/>
  <c r="K1324" i="9"/>
  <c r="K1325" i="9"/>
  <c r="K1326" i="9"/>
  <c r="K1327" i="9"/>
  <c r="K1328" i="9"/>
  <c r="K1329" i="9"/>
  <c r="K1330" i="9"/>
  <c r="K1331" i="9"/>
  <c r="K1332" i="9"/>
  <c r="K1333" i="9"/>
  <c r="K1334" i="9"/>
  <c r="K1335" i="9"/>
  <c r="K1336" i="9"/>
  <c r="K1337" i="9"/>
  <c r="K1338" i="9"/>
  <c r="K1339" i="9"/>
  <c r="K1340" i="9"/>
  <c r="K1341" i="9"/>
  <c r="K1342" i="9"/>
  <c r="K1343" i="9"/>
  <c r="K1344" i="9"/>
  <c r="K1345" i="9"/>
  <c r="K1346" i="9"/>
  <c r="K1347" i="9"/>
  <c r="K1348" i="9"/>
  <c r="K1349" i="9"/>
  <c r="K1350" i="9"/>
  <c r="K1351" i="9"/>
  <c r="K1352" i="9"/>
  <c r="K1353" i="9"/>
  <c r="K1354" i="9"/>
  <c r="K1355" i="9"/>
  <c r="K1356" i="9"/>
  <c r="K1357" i="9"/>
  <c r="K1358" i="9"/>
  <c r="K1359" i="9"/>
  <c r="K1360" i="9"/>
  <c r="K1361" i="9"/>
  <c r="K1362" i="9"/>
  <c r="K1363" i="9"/>
  <c r="K1364" i="9"/>
  <c r="K1365" i="9"/>
  <c r="K1366" i="9"/>
  <c r="K1367" i="9"/>
  <c r="K1368" i="9"/>
  <c r="K1369" i="9"/>
  <c r="K1370" i="9"/>
  <c r="K1371" i="9"/>
  <c r="K1372" i="9"/>
  <c r="K1373" i="9"/>
  <c r="K1374" i="9"/>
  <c r="K1375" i="9"/>
  <c r="K1376" i="9"/>
  <c r="K1377" i="9"/>
  <c r="K1378" i="9"/>
  <c r="K1379" i="9"/>
  <c r="K1380" i="9"/>
  <c r="K1381" i="9"/>
  <c r="K1382" i="9"/>
  <c r="K1383" i="9"/>
  <c r="K1384" i="9"/>
  <c r="K1385" i="9"/>
  <c r="K1386" i="9"/>
  <c r="K1387" i="9"/>
  <c r="K1388" i="9"/>
  <c r="K1389" i="9"/>
  <c r="K1390" i="9"/>
  <c r="K1391" i="9"/>
  <c r="K1392" i="9"/>
  <c r="K1393" i="9"/>
  <c r="K1394" i="9"/>
  <c r="K1395" i="9"/>
  <c r="K1396" i="9"/>
  <c r="K1397" i="9"/>
  <c r="K1398" i="9"/>
  <c r="K1399" i="9"/>
  <c r="K1400" i="9"/>
  <c r="K1401" i="9"/>
  <c r="K1402" i="9"/>
  <c r="K1403" i="9"/>
  <c r="K1404" i="9"/>
  <c r="K1405" i="9"/>
  <c r="K1406" i="9"/>
  <c r="K1407" i="9"/>
  <c r="K1408" i="9"/>
  <c r="K1409" i="9"/>
  <c r="K1410" i="9"/>
  <c r="K1411" i="9"/>
  <c r="K1412" i="9"/>
  <c r="K1413" i="9"/>
  <c r="K1414" i="9"/>
  <c r="K1415" i="9"/>
  <c r="K1416" i="9"/>
  <c r="K1417" i="9"/>
  <c r="K1418" i="9"/>
  <c r="K1419" i="9"/>
  <c r="K1420" i="9"/>
  <c r="K1421" i="9"/>
  <c r="K1422" i="9"/>
  <c r="K1423" i="9"/>
  <c r="K1424" i="9"/>
  <c r="K1425" i="9"/>
  <c r="K1426" i="9"/>
  <c r="K1427" i="9"/>
  <c r="K1428" i="9"/>
  <c r="K1429" i="9"/>
  <c r="K1430" i="9"/>
  <c r="K1431" i="9"/>
  <c r="K1432" i="9"/>
  <c r="K1433" i="9"/>
  <c r="K1434" i="9"/>
  <c r="K1435" i="9"/>
  <c r="K1436" i="9"/>
  <c r="K1437" i="9"/>
  <c r="K1438" i="9"/>
  <c r="K1439" i="9"/>
  <c r="K1440" i="9"/>
  <c r="K1441" i="9"/>
  <c r="K1442" i="9"/>
  <c r="K1443" i="9"/>
  <c r="K1444" i="9"/>
  <c r="K1445" i="9"/>
  <c r="K1446" i="9"/>
  <c r="K1447" i="9"/>
  <c r="K1448" i="9"/>
  <c r="K1449" i="9"/>
  <c r="K1450" i="9"/>
  <c r="K1451" i="9"/>
  <c r="K1452" i="9"/>
  <c r="K1453" i="9"/>
  <c r="K1454" i="9"/>
  <c r="K1455" i="9"/>
  <c r="K1456" i="9"/>
  <c r="K1457" i="9"/>
  <c r="K1458" i="9"/>
  <c r="K1459" i="9"/>
  <c r="K1460" i="9"/>
  <c r="K1461" i="9"/>
  <c r="K1462" i="9"/>
  <c r="K1463" i="9"/>
  <c r="K1464" i="9"/>
  <c r="K1465" i="9"/>
  <c r="K1466" i="9"/>
  <c r="K1467" i="9"/>
  <c r="K1468" i="9"/>
  <c r="K1469" i="9"/>
  <c r="K1470" i="9"/>
  <c r="K1471" i="9"/>
  <c r="K1472" i="9"/>
  <c r="K1473" i="9"/>
  <c r="K1474" i="9"/>
  <c r="K1475" i="9"/>
  <c r="K1476" i="9"/>
  <c r="K1477" i="9"/>
  <c r="K1478" i="9"/>
  <c r="K1479" i="9"/>
  <c r="K1480" i="9"/>
  <c r="K1481" i="9"/>
  <c r="K1482" i="9"/>
  <c r="K1483" i="9"/>
  <c r="K1484" i="9"/>
  <c r="K1485" i="9"/>
  <c r="K1486" i="9"/>
  <c r="K1487" i="9"/>
  <c r="K1488" i="9"/>
  <c r="K1489" i="9"/>
  <c r="K1490" i="9"/>
  <c r="K1491" i="9"/>
  <c r="K1492" i="9"/>
  <c r="K1493" i="9"/>
  <c r="K1494" i="9"/>
  <c r="K1495" i="9"/>
  <c r="K1496" i="9"/>
  <c r="K1497" i="9"/>
  <c r="K1498" i="9"/>
  <c r="K1499" i="9"/>
  <c r="K1500" i="9"/>
  <c r="K1501" i="9"/>
  <c r="K1502" i="9"/>
  <c r="K1503" i="9"/>
  <c r="K1504" i="9"/>
  <c r="K1505" i="9"/>
  <c r="K1506" i="9"/>
  <c r="K1507" i="9"/>
  <c r="K1508" i="9"/>
  <c r="K1509" i="9"/>
  <c r="K1510" i="9"/>
  <c r="K1511" i="9"/>
  <c r="K1512" i="9"/>
  <c r="K1513" i="9"/>
  <c r="K1514"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J298" i="9"/>
  <c r="J299" i="9"/>
  <c r="J300" i="9"/>
  <c r="J301" i="9"/>
  <c r="J302" i="9"/>
  <c r="J303" i="9"/>
  <c r="J304" i="9"/>
  <c r="J305" i="9"/>
  <c r="J306" i="9"/>
  <c r="J307" i="9"/>
  <c r="J308" i="9"/>
  <c r="J309" i="9"/>
  <c r="J310" i="9"/>
  <c r="J311" i="9"/>
  <c r="J312" i="9"/>
  <c r="J313"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2" i="9"/>
  <c r="J343" i="9"/>
  <c r="J344" i="9"/>
  <c r="J345" i="9"/>
  <c r="J346" i="9"/>
  <c r="J347" i="9"/>
  <c r="J348" i="9"/>
  <c r="J349" i="9"/>
  <c r="J350" i="9"/>
  <c r="J351" i="9"/>
  <c r="J352" i="9"/>
  <c r="J353" i="9"/>
  <c r="J354" i="9"/>
  <c r="J355" i="9"/>
  <c r="J356" i="9"/>
  <c r="J357" i="9"/>
  <c r="J358" i="9"/>
  <c r="J359" i="9"/>
  <c r="J360" i="9"/>
  <c r="J361" i="9"/>
  <c r="J362" i="9"/>
  <c r="J363" i="9"/>
  <c r="J364" i="9"/>
  <c r="J365" i="9"/>
  <c r="J366" i="9"/>
  <c r="J367" i="9"/>
  <c r="J368" i="9"/>
  <c r="J369" i="9"/>
  <c r="J370" i="9"/>
  <c r="J371" i="9"/>
  <c r="J372" i="9"/>
  <c r="J373" i="9"/>
  <c r="J374" i="9"/>
  <c r="J375" i="9"/>
  <c r="J376" i="9"/>
  <c r="J377" i="9"/>
  <c r="J378" i="9"/>
  <c r="J379" i="9"/>
  <c r="J380" i="9"/>
  <c r="J381" i="9"/>
  <c r="J382" i="9"/>
  <c r="J383" i="9"/>
  <c r="J384" i="9"/>
  <c r="J385" i="9"/>
  <c r="J386" i="9"/>
  <c r="J387" i="9"/>
  <c r="J388" i="9"/>
  <c r="J389" i="9"/>
  <c r="J390" i="9"/>
  <c r="J391" i="9"/>
  <c r="J392" i="9"/>
  <c r="J393" i="9"/>
  <c r="J394" i="9"/>
  <c r="J395" i="9"/>
  <c r="J396" i="9"/>
  <c r="J397" i="9"/>
  <c r="J398" i="9"/>
  <c r="J399" i="9"/>
  <c r="J400" i="9"/>
  <c r="J401" i="9"/>
  <c r="J402" i="9"/>
  <c r="J403" i="9"/>
  <c r="J404" i="9"/>
  <c r="J405" i="9"/>
  <c r="J406" i="9"/>
  <c r="J407" i="9"/>
  <c r="J408" i="9"/>
  <c r="J409" i="9"/>
  <c r="J410" i="9"/>
  <c r="J411" i="9"/>
  <c r="J412" i="9"/>
  <c r="J413" i="9"/>
  <c r="J414" i="9"/>
  <c r="J415" i="9"/>
  <c r="J416" i="9"/>
  <c r="J417" i="9"/>
  <c r="J418" i="9"/>
  <c r="J419" i="9"/>
  <c r="J420" i="9"/>
  <c r="J421" i="9"/>
  <c r="J422" i="9"/>
  <c r="J423" i="9"/>
  <c r="J424" i="9"/>
  <c r="J425" i="9"/>
  <c r="J426" i="9"/>
  <c r="J427" i="9"/>
  <c r="J428" i="9"/>
  <c r="J429" i="9"/>
  <c r="J430" i="9"/>
  <c r="J431" i="9"/>
  <c r="J432" i="9"/>
  <c r="J433" i="9"/>
  <c r="J434" i="9"/>
  <c r="J435" i="9"/>
  <c r="J436" i="9"/>
  <c r="J437" i="9"/>
  <c r="J438" i="9"/>
  <c r="J439" i="9"/>
  <c r="J440" i="9"/>
  <c r="J441" i="9"/>
  <c r="J442" i="9"/>
  <c r="J443" i="9"/>
  <c r="J444" i="9"/>
  <c r="J445" i="9"/>
  <c r="J446" i="9"/>
  <c r="J447" i="9"/>
  <c r="J448" i="9"/>
  <c r="J449" i="9"/>
  <c r="J450" i="9"/>
  <c r="J451" i="9"/>
  <c r="J452" i="9"/>
  <c r="J453" i="9"/>
  <c r="J454" i="9"/>
  <c r="J455" i="9"/>
  <c r="J456" i="9"/>
  <c r="J457" i="9"/>
  <c r="J458" i="9"/>
  <c r="J459" i="9"/>
  <c r="J460" i="9"/>
  <c r="J461" i="9"/>
  <c r="J462" i="9"/>
  <c r="J463" i="9"/>
  <c r="J464" i="9"/>
  <c r="J465" i="9"/>
  <c r="J466" i="9"/>
  <c r="J467" i="9"/>
  <c r="J468" i="9"/>
  <c r="J469" i="9"/>
  <c r="J470" i="9"/>
  <c r="J471" i="9"/>
  <c r="J472" i="9"/>
  <c r="J473" i="9"/>
  <c r="J474" i="9"/>
  <c r="J475" i="9"/>
  <c r="J476" i="9"/>
  <c r="J477" i="9"/>
  <c r="J478" i="9"/>
  <c r="J479" i="9"/>
  <c r="J480" i="9"/>
  <c r="J481" i="9"/>
  <c r="J482" i="9"/>
  <c r="J483" i="9"/>
  <c r="J484" i="9"/>
  <c r="J485" i="9"/>
  <c r="J486" i="9"/>
  <c r="J487" i="9"/>
  <c r="J488" i="9"/>
  <c r="J489" i="9"/>
  <c r="J490" i="9"/>
  <c r="J491" i="9"/>
  <c r="J492" i="9"/>
  <c r="J493" i="9"/>
  <c r="J494" i="9"/>
  <c r="J495" i="9"/>
  <c r="J496" i="9"/>
  <c r="J497" i="9"/>
  <c r="J498" i="9"/>
  <c r="J499" i="9"/>
  <c r="J500" i="9"/>
  <c r="J501" i="9"/>
  <c r="J502" i="9"/>
  <c r="J503" i="9"/>
  <c r="J504" i="9"/>
  <c r="J505" i="9"/>
  <c r="J506" i="9"/>
  <c r="J507" i="9"/>
  <c r="J508" i="9"/>
  <c r="J509" i="9"/>
  <c r="J510" i="9"/>
  <c r="J511" i="9"/>
  <c r="J512" i="9"/>
  <c r="J513" i="9"/>
  <c r="J514" i="9"/>
  <c r="J515" i="9"/>
  <c r="J516" i="9"/>
  <c r="J517" i="9"/>
  <c r="J518" i="9"/>
  <c r="J519" i="9"/>
  <c r="J520" i="9"/>
  <c r="J521" i="9"/>
  <c r="J522" i="9"/>
  <c r="J523" i="9"/>
  <c r="J524" i="9"/>
  <c r="J525" i="9"/>
  <c r="J526" i="9"/>
  <c r="J527" i="9"/>
  <c r="J528" i="9"/>
  <c r="J529" i="9"/>
  <c r="J530" i="9"/>
  <c r="J531" i="9"/>
  <c r="J532" i="9"/>
  <c r="J533" i="9"/>
  <c r="J534" i="9"/>
  <c r="J535" i="9"/>
  <c r="J536" i="9"/>
  <c r="J537" i="9"/>
  <c r="J538" i="9"/>
  <c r="J539" i="9"/>
  <c r="J540" i="9"/>
  <c r="J541" i="9"/>
  <c r="J542" i="9"/>
  <c r="J543" i="9"/>
  <c r="J544" i="9"/>
  <c r="J545" i="9"/>
  <c r="J546" i="9"/>
  <c r="J547" i="9"/>
  <c r="J548" i="9"/>
  <c r="J549" i="9"/>
  <c r="J550" i="9"/>
  <c r="J551" i="9"/>
  <c r="J552" i="9"/>
  <c r="J553" i="9"/>
  <c r="J554" i="9"/>
  <c r="J555" i="9"/>
  <c r="J556" i="9"/>
  <c r="J557" i="9"/>
  <c r="J558" i="9"/>
  <c r="J559" i="9"/>
  <c r="J560" i="9"/>
  <c r="J561" i="9"/>
  <c r="J562" i="9"/>
  <c r="J563" i="9"/>
  <c r="J564" i="9"/>
  <c r="J565" i="9"/>
  <c r="J566" i="9"/>
  <c r="J567" i="9"/>
  <c r="J568" i="9"/>
  <c r="J569" i="9"/>
  <c r="J570" i="9"/>
  <c r="J571" i="9"/>
  <c r="J572" i="9"/>
  <c r="J573" i="9"/>
  <c r="J574" i="9"/>
  <c r="J575" i="9"/>
  <c r="J576" i="9"/>
  <c r="J577" i="9"/>
  <c r="J578" i="9"/>
  <c r="J579" i="9"/>
  <c r="J580" i="9"/>
  <c r="J581" i="9"/>
  <c r="J582" i="9"/>
  <c r="J583" i="9"/>
  <c r="J584" i="9"/>
  <c r="J585" i="9"/>
  <c r="J586" i="9"/>
  <c r="J587" i="9"/>
  <c r="J588" i="9"/>
  <c r="J589" i="9"/>
  <c r="J590" i="9"/>
  <c r="J591" i="9"/>
  <c r="J592" i="9"/>
  <c r="J593" i="9"/>
  <c r="J594" i="9"/>
  <c r="J595" i="9"/>
  <c r="J596" i="9"/>
  <c r="J597" i="9"/>
  <c r="J598" i="9"/>
  <c r="J599" i="9"/>
  <c r="J600" i="9"/>
  <c r="J601" i="9"/>
  <c r="J602" i="9"/>
  <c r="J603" i="9"/>
  <c r="J604" i="9"/>
  <c r="J605" i="9"/>
  <c r="J606" i="9"/>
  <c r="J607" i="9"/>
  <c r="J608" i="9"/>
  <c r="J609" i="9"/>
  <c r="J610" i="9"/>
  <c r="J611" i="9"/>
  <c r="J612" i="9"/>
  <c r="J613" i="9"/>
  <c r="J614" i="9"/>
  <c r="J615" i="9"/>
  <c r="J616" i="9"/>
  <c r="J617" i="9"/>
  <c r="J618" i="9"/>
  <c r="J619" i="9"/>
  <c r="J620" i="9"/>
  <c r="J621" i="9"/>
  <c r="J622" i="9"/>
  <c r="J623" i="9"/>
  <c r="J624" i="9"/>
  <c r="J625" i="9"/>
  <c r="J626" i="9"/>
  <c r="J627" i="9"/>
  <c r="J628" i="9"/>
  <c r="J629" i="9"/>
  <c r="J630" i="9"/>
  <c r="J631" i="9"/>
  <c r="J632" i="9"/>
  <c r="J633" i="9"/>
  <c r="J634" i="9"/>
  <c r="J635" i="9"/>
  <c r="J636" i="9"/>
  <c r="J637" i="9"/>
  <c r="J638" i="9"/>
  <c r="J639" i="9"/>
  <c r="J640" i="9"/>
  <c r="J641" i="9"/>
  <c r="J642" i="9"/>
  <c r="J643" i="9"/>
  <c r="J644" i="9"/>
  <c r="J645" i="9"/>
  <c r="J646" i="9"/>
  <c r="J647" i="9"/>
  <c r="J648" i="9"/>
  <c r="J649" i="9"/>
  <c r="J650" i="9"/>
  <c r="J651" i="9"/>
  <c r="J652" i="9"/>
  <c r="J653" i="9"/>
  <c r="J654" i="9"/>
  <c r="J655" i="9"/>
  <c r="J656" i="9"/>
  <c r="J657" i="9"/>
  <c r="J658" i="9"/>
  <c r="J659" i="9"/>
  <c r="J660" i="9"/>
  <c r="J661" i="9"/>
  <c r="J662" i="9"/>
  <c r="J663" i="9"/>
  <c r="J664" i="9"/>
  <c r="J665" i="9"/>
  <c r="J666" i="9"/>
  <c r="J667" i="9"/>
  <c r="J668" i="9"/>
  <c r="J669" i="9"/>
  <c r="J670" i="9"/>
  <c r="J671" i="9"/>
  <c r="J672" i="9"/>
  <c r="J673" i="9"/>
  <c r="J674" i="9"/>
  <c r="J675" i="9"/>
  <c r="J676" i="9"/>
  <c r="J677" i="9"/>
  <c r="J678" i="9"/>
  <c r="J679" i="9"/>
  <c r="J680" i="9"/>
  <c r="J681" i="9"/>
  <c r="J682" i="9"/>
  <c r="J683" i="9"/>
  <c r="J684" i="9"/>
  <c r="J685" i="9"/>
  <c r="J686" i="9"/>
  <c r="J687" i="9"/>
  <c r="J688" i="9"/>
  <c r="J689" i="9"/>
  <c r="J690" i="9"/>
  <c r="J691" i="9"/>
  <c r="J692" i="9"/>
  <c r="J693" i="9"/>
  <c r="J694" i="9"/>
  <c r="J695" i="9"/>
  <c r="J696" i="9"/>
  <c r="J697" i="9"/>
  <c r="J698" i="9"/>
  <c r="J699" i="9"/>
  <c r="J700" i="9"/>
  <c r="J701" i="9"/>
  <c r="J702" i="9"/>
  <c r="J703" i="9"/>
  <c r="J704" i="9"/>
  <c r="J705" i="9"/>
  <c r="J706" i="9"/>
  <c r="J707" i="9"/>
  <c r="J708" i="9"/>
  <c r="J709" i="9"/>
  <c r="J710" i="9"/>
  <c r="J711" i="9"/>
  <c r="J712" i="9"/>
  <c r="J713" i="9"/>
  <c r="J714" i="9"/>
  <c r="J715" i="9"/>
  <c r="J716" i="9"/>
  <c r="J717" i="9"/>
  <c r="J718" i="9"/>
  <c r="J719" i="9"/>
  <c r="J720" i="9"/>
  <c r="J721" i="9"/>
  <c r="J722" i="9"/>
  <c r="J723" i="9"/>
  <c r="J724" i="9"/>
  <c r="J725" i="9"/>
  <c r="J726" i="9"/>
  <c r="J727" i="9"/>
  <c r="J728" i="9"/>
  <c r="J729" i="9"/>
  <c r="J730" i="9"/>
  <c r="J731" i="9"/>
  <c r="J732" i="9"/>
  <c r="J733" i="9"/>
  <c r="J734" i="9"/>
  <c r="J735" i="9"/>
  <c r="J736" i="9"/>
  <c r="J737" i="9"/>
  <c r="J738" i="9"/>
  <c r="J739" i="9"/>
  <c r="J740" i="9"/>
  <c r="J741" i="9"/>
  <c r="J742" i="9"/>
  <c r="J743" i="9"/>
  <c r="J744" i="9"/>
  <c r="J745" i="9"/>
  <c r="J746" i="9"/>
  <c r="J747" i="9"/>
  <c r="J748" i="9"/>
  <c r="J749" i="9"/>
  <c r="J750" i="9"/>
  <c r="J751" i="9"/>
  <c r="J752" i="9"/>
  <c r="J753" i="9"/>
  <c r="J754" i="9"/>
  <c r="J755" i="9"/>
  <c r="J756" i="9"/>
  <c r="J757" i="9"/>
  <c r="J758" i="9"/>
  <c r="J759" i="9"/>
  <c r="J760" i="9"/>
  <c r="J761" i="9"/>
  <c r="J762" i="9"/>
  <c r="J763" i="9"/>
  <c r="J764" i="9"/>
  <c r="J765" i="9"/>
  <c r="J766" i="9"/>
  <c r="J767" i="9"/>
  <c r="J768" i="9"/>
  <c r="J769" i="9"/>
  <c r="J770" i="9"/>
  <c r="J771" i="9"/>
  <c r="J772" i="9"/>
  <c r="J773" i="9"/>
  <c r="J774" i="9"/>
  <c r="J775" i="9"/>
  <c r="J776" i="9"/>
  <c r="J777" i="9"/>
  <c r="J778" i="9"/>
  <c r="J779" i="9"/>
  <c r="J780" i="9"/>
  <c r="J781" i="9"/>
  <c r="J782" i="9"/>
  <c r="J783" i="9"/>
  <c r="J784" i="9"/>
  <c r="J785" i="9"/>
  <c r="J786" i="9"/>
  <c r="J787" i="9"/>
  <c r="J788" i="9"/>
  <c r="J789" i="9"/>
  <c r="J790" i="9"/>
  <c r="J791" i="9"/>
  <c r="J792" i="9"/>
  <c r="J793" i="9"/>
  <c r="J794" i="9"/>
  <c r="J795" i="9"/>
  <c r="J796" i="9"/>
  <c r="J797" i="9"/>
  <c r="J798" i="9"/>
  <c r="J799" i="9"/>
  <c r="J800" i="9"/>
  <c r="J801" i="9"/>
  <c r="J802" i="9"/>
  <c r="J803" i="9"/>
  <c r="J804" i="9"/>
  <c r="J805" i="9"/>
  <c r="J806" i="9"/>
  <c r="J807" i="9"/>
  <c r="J808" i="9"/>
  <c r="J809" i="9"/>
  <c r="J810" i="9"/>
  <c r="J811" i="9"/>
  <c r="J812" i="9"/>
  <c r="J813" i="9"/>
  <c r="J814" i="9"/>
  <c r="J815" i="9"/>
  <c r="J816" i="9"/>
  <c r="J817" i="9"/>
  <c r="J818" i="9"/>
  <c r="J819" i="9"/>
  <c r="J820" i="9"/>
  <c r="J821" i="9"/>
  <c r="J822" i="9"/>
  <c r="J823" i="9"/>
  <c r="J824" i="9"/>
  <c r="J825" i="9"/>
  <c r="J826" i="9"/>
  <c r="J827" i="9"/>
  <c r="J828" i="9"/>
  <c r="J829" i="9"/>
  <c r="J830" i="9"/>
  <c r="J831" i="9"/>
  <c r="J832" i="9"/>
  <c r="J833" i="9"/>
  <c r="J834" i="9"/>
  <c r="J835" i="9"/>
  <c r="J836" i="9"/>
  <c r="J837" i="9"/>
  <c r="J838" i="9"/>
  <c r="J839" i="9"/>
  <c r="J840" i="9"/>
  <c r="J841" i="9"/>
  <c r="J842" i="9"/>
  <c r="J843" i="9"/>
  <c r="J844" i="9"/>
  <c r="J845" i="9"/>
  <c r="J846" i="9"/>
  <c r="J847" i="9"/>
  <c r="J848" i="9"/>
  <c r="J849" i="9"/>
  <c r="J850" i="9"/>
  <c r="J851" i="9"/>
  <c r="J852" i="9"/>
  <c r="J853" i="9"/>
  <c r="J854" i="9"/>
  <c r="J855" i="9"/>
  <c r="J856" i="9"/>
  <c r="J857" i="9"/>
  <c r="J858" i="9"/>
  <c r="J859" i="9"/>
  <c r="J860" i="9"/>
  <c r="J861" i="9"/>
  <c r="J862" i="9"/>
  <c r="J863" i="9"/>
  <c r="J864" i="9"/>
  <c r="J865" i="9"/>
  <c r="J866" i="9"/>
  <c r="J867" i="9"/>
  <c r="J868" i="9"/>
  <c r="J869" i="9"/>
  <c r="J870" i="9"/>
  <c r="J871" i="9"/>
  <c r="J872" i="9"/>
  <c r="J873" i="9"/>
  <c r="J874" i="9"/>
  <c r="J875" i="9"/>
  <c r="J876" i="9"/>
  <c r="J877" i="9"/>
  <c r="J878" i="9"/>
  <c r="J879" i="9"/>
  <c r="J880" i="9"/>
  <c r="J881" i="9"/>
  <c r="J882" i="9"/>
  <c r="J883" i="9"/>
  <c r="J884" i="9"/>
  <c r="J885" i="9"/>
  <c r="J886" i="9"/>
  <c r="J887" i="9"/>
  <c r="J888" i="9"/>
  <c r="J889" i="9"/>
  <c r="J890" i="9"/>
  <c r="J891" i="9"/>
  <c r="J892" i="9"/>
  <c r="J893" i="9"/>
  <c r="J894" i="9"/>
  <c r="J895" i="9"/>
  <c r="J896" i="9"/>
  <c r="J897" i="9"/>
  <c r="J898" i="9"/>
  <c r="J899" i="9"/>
  <c r="J900" i="9"/>
  <c r="J901" i="9"/>
  <c r="J902" i="9"/>
  <c r="J903" i="9"/>
  <c r="J904" i="9"/>
  <c r="J905" i="9"/>
  <c r="J906" i="9"/>
  <c r="J907" i="9"/>
  <c r="J908" i="9"/>
  <c r="J909" i="9"/>
  <c r="J910" i="9"/>
  <c r="J911" i="9"/>
  <c r="J912" i="9"/>
  <c r="J913" i="9"/>
  <c r="J914" i="9"/>
  <c r="J915" i="9"/>
  <c r="J916" i="9"/>
  <c r="J917" i="9"/>
  <c r="J918" i="9"/>
  <c r="J919" i="9"/>
  <c r="J920" i="9"/>
  <c r="J921" i="9"/>
  <c r="J922" i="9"/>
  <c r="J923" i="9"/>
  <c r="J924" i="9"/>
  <c r="J925" i="9"/>
  <c r="J926" i="9"/>
  <c r="J927" i="9"/>
  <c r="J928" i="9"/>
  <c r="J929" i="9"/>
  <c r="J930" i="9"/>
  <c r="J931" i="9"/>
  <c r="J932" i="9"/>
  <c r="J933" i="9"/>
  <c r="J934" i="9"/>
  <c r="J935" i="9"/>
  <c r="J936" i="9"/>
  <c r="J937" i="9"/>
  <c r="J938" i="9"/>
  <c r="J939" i="9"/>
  <c r="J940" i="9"/>
  <c r="J941" i="9"/>
  <c r="J942" i="9"/>
  <c r="J943" i="9"/>
  <c r="J944" i="9"/>
  <c r="J945" i="9"/>
  <c r="J946" i="9"/>
  <c r="J947" i="9"/>
  <c r="J948" i="9"/>
  <c r="J949" i="9"/>
  <c r="J950" i="9"/>
  <c r="J951" i="9"/>
  <c r="J952" i="9"/>
  <c r="J953" i="9"/>
  <c r="J954" i="9"/>
  <c r="J955" i="9"/>
  <c r="J956" i="9"/>
  <c r="J957" i="9"/>
  <c r="J958" i="9"/>
  <c r="J959" i="9"/>
  <c r="J960" i="9"/>
  <c r="J961" i="9"/>
  <c r="J962" i="9"/>
  <c r="J963" i="9"/>
  <c r="J964" i="9"/>
  <c r="J965" i="9"/>
  <c r="J966" i="9"/>
  <c r="J967" i="9"/>
  <c r="J968" i="9"/>
  <c r="J969" i="9"/>
  <c r="J970" i="9"/>
  <c r="J971" i="9"/>
  <c r="J972" i="9"/>
  <c r="J973" i="9"/>
  <c r="J974" i="9"/>
  <c r="J975" i="9"/>
  <c r="J976" i="9"/>
  <c r="J977" i="9"/>
  <c r="J978" i="9"/>
  <c r="J979" i="9"/>
  <c r="J980" i="9"/>
  <c r="J981" i="9"/>
  <c r="J982" i="9"/>
  <c r="J983" i="9"/>
  <c r="J984" i="9"/>
  <c r="J985" i="9"/>
  <c r="J986" i="9"/>
  <c r="J987" i="9"/>
  <c r="J988" i="9"/>
  <c r="J989" i="9"/>
  <c r="J990" i="9"/>
  <c r="J991" i="9"/>
  <c r="J992" i="9"/>
  <c r="J993" i="9"/>
  <c r="J994" i="9"/>
  <c r="J995" i="9"/>
  <c r="J996" i="9"/>
  <c r="J997" i="9"/>
  <c r="J998" i="9"/>
  <c r="J999" i="9"/>
  <c r="J1000" i="9"/>
  <c r="J1001" i="9"/>
  <c r="J1002" i="9"/>
  <c r="J1003" i="9"/>
  <c r="J1004" i="9"/>
  <c r="J1005" i="9"/>
  <c r="J1006" i="9"/>
  <c r="J1007" i="9"/>
  <c r="J1008" i="9"/>
  <c r="J1009" i="9"/>
  <c r="J1010" i="9"/>
  <c r="J1011" i="9"/>
  <c r="J1012" i="9"/>
  <c r="J1013" i="9"/>
  <c r="J1014" i="9"/>
  <c r="J1015" i="9"/>
  <c r="J1016" i="9"/>
  <c r="J1017" i="9"/>
  <c r="J1018" i="9"/>
  <c r="J1019" i="9"/>
  <c r="J1020" i="9"/>
  <c r="J1021" i="9"/>
  <c r="J1022" i="9"/>
  <c r="J1023" i="9"/>
  <c r="J1024" i="9"/>
  <c r="J1025" i="9"/>
  <c r="J1026" i="9"/>
  <c r="J1027" i="9"/>
  <c r="J1028" i="9"/>
  <c r="J1029" i="9"/>
  <c r="J1030" i="9"/>
  <c r="J1031" i="9"/>
  <c r="J1032" i="9"/>
  <c r="J1033" i="9"/>
  <c r="J1034" i="9"/>
  <c r="J1035" i="9"/>
  <c r="J1036" i="9"/>
  <c r="J1037" i="9"/>
  <c r="J1038" i="9"/>
  <c r="J1039" i="9"/>
  <c r="J1040" i="9"/>
  <c r="J1041" i="9"/>
  <c r="J1042" i="9"/>
  <c r="J1043" i="9"/>
  <c r="J1044" i="9"/>
  <c r="J1045" i="9"/>
  <c r="J1046" i="9"/>
  <c r="J1047" i="9"/>
  <c r="J1048" i="9"/>
  <c r="J1049" i="9"/>
  <c r="J1050" i="9"/>
  <c r="J1051" i="9"/>
  <c r="J1052" i="9"/>
  <c r="J1053" i="9"/>
  <c r="J1054" i="9"/>
  <c r="J1055" i="9"/>
  <c r="J1056" i="9"/>
  <c r="J1057" i="9"/>
  <c r="J1058" i="9"/>
  <c r="J1059" i="9"/>
  <c r="J1060" i="9"/>
  <c r="J1061" i="9"/>
  <c r="J1062" i="9"/>
  <c r="J1063" i="9"/>
  <c r="J1064" i="9"/>
  <c r="J1065" i="9"/>
  <c r="J1066" i="9"/>
  <c r="J1067" i="9"/>
  <c r="J1068" i="9"/>
  <c r="J1069" i="9"/>
  <c r="J1070" i="9"/>
  <c r="J1071" i="9"/>
  <c r="J1072" i="9"/>
  <c r="J1073" i="9"/>
  <c r="J1074" i="9"/>
  <c r="J1075" i="9"/>
  <c r="J1076" i="9"/>
  <c r="J1077" i="9"/>
  <c r="J1078" i="9"/>
  <c r="J1079" i="9"/>
  <c r="J1080" i="9"/>
  <c r="J1081" i="9"/>
  <c r="J1082" i="9"/>
  <c r="J1083" i="9"/>
  <c r="J1084" i="9"/>
  <c r="J1085" i="9"/>
  <c r="J1086" i="9"/>
  <c r="J1087" i="9"/>
  <c r="J1088" i="9"/>
  <c r="J1089" i="9"/>
  <c r="J1090" i="9"/>
  <c r="J1091" i="9"/>
  <c r="J1092" i="9"/>
  <c r="J1093" i="9"/>
  <c r="J1094" i="9"/>
  <c r="J1095" i="9"/>
  <c r="J1096" i="9"/>
  <c r="J1097" i="9"/>
  <c r="J1098" i="9"/>
  <c r="J1099" i="9"/>
  <c r="J1100" i="9"/>
  <c r="J1101" i="9"/>
  <c r="J1102" i="9"/>
  <c r="J1103" i="9"/>
  <c r="J1104" i="9"/>
  <c r="J1105" i="9"/>
  <c r="J1106" i="9"/>
  <c r="J1107" i="9"/>
  <c r="J1108" i="9"/>
  <c r="J1109" i="9"/>
  <c r="J1110" i="9"/>
  <c r="J1111" i="9"/>
  <c r="J1112" i="9"/>
  <c r="J1113" i="9"/>
  <c r="J1114" i="9"/>
  <c r="J1115" i="9"/>
  <c r="J1116" i="9"/>
  <c r="J1117" i="9"/>
  <c r="J1118" i="9"/>
  <c r="J1119" i="9"/>
  <c r="J1120" i="9"/>
  <c r="J1121" i="9"/>
  <c r="J1122" i="9"/>
  <c r="J1123" i="9"/>
  <c r="J1124" i="9"/>
  <c r="J1125" i="9"/>
  <c r="J1126" i="9"/>
  <c r="J1127" i="9"/>
  <c r="J1128" i="9"/>
  <c r="J1129" i="9"/>
  <c r="J1130" i="9"/>
  <c r="J1131" i="9"/>
  <c r="J1132" i="9"/>
  <c r="J1133" i="9"/>
  <c r="J1134" i="9"/>
  <c r="J1135" i="9"/>
  <c r="J1136" i="9"/>
  <c r="J1137" i="9"/>
  <c r="J1138" i="9"/>
  <c r="J1139" i="9"/>
  <c r="J1140" i="9"/>
  <c r="J1141" i="9"/>
  <c r="J1142" i="9"/>
  <c r="J1143" i="9"/>
  <c r="J1144" i="9"/>
  <c r="J1145" i="9"/>
  <c r="J1146" i="9"/>
  <c r="J1147" i="9"/>
  <c r="J1148" i="9"/>
  <c r="J1149" i="9"/>
  <c r="J1150" i="9"/>
  <c r="J1151" i="9"/>
  <c r="J1152" i="9"/>
  <c r="J1153" i="9"/>
  <c r="J1154" i="9"/>
  <c r="J1155" i="9"/>
  <c r="J1156" i="9"/>
  <c r="J1157" i="9"/>
  <c r="J1158" i="9"/>
  <c r="J1159" i="9"/>
  <c r="J1160" i="9"/>
  <c r="J1161" i="9"/>
  <c r="J1162" i="9"/>
  <c r="J1163" i="9"/>
  <c r="J1164" i="9"/>
  <c r="J1165" i="9"/>
  <c r="J1166" i="9"/>
  <c r="J1167" i="9"/>
  <c r="J1168" i="9"/>
  <c r="J1169" i="9"/>
  <c r="J1170" i="9"/>
  <c r="J1171" i="9"/>
  <c r="J1172" i="9"/>
  <c r="J1173" i="9"/>
  <c r="J1174" i="9"/>
  <c r="J1175" i="9"/>
  <c r="J1176" i="9"/>
  <c r="J1177" i="9"/>
  <c r="J1178" i="9"/>
  <c r="J1179" i="9"/>
  <c r="J1180" i="9"/>
  <c r="J1181" i="9"/>
  <c r="J1182" i="9"/>
  <c r="J1183" i="9"/>
  <c r="J1184" i="9"/>
  <c r="J1185" i="9"/>
  <c r="J1186" i="9"/>
  <c r="J1187" i="9"/>
  <c r="J1188" i="9"/>
  <c r="J1189" i="9"/>
  <c r="J1190" i="9"/>
  <c r="J1191" i="9"/>
  <c r="J1192" i="9"/>
  <c r="J1193" i="9"/>
  <c r="J1194" i="9"/>
  <c r="J1195" i="9"/>
  <c r="J1196" i="9"/>
  <c r="J1197" i="9"/>
  <c r="J1198" i="9"/>
  <c r="J1199" i="9"/>
  <c r="J1200" i="9"/>
  <c r="J1201" i="9"/>
  <c r="J1202" i="9"/>
  <c r="J1203" i="9"/>
  <c r="J1204" i="9"/>
  <c r="J1205" i="9"/>
  <c r="J1206" i="9"/>
  <c r="J1207" i="9"/>
  <c r="J1208" i="9"/>
  <c r="J1209" i="9"/>
  <c r="J1210" i="9"/>
  <c r="J1211" i="9"/>
  <c r="J1212" i="9"/>
  <c r="J1213" i="9"/>
  <c r="J1214" i="9"/>
  <c r="J1215" i="9"/>
  <c r="J1216" i="9"/>
  <c r="J1217" i="9"/>
  <c r="J1218" i="9"/>
  <c r="J1219" i="9"/>
  <c r="J1220" i="9"/>
  <c r="J1221" i="9"/>
  <c r="J1222" i="9"/>
  <c r="J1223" i="9"/>
  <c r="J1224" i="9"/>
  <c r="J1225" i="9"/>
  <c r="J1226" i="9"/>
  <c r="J1227" i="9"/>
  <c r="J1228" i="9"/>
  <c r="J1229" i="9"/>
  <c r="J1230" i="9"/>
  <c r="J1231" i="9"/>
  <c r="J1232" i="9"/>
  <c r="J1233" i="9"/>
  <c r="J1234" i="9"/>
  <c r="J1235" i="9"/>
  <c r="J1236" i="9"/>
  <c r="J1237" i="9"/>
  <c r="J1238" i="9"/>
  <c r="J1239" i="9"/>
  <c r="J1240" i="9"/>
  <c r="J1241" i="9"/>
  <c r="J1242" i="9"/>
  <c r="J1243" i="9"/>
  <c r="J1244" i="9"/>
  <c r="J1245" i="9"/>
  <c r="J1246" i="9"/>
  <c r="J1247" i="9"/>
  <c r="J1248" i="9"/>
  <c r="J1249" i="9"/>
  <c r="J1250" i="9"/>
  <c r="J1251" i="9"/>
  <c r="J1252" i="9"/>
  <c r="J1253" i="9"/>
  <c r="J1254" i="9"/>
  <c r="J1255" i="9"/>
  <c r="J1256" i="9"/>
  <c r="J1257" i="9"/>
  <c r="J1258" i="9"/>
  <c r="J1259" i="9"/>
  <c r="J1260" i="9"/>
  <c r="J1261" i="9"/>
  <c r="J1262" i="9"/>
  <c r="J1263" i="9"/>
  <c r="J1264" i="9"/>
  <c r="J1265" i="9"/>
  <c r="J1266" i="9"/>
  <c r="J1267" i="9"/>
  <c r="J1268" i="9"/>
  <c r="J1269" i="9"/>
  <c r="J1270" i="9"/>
  <c r="J1271" i="9"/>
  <c r="J1272" i="9"/>
  <c r="J1273" i="9"/>
  <c r="J1274" i="9"/>
  <c r="J1275" i="9"/>
  <c r="J1276" i="9"/>
  <c r="J1277" i="9"/>
  <c r="J1278" i="9"/>
  <c r="J1279" i="9"/>
  <c r="J1280" i="9"/>
  <c r="J1281" i="9"/>
  <c r="J1282" i="9"/>
  <c r="J1283" i="9"/>
  <c r="J1284" i="9"/>
  <c r="J1285" i="9"/>
  <c r="J1286" i="9"/>
  <c r="J1287" i="9"/>
  <c r="J1288" i="9"/>
  <c r="J1289" i="9"/>
  <c r="J1290" i="9"/>
  <c r="J1291" i="9"/>
  <c r="J1292" i="9"/>
  <c r="J1293" i="9"/>
  <c r="J1294" i="9"/>
  <c r="J1295" i="9"/>
  <c r="J1296" i="9"/>
  <c r="J1297" i="9"/>
  <c r="J1298" i="9"/>
  <c r="J1299" i="9"/>
  <c r="J1300" i="9"/>
  <c r="J1301" i="9"/>
  <c r="J1302" i="9"/>
  <c r="J1303" i="9"/>
  <c r="J1304" i="9"/>
  <c r="J1305" i="9"/>
  <c r="J1306" i="9"/>
  <c r="J1307" i="9"/>
  <c r="J1308" i="9"/>
  <c r="J1309" i="9"/>
  <c r="J1310" i="9"/>
  <c r="J1311" i="9"/>
  <c r="J1312" i="9"/>
  <c r="J1313" i="9"/>
  <c r="J1314" i="9"/>
  <c r="J1315" i="9"/>
  <c r="J1316" i="9"/>
  <c r="J1317" i="9"/>
  <c r="J1318" i="9"/>
  <c r="J1319" i="9"/>
  <c r="J1320" i="9"/>
  <c r="J1321" i="9"/>
  <c r="J1322" i="9"/>
  <c r="J1323" i="9"/>
  <c r="J1324" i="9"/>
  <c r="J1325" i="9"/>
  <c r="J1326" i="9"/>
  <c r="J1327" i="9"/>
  <c r="J1328" i="9"/>
  <c r="J1329" i="9"/>
  <c r="J1330" i="9"/>
  <c r="J1331" i="9"/>
  <c r="J1332" i="9"/>
  <c r="J1333" i="9"/>
  <c r="J1334" i="9"/>
  <c r="J1335" i="9"/>
  <c r="J1336" i="9"/>
  <c r="J1337" i="9"/>
  <c r="J1338" i="9"/>
  <c r="J1339" i="9"/>
  <c r="J1340" i="9"/>
  <c r="J1341" i="9"/>
  <c r="J1342" i="9"/>
  <c r="J1343" i="9"/>
  <c r="J1344" i="9"/>
  <c r="J1345" i="9"/>
  <c r="J1346" i="9"/>
  <c r="J1347" i="9"/>
  <c r="J1348" i="9"/>
  <c r="J1349" i="9"/>
  <c r="J1350" i="9"/>
  <c r="J1351" i="9"/>
  <c r="J1352" i="9"/>
  <c r="J1353" i="9"/>
  <c r="J1354" i="9"/>
  <c r="J1355" i="9"/>
  <c r="J1356" i="9"/>
  <c r="J1357" i="9"/>
  <c r="J1358" i="9"/>
  <c r="J1359" i="9"/>
  <c r="J1360" i="9"/>
  <c r="J1361" i="9"/>
  <c r="J1362" i="9"/>
  <c r="J1363" i="9"/>
  <c r="J1364" i="9"/>
  <c r="J1365" i="9"/>
  <c r="J1366" i="9"/>
  <c r="J1367" i="9"/>
  <c r="J1368" i="9"/>
  <c r="J1369" i="9"/>
  <c r="J1370" i="9"/>
  <c r="J1371" i="9"/>
  <c r="J1372" i="9"/>
  <c r="J1373" i="9"/>
  <c r="J1374" i="9"/>
  <c r="J1375" i="9"/>
  <c r="J1376" i="9"/>
  <c r="J1377" i="9"/>
  <c r="J1378" i="9"/>
  <c r="J1379" i="9"/>
  <c r="J1380" i="9"/>
  <c r="J1381" i="9"/>
  <c r="J1382" i="9"/>
  <c r="J1383" i="9"/>
  <c r="J1384" i="9"/>
  <c r="J1385" i="9"/>
  <c r="J1386" i="9"/>
  <c r="J1387" i="9"/>
  <c r="J1388" i="9"/>
  <c r="J1389" i="9"/>
  <c r="J1390" i="9"/>
  <c r="J1391" i="9"/>
  <c r="J1392" i="9"/>
  <c r="J1393" i="9"/>
  <c r="J1394" i="9"/>
  <c r="J1395" i="9"/>
  <c r="J1396" i="9"/>
  <c r="J1397" i="9"/>
  <c r="J1398" i="9"/>
  <c r="J1399" i="9"/>
  <c r="J1400" i="9"/>
  <c r="J1401" i="9"/>
  <c r="J1402" i="9"/>
  <c r="J1403" i="9"/>
  <c r="J1404" i="9"/>
  <c r="J1405" i="9"/>
  <c r="J1406" i="9"/>
  <c r="J1407" i="9"/>
  <c r="J1408" i="9"/>
  <c r="J1409" i="9"/>
  <c r="J1410" i="9"/>
  <c r="J1411" i="9"/>
  <c r="J1412" i="9"/>
  <c r="J1413" i="9"/>
  <c r="J1414" i="9"/>
  <c r="J1415" i="9"/>
  <c r="J1416" i="9"/>
  <c r="J1417" i="9"/>
  <c r="J1418" i="9"/>
  <c r="J1419" i="9"/>
  <c r="J1420" i="9"/>
  <c r="J1421" i="9"/>
  <c r="J1422" i="9"/>
  <c r="J1423" i="9"/>
  <c r="J1424" i="9"/>
  <c r="J1425" i="9"/>
  <c r="J1426" i="9"/>
  <c r="J1427" i="9"/>
  <c r="J1428" i="9"/>
  <c r="J1429" i="9"/>
  <c r="J1430" i="9"/>
  <c r="J1431" i="9"/>
  <c r="J1432" i="9"/>
  <c r="J1433" i="9"/>
  <c r="J1434" i="9"/>
  <c r="J1435" i="9"/>
  <c r="J1436" i="9"/>
  <c r="J1437" i="9"/>
  <c r="J1438" i="9"/>
  <c r="J1439" i="9"/>
  <c r="J1440" i="9"/>
  <c r="J1441" i="9"/>
  <c r="J1442" i="9"/>
  <c r="J1443" i="9"/>
  <c r="J1444" i="9"/>
  <c r="J1445" i="9"/>
  <c r="J1446" i="9"/>
  <c r="J1447" i="9"/>
  <c r="J1448" i="9"/>
  <c r="J1449" i="9"/>
  <c r="J1450" i="9"/>
  <c r="J1451" i="9"/>
  <c r="J1452" i="9"/>
  <c r="J1453" i="9"/>
  <c r="J1454" i="9"/>
  <c r="J1455" i="9"/>
  <c r="J1456" i="9"/>
  <c r="J1457" i="9"/>
  <c r="J1458" i="9"/>
  <c r="J1459" i="9"/>
  <c r="J1460" i="9"/>
  <c r="J1461" i="9"/>
  <c r="J1462" i="9"/>
  <c r="J1463" i="9"/>
  <c r="J1464" i="9"/>
  <c r="J1465" i="9"/>
  <c r="J1466" i="9"/>
  <c r="J1467" i="9"/>
  <c r="J1468" i="9"/>
  <c r="J1469" i="9"/>
  <c r="J1470" i="9"/>
  <c r="J1471" i="9"/>
  <c r="J1472" i="9"/>
  <c r="J1473" i="9"/>
  <c r="J1474" i="9"/>
  <c r="J1475" i="9"/>
  <c r="J1476" i="9"/>
  <c r="J1477" i="9"/>
  <c r="J1478" i="9"/>
  <c r="J1479" i="9"/>
  <c r="J1480" i="9"/>
  <c r="J1481" i="9"/>
  <c r="J1482" i="9"/>
  <c r="J1483" i="9"/>
  <c r="J1484" i="9"/>
  <c r="J1485" i="9"/>
  <c r="J1486" i="9"/>
  <c r="J1487" i="9"/>
  <c r="J1488" i="9"/>
  <c r="J1489" i="9"/>
  <c r="J1490" i="9"/>
  <c r="J1491" i="9"/>
  <c r="J1492" i="9"/>
  <c r="J1493" i="9"/>
  <c r="J1494" i="9"/>
  <c r="J1495" i="9"/>
  <c r="J1496" i="9"/>
  <c r="J1497" i="9"/>
  <c r="J1498" i="9"/>
  <c r="J1499" i="9"/>
  <c r="J1500" i="9"/>
  <c r="J1501" i="9"/>
  <c r="J1502" i="9"/>
  <c r="J1503" i="9"/>
  <c r="J1504" i="9"/>
  <c r="J1505" i="9"/>
  <c r="J1506" i="9"/>
  <c r="J1507" i="9"/>
  <c r="J1508" i="9"/>
  <c r="J1509" i="9"/>
  <c r="J1510" i="9"/>
  <c r="J1511" i="9"/>
  <c r="J1512" i="9"/>
  <c r="J1513" i="9"/>
  <c r="J1514"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0"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191" i="9"/>
  <c r="I192" i="9"/>
  <c r="I193" i="9"/>
  <c r="I194" i="9"/>
  <c r="I195" i="9"/>
  <c r="I196" i="9"/>
  <c r="I197" i="9"/>
  <c r="I198" i="9"/>
  <c r="I199" i="9"/>
  <c r="I200" i="9"/>
  <c r="I201" i="9"/>
  <c r="I202" i="9"/>
  <c r="I203" i="9"/>
  <c r="I204" i="9"/>
  <c r="I205" i="9"/>
  <c r="I206" i="9"/>
  <c r="I207" i="9"/>
  <c r="I208" i="9"/>
  <c r="I209" i="9"/>
  <c r="I210" i="9"/>
  <c r="I211" i="9"/>
  <c r="I212" i="9"/>
  <c r="I213" i="9"/>
  <c r="I214" i="9"/>
  <c r="I215" i="9"/>
  <c r="I216" i="9"/>
  <c r="I217" i="9"/>
  <c r="I218" i="9"/>
  <c r="I219" i="9"/>
  <c r="I220" i="9"/>
  <c r="I221" i="9"/>
  <c r="I222" i="9"/>
  <c r="I223" i="9"/>
  <c r="I224" i="9"/>
  <c r="I225" i="9"/>
  <c r="I226" i="9"/>
  <c r="I227" i="9"/>
  <c r="I228" i="9"/>
  <c r="I229" i="9"/>
  <c r="I230" i="9"/>
  <c r="I231" i="9"/>
  <c r="I232" i="9"/>
  <c r="I233" i="9"/>
  <c r="I234" i="9"/>
  <c r="I235" i="9"/>
  <c r="I236" i="9"/>
  <c r="I237" i="9"/>
  <c r="I238" i="9"/>
  <c r="I239" i="9"/>
  <c r="I240" i="9"/>
  <c r="I241" i="9"/>
  <c r="I242" i="9"/>
  <c r="I243" i="9"/>
  <c r="I244" i="9"/>
  <c r="I245" i="9"/>
  <c r="I246" i="9"/>
  <c r="I247" i="9"/>
  <c r="I248" i="9"/>
  <c r="I249" i="9"/>
  <c r="I250" i="9"/>
  <c r="I251" i="9"/>
  <c r="I252" i="9"/>
  <c r="I253" i="9"/>
  <c r="I254" i="9"/>
  <c r="I255" i="9"/>
  <c r="I256" i="9"/>
  <c r="I257" i="9"/>
  <c r="I258" i="9"/>
  <c r="I259" i="9"/>
  <c r="I260" i="9"/>
  <c r="I261" i="9"/>
  <c r="I262" i="9"/>
  <c r="I263" i="9"/>
  <c r="I264" i="9"/>
  <c r="I265" i="9"/>
  <c r="I266" i="9"/>
  <c r="I267" i="9"/>
  <c r="I268" i="9"/>
  <c r="I269" i="9"/>
  <c r="I270" i="9"/>
  <c r="I271" i="9"/>
  <c r="I272" i="9"/>
  <c r="I273" i="9"/>
  <c r="I274" i="9"/>
  <c r="I275" i="9"/>
  <c r="I276" i="9"/>
  <c r="I277" i="9"/>
  <c r="I278" i="9"/>
  <c r="I279" i="9"/>
  <c r="I280" i="9"/>
  <c r="I281" i="9"/>
  <c r="I282" i="9"/>
  <c r="I283" i="9"/>
  <c r="I284" i="9"/>
  <c r="I285" i="9"/>
  <c r="I286" i="9"/>
  <c r="I287" i="9"/>
  <c r="I288" i="9"/>
  <c r="I289" i="9"/>
  <c r="I290" i="9"/>
  <c r="I291" i="9"/>
  <c r="I292" i="9"/>
  <c r="I293" i="9"/>
  <c r="I294" i="9"/>
  <c r="I295" i="9"/>
  <c r="I296" i="9"/>
  <c r="I297" i="9"/>
  <c r="I298" i="9"/>
  <c r="I299" i="9"/>
  <c r="I300" i="9"/>
  <c r="I301" i="9"/>
  <c r="I302" i="9"/>
  <c r="I303" i="9"/>
  <c r="I304" i="9"/>
  <c r="I305" i="9"/>
  <c r="I306" i="9"/>
  <c r="I307" i="9"/>
  <c r="I308" i="9"/>
  <c r="I309" i="9"/>
  <c r="I310" i="9"/>
  <c r="I311" i="9"/>
  <c r="I312" i="9"/>
  <c r="I313" i="9"/>
  <c r="I314" i="9"/>
  <c r="I315" i="9"/>
  <c r="I316" i="9"/>
  <c r="I317" i="9"/>
  <c r="I318" i="9"/>
  <c r="I319" i="9"/>
  <c r="I320" i="9"/>
  <c r="I321" i="9"/>
  <c r="I322" i="9"/>
  <c r="I323" i="9"/>
  <c r="I324" i="9"/>
  <c r="I325" i="9"/>
  <c r="I326" i="9"/>
  <c r="I327" i="9"/>
  <c r="I328" i="9"/>
  <c r="I329" i="9"/>
  <c r="I330" i="9"/>
  <c r="I331" i="9"/>
  <c r="I332" i="9"/>
  <c r="I333" i="9"/>
  <c r="I334" i="9"/>
  <c r="I335" i="9"/>
  <c r="I336" i="9"/>
  <c r="I337" i="9"/>
  <c r="I338" i="9"/>
  <c r="I339" i="9"/>
  <c r="I340" i="9"/>
  <c r="I341" i="9"/>
  <c r="I342" i="9"/>
  <c r="I343" i="9"/>
  <c r="I344" i="9"/>
  <c r="I345" i="9"/>
  <c r="I346" i="9"/>
  <c r="I347" i="9"/>
  <c r="I348" i="9"/>
  <c r="I349" i="9"/>
  <c r="I350" i="9"/>
  <c r="I351" i="9"/>
  <c r="I352" i="9"/>
  <c r="I353" i="9"/>
  <c r="I354" i="9"/>
  <c r="I355" i="9"/>
  <c r="I356" i="9"/>
  <c r="I357" i="9"/>
  <c r="I358" i="9"/>
  <c r="I359" i="9"/>
  <c r="I360" i="9"/>
  <c r="I361" i="9"/>
  <c r="I362" i="9"/>
  <c r="I363" i="9"/>
  <c r="I364" i="9"/>
  <c r="I365" i="9"/>
  <c r="I366" i="9"/>
  <c r="I367" i="9"/>
  <c r="I368" i="9"/>
  <c r="I369" i="9"/>
  <c r="I370" i="9"/>
  <c r="I371" i="9"/>
  <c r="I372" i="9"/>
  <c r="I373" i="9"/>
  <c r="I374" i="9"/>
  <c r="I375" i="9"/>
  <c r="I376" i="9"/>
  <c r="I377" i="9"/>
  <c r="I378" i="9"/>
  <c r="I379" i="9"/>
  <c r="I380" i="9"/>
  <c r="I381" i="9"/>
  <c r="I382" i="9"/>
  <c r="I383" i="9"/>
  <c r="I384" i="9"/>
  <c r="I385" i="9"/>
  <c r="I386" i="9"/>
  <c r="I387" i="9"/>
  <c r="I388" i="9"/>
  <c r="I389" i="9"/>
  <c r="I390" i="9"/>
  <c r="I391" i="9"/>
  <c r="I392" i="9"/>
  <c r="I393" i="9"/>
  <c r="I394" i="9"/>
  <c r="I395" i="9"/>
  <c r="I396" i="9"/>
  <c r="I397" i="9"/>
  <c r="I398" i="9"/>
  <c r="I399" i="9"/>
  <c r="I400" i="9"/>
  <c r="I401" i="9"/>
  <c r="I402" i="9"/>
  <c r="I403" i="9"/>
  <c r="I404" i="9"/>
  <c r="I405" i="9"/>
  <c r="I406" i="9"/>
  <c r="I407" i="9"/>
  <c r="I408" i="9"/>
  <c r="I409" i="9"/>
  <c r="I410" i="9"/>
  <c r="I411" i="9"/>
  <c r="I412" i="9"/>
  <c r="I413" i="9"/>
  <c r="I414" i="9"/>
  <c r="I415" i="9"/>
  <c r="I416" i="9"/>
  <c r="I417" i="9"/>
  <c r="I418" i="9"/>
  <c r="I419" i="9"/>
  <c r="I420" i="9"/>
  <c r="I421" i="9"/>
  <c r="I422" i="9"/>
  <c r="I423" i="9"/>
  <c r="I424" i="9"/>
  <c r="I425" i="9"/>
  <c r="I426" i="9"/>
  <c r="I427" i="9"/>
  <c r="I428" i="9"/>
  <c r="I429" i="9"/>
  <c r="I430" i="9"/>
  <c r="I431" i="9"/>
  <c r="I432" i="9"/>
  <c r="I433" i="9"/>
  <c r="I434" i="9"/>
  <c r="I435" i="9"/>
  <c r="I436" i="9"/>
  <c r="I437" i="9"/>
  <c r="I438" i="9"/>
  <c r="I439" i="9"/>
  <c r="I440" i="9"/>
  <c r="I441" i="9"/>
  <c r="I442" i="9"/>
  <c r="I443" i="9"/>
  <c r="I444" i="9"/>
  <c r="I445" i="9"/>
  <c r="I446" i="9"/>
  <c r="I447" i="9"/>
  <c r="I448" i="9"/>
  <c r="I449" i="9"/>
  <c r="I450" i="9"/>
  <c r="I451" i="9"/>
  <c r="I452" i="9"/>
  <c r="I453" i="9"/>
  <c r="I454" i="9"/>
  <c r="I455" i="9"/>
  <c r="I456" i="9"/>
  <c r="I457" i="9"/>
  <c r="I458" i="9"/>
  <c r="I459" i="9"/>
  <c r="I460" i="9"/>
  <c r="I461" i="9"/>
  <c r="I462" i="9"/>
  <c r="I463" i="9"/>
  <c r="I464" i="9"/>
  <c r="I465" i="9"/>
  <c r="I466" i="9"/>
  <c r="I467" i="9"/>
  <c r="I468" i="9"/>
  <c r="I469" i="9"/>
  <c r="I470" i="9"/>
  <c r="I471" i="9"/>
  <c r="I472" i="9"/>
  <c r="I473" i="9"/>
  <c r="I474" i="9"/>
  <c r="I475" i="9"/>
  <c r="I476" i="9"/>
  <c r="I477" i="9"/>
  <c r="I478" i="9"/>
  <c r="I479" i="9"/>
  <c r="I480" i="9"/>
  <c r="I481" i="9"/>
  <c r="I482" i="9"/>
  <c r="I483" i="9"/>
  <c r="I484" i="9"/>
  <c r="I485" i="9"/>
  <c r="I486" i="9"/>
  <c r="I487" i="9"/>
  <c r="I488" i="9"/>
  <c r="I489" i="9"/>
  <c r="I490" i="9"/>
  <c r="I491" i="9"/>
  <c r="I492" i="9"/>
  <c r="I493" i="9"/>
  <c r="I494" i="9"/>
  <c r="I495" i="9"/>
  <c r="I496" i="9"/>
  <c r="I497" i="9"/>
  <c r="I498" i="9"/>
  <c r="I499" i="9"/>
  <c r="I500" i="9"/>
  <c r="I501" i="9"/>
  <c r="I502" i="9"/>
  <c r="I503" i="9"/>
  <c r="I504" i="9"/>
  <c r="I505" i="9"/>
  <c r="I506" i="9"/>
  <c r="I507" i="9"/>
  <c r="I508" i="9"/>
  <c r="I509" i="9"/>
  <c r="I510" i="9"/>
  <c r="I511" i="9"/>
  <c r="I512" i="9"/>
  <c r="I513" i="9"/>
  <c r="I514" i="9"/>
  <c r="I515" i="9"/>
  <c r="I516" i="9"/>
  <c r="I517" i="9"/>
  <c r="I518" i="9"/>
  <c r="I519" i="9"/>
  <c r="I520" i="9"/>
  <c r="I521" i="9"/>
  <c r="I522" i="9"/>
  <c r="I523" i="9"/>
  <c r="I524" i="9"/>
  <c r="I525" i="9"/>
  <c r="I526" i="9"/>
  <c r="I527" i="9"/>
  <c r="I528" i="9"/>
  <c r="I529" i="9"/>
  <c r="I530" i="9"/>
  <c r="I531" i="9"/>
  <c r="I532" i="9"/>
  <c r="I533" i="9"/>
  <c r="I534" i="9"/>
  <c r="I535" i="9"/>
  <c r="I536" i="9"/>
  <c r="I537" i="9"/>
  <c r="I538" i="9"/>
  <c r="I539" i="9"/>
  <c r="I540" i="9"/>
  <c r="I541" i="9"/>
  <c r="I542" i="9"/>
  <c r="I543" i="9"/>
  <c r="I544" i="9"/>
  <c r="I545" i="9"/>
  <c r="I546" i="9"/>
  <c r="I547" i="9"/>
  <c r="I548" i="9"/>
  <c r="I549" i="9"/>
  <c r="I550" i="9"/>
  <c r="I551" i="9"/>
  <c r="I552" i="9"/>
  <c r="I553" i="9"/>
  <c r="I554" i="9"/>
  <c r="I555" i="9"/>
  <c r="I556" i="9"/>
  <c r="I557" i="9"/>
  <c r="I558" i="9"/>
  <c r="I559" i="9"/>
  <c r="I560" i="9"/>
  <c r="I561" i="9"/>
  <c r="I562" i="9"/>
  <c r="I563" i="9"/>
  <c r="I564" i="9"/>
  <c r="I565" i="9"/>
  <c r="I566" i="9"/>
  <c r="I567" i="9"/>
  <c r="I568" i="9"/>
  <c r="I569" i="9"/>
  <c r="I570" i="9"/>
  <c r="I571" i="9"/>
  <c r="I572" i="9"/>
  <c r="I573" i="9"/>
  <c r="I574" i="9"/>
  <c r="I575" i="9"/>
  <c r="I576" i="9"/>
  <c r="I577" i="9"/>
  <c r="I578" i="9"/>
  <c r="I579" i="9"/>
  <c r="I580" i="9"/>
  <c r="I581" i="9"/>
  <c r="I582" i="9"/>
  <c r="I583" i="9"/>
  <c r="I584" i="9"/>
  <c r="I585" i="9"/>
  <c r="I586" i="9"/>
  <c r="I587" i="9"/>
  <c r="I588" i="9"/>
  <c r="I589" i="9"/>
  <c r="I590" i="9"/>
  <c r="I591" i="9"/>
  <c r="I592" i="9"/>
  <c r="I593" i="9"/>
  <c r="I594" i="9"/>
  <c r="I595" i="9"/>
  <c r="I596" i="9"/>
  <c r="I597" i="9"/>
  <c r="I598" i="9"/>
  <c r="I599" i="9"/>
  <c r="I600" i="9"/>
  <c r="I601" i="9"/>
  <c r="I602" i="9"/>
  <c r="I603" i="9"/>
  <c r="I604" i="9"/>
  <c r="I605" i="9"/>
  <c r="I606" i="9"/>
  <c r="I607" i="9"/>
  <c r="I608" i="9"/>
  <c r="I609" i="9"/>
  <c r="I610" i="9"/>
  <c r="I611" i="9"/>
  <c r="I612" i="9"/>
  <c r="I613" i="9"/>
  <c r="I614" i="9"/>
  <c r="I615" i="9"/>
  <c r="I616" i="9"/>
  <c r="I617" i="9"/>
  <c r="I618" i="9"/>
  <c r="I619" i="9"/>
  <c r="I620" i="9"/>
  <c r="I621" i="9"/>
  <c r="I622" i="9"/>
  <c r="I623" i="9"/>
  <c r="I624" i="9"/>
  <c r="I625" i="9"/>
  <c r="I626" i="9"/>
  <c r="I627" i="9"/>
  <c r="I628" i="9"/>
  <c r="I629" i="9"/>
  <c r="I630" i="9"/>
  <c r="I631" i="9"/>
  <c r="I632" i="9"/>
  <c r="I633" i="9"/>
  <c r="I634" i="9"/>
  <c r="I635" i="9"/>
  <c r="I636" i="9"/>
  <c r="I637" i="9"/>
  <c r="I638" i="9"/>
  <c r="I639" i="9"/>
  <c r="I640" i="9"/>
  <c r="I641" i="9"/>
  <c r="I642" i="9"/>
  <c r="I643" i="9"/>
  <c r="I644" i="9"/>
  <c r="I645" i="9"/>
  <c r="I646" i="9"/>
  <c r="I647" i="9"/>
  <c r="I648" i="9"/>
  <c r="I649" i="9"/>
  <c r="I650" i="9"/>
  <c r="I651" i="9"/>
  <c r="I652" i="9"/>
  <c r="I653" i="9"/>
  <c r="I654" i="9"/>
  <c r="I655" i="9"/>
  <c r="I656" i="9"/>
  <c r="I657" i="9"/>
  <c r="I658" i="9"/>
  <c r="I659" i="9"/>
  <c r="I660" i="9"/>
  <c r="I661" i="9"/>
  <c r="I662" i="9"/>
  <c r="I663" i="9"/>
  <c r="I664" i="9"/>
  <c r="I665" i="9"/>
  <c r="I666" i="9"/>
  <c r="I667" i="9"/>
  <c r="I668" i="9"/>
  <c r="I669" i="9"/>
  <c r="I670" i="9"/>
  <c r="I671" i="9"/>
  <c r="I672" i="9"/>
  <c r="I673" i="9"/>
  <c r="I674" i="9"/>
  <c r="I675" i="9"/>
  <c r="I676" i="9"/>
  <c r="I677" i="9"/>
  <c r="I678" i="9"/>
  <c r="I679" i="9"/>
  <c r="I680" i="9"/>
  <c r="I681" i="9"/>
  <c r="I682" i="9"/>
  <c r="I683" i="9"/>
  <c r="I684" i="9"/>
  <c r="I685" i="9"/>
  <c r="I686" i="9"/>
  <c r="I687" i="9"/>
  <c r="I688" i="9"/>
  <c r="I689" i="9"/>
  <c r="I690" i="9"/>
  <c r="I691" i="9"/>
  <c r="I692" i="9"/>
  <c r="I693" i="9"/>
  <c r="I694" i="9"/>
  <c r="I695" i="9"/>
  <c r="I696" i="9"/>
  <c r="I697" i="9"/>
  <c r="I698" i="9"/>
  <c r="I699" i="9"/>
  <c r="I700" i="9"/>
  <c r="I701" i="9"/>
  <c r="I702" i="9"/>
  <c r="I703" i="9"/>
  <c r="I704" i="9"/>
  <c r="I705" i="9"/>
  <c r="I706" i="9"/>
  <c r="I707" i="9"/>
  <c r="I708" i="9"/>
  <c r="I709" i="9"/>
  <c r="I710" i="9"/>
  <c r="I711" i="9"/>
  <c r="I712" i="9"/>
  <c r="I713" i="9"/>
  <c r="I714" i="9"/>
  <c r="I715" i="9"/>
  <c r="I716" i="9"/>
  <c r="I717" i="9"/>
  <c r="I718" i="9"/>
  <c r="I719" i="9"/>
  <c r="I720" i="9"/>
  <c r="I721" i="9"/>
  <c r="I722" i="9"/>
  <c r="I723" i="9"/>
  <c r="I724" i="9"/>
  <c r="I725" i="9"/>
  <c r="I726" i="9"/>
  <c r="I727" i="9"/>
  <c r="I728" i="9"/>
  <c r="I729" i="9"/>
  <c r="I730" i="9"/>
  <c r="I731" i="9"/>
  <c r="I732" i="9"/>
  <c r="I733" i="9"/>
  <c r="I734" i="9"/>
  <c r="I735" i="9"/>
  <c r="I736" i="9"/>
  <c r="I737" i="9"/>
  <c r="I738" i="9"/>
  <c r="I739" i="9"/>
  <c r="I740" i="9"/>
  <c r="I741" i="9"/>
  <c r="I742" i="9"/>
  <c r="I743" i="9"/>
  <c r="I744" i="9"/>
  <c r="I745" i="9"/>
  <c r="I746" i="9"/>
  <c r="I747" i="9"/>
  <c r="I748" i="9"/>
  <c r="I749" i="9"/>
  <c r="I750" i="9"/>
  <c r="I751" i="9"/>
  <c r="I752" i="9"/>
  <c r="I753" i="9"/>
  <c r="I754" i="9"/>
  <c r="I755" i="9"/>
  <c r="I756" i="9"/>
  <c r="I757" i="9"/>
  <c r="I758" i="9"/>
  <c r="I759" i="9"/>
  <c r="I760" i="9"/>
  <c r="I761" i="9"/>
  <c r="I762" i="9"/>
  <c r="I763" i="9"/>
  <c r="I764" i="9"/>
  <c r="I765" i="9"/>
  <c r="I766" i="9"/>
  <c r="I767" i="9"/>
  <c r="I768" i="9"/>
  <c r="I769" i="9"/>
  <c r="I770" i="9"/>
  <c r="I771" i="9"/>
  <c r="I772" i="9"/>
  <c r="I773" i="9"/>
  <c r="I774" i="9"/>
  <c r="I775" i="9"/>
  <c r="I776" i="9"/>
  <c r="I777" i="9"/>
  <c r="I778" i="9"/>
  <c r="I779" i="9"/>
  <c r="I780" i="9"/>
  <c r="I781" i="9"/>
  <c r="I782" i="9"/>
  <c r="I783" i="9"/>
  <c r="I784" i="9"/>
  <c r="I785" i="9"/>
  <c r="I786" i="9"/>
  <c r="I787" i="9"/>
  <c r="I788" i="9"/>
  <c r="I789" i="9"/>
  <c r="I790" i="9"/>
  <c r="I791" i="9"/>
  <c r="I792" i="9"/>
  <c r="I793" i="9"/>
  <c r="I794" i="9"/>
  <c r="I795" i="9"/>
  <c r="I796" i="9"/>
  <c r="I797" i="9"/>
  <c r="I798" i="9"/>
  <c r="I799" i="9"/>
  <c r="I800" i="9"/>
  <c r="I801" i="9"/>
  <c r="I802" i="9"/>
  <c r="I803" i="9"/>
  <c r="I804" i="9"/>
  <c r="I805" i="9"/>
  <c r="I806" i="9"/>
  <c r="I807" i="9"/>
  <c r="I808" i="9"/>
  <c r="I809" i="9"/>
  <c r="I810" i="9"/>
  <c r="I811" i="9"/>
  <c r="I812" i="9"/>
  <c r="I813" i="9"/>
  <c r="I814" i="9"/>
  <c r="I815" i="9"/>
  <c r="I816" i="9"/>
  <c r="I817" i="9"/>
  <c r="I818" i="9"/>
  <c r="I819" i="9"/>
  <c r="I820" i="9"/>
  <c r="I821" i="9"/>
  <c r="I822" i="9"/>
  <c r="I823" i="9"/>
  <c r="I824" i="9"/>
  <c r="I825" i="9"/>
  <c r="I826" i="9"/>
  <c r="I827" i="9"/>
  <c r="I828" i="9"/>
  <c r="I829" i="9"/>
  <c r="I830" i="9"/>
  <c r="I831" i="9"/>
  <c r="I832" i="9"/>
  <c r="I833" i="9"/>
  <c r="I834" i="9"/>
  <c r="I835" i="9"/>
  <c r="I836" i="9"/>
  <c r="I837" i="9"/>
  <c r="I838" i="9"/>
  <c r="I839" i="9"/>
  <c r="I840" i="9"/>
  <c r="I841" i="9"/>
  <c r="I842" i="9"/>
  <c r="I843" i="9"/>
  <c r="I844" i="9"/>
  <c r="I845" i="9"/>
  <c r="I846" i="9"/>
  <c r="I847" i="9"/>
  <c r="I848" i="9"/>
  <c r="I849" i="9"/>
  <c r="I850" i="9"/>
  <c r="I851" i="9"/>
  <c r="I852" i="9"/>
  <c r="I853" i="9"/>
  <c r="I854" i="9"/>
  <c r="I855" i="9"/>
  <c r="I856" i="9"/>
  <c r="I857" i="9"/>
  <c r="I858" i="9"/>
  <c r="I859" i="9"/>
  <c r="I860" i="9"/>
  <c r="I861" i="9"/>
  <c r="I862" i="9"/>
  <c r="I863" i="9"/>
  <c r="I864" i="9"/>
  <c r="I865" i="9"/>
  <c r="I866" i="9"/>
  <c r="I867" i="9"/>
  <c r="I868" i="9"/>
  <c r="I869" i="9"/>
  <c r="I870" i="9"/>
  <c r="I871" i="9"/>
  <c r="I872" i="9"/>
  <c r="I873" i="9"/>
  <c r="I874" i="9"/>
  <c r="I875" i="9"/>
  <c r="I876" i="9"/>
  <c r="I877" i="9"/>
  <c r="I878" i="9"/>
  <c r="I879" i="9"/>
  <c r="I880" i="9"/>
  <c r="I881" i="9"/>
  <c r="I882" i="9"/>
  <c r="I883" i="9"/>
  <c r="I884" i="9"/>
  <c r="I885" i="9"/>
  <c r="I886" i="9"/>
  <c r="I887" i="9"/>
  <c r="I888" i="9"/>
  <c r="I889" i="9"/>
  <c r="I890" i="9"/>
  <c r="I891" i="9"/>
  <c r="I892" i="9"/>
  <c r="I893" i="9"/>
  <c r="I894" i="9"/>
  <c r="I895" i="9"/>
  <c r="I896" i="9"/>
  <c r="I897" i="9"/>
  <c r="I898" i="9"/>
  <c r="I899" i="9"/>
  <c r="I900" i="9"/>
  <c r="I901" i="9"/>
  <c r="I902" i="9"/>
  <c r="I903" i="9"/>
  <c r="I904" i="9"/>
  <c r="I905" i="9"/>
  <c r="I906" i="9"/>
  <c r="I907" i="9"/>
  <c r="I908" i="9"/>
  <c r="I909" i="9"/>
  <c r="I910" i="9"/>
  <c r="I911" i="9"/>
  <c r="I912" i="9"/>
  <c r="I913" i="9"/>
  <c r="I914" i="9"/>
  <c r="I915" i="9"/>
  <c r="I916" i="9"/>
  <c r="I917" i="9"/>
  <c r="I918" i="9"/>
  <c r="I919" i="9"/>
  <c r="I920" i="9"/>
  <c r="I921" i="9"/>
  <c r="I922" i="9"/>
  <c r="I923" i="9"/>
  <c r="I924" i="9"/>
  <c r="I925" i="9"/>
  <c r="I926" i="9"/>
  <c r="I927" i="9"/>
  <c r="I928" i="9"/>
  <c r="I929" i="9"/>
  <c r="I930" i="9"/>
  <c r="I931" i="9"/>
  <c r="I932" i="9"/>
  <c r="I933" i="9"/>
  <c r="I934" i="9"/>
  <c r="I935" i="9"/>
  <c r="I936" i="9"/>
  <c r="I937" i="9"/>
  <c r="I938" i="9"/>
  <c r="I939" i="9"/>
  <c r="I940" i="9"/>
  <c r="I941" i="9"/>
  <c r="I942" i="9"/>
  <c r="I943" i="9"/>
  <c r="I944" i="9"/>
  <c r="I945" i="9"/>
  <c r="I946" i="9"/>
  <c r="I947" i="9"/>
  <c r="I948" i="9"/>
  <c r="I949" i="9"/>
  <c r="I950" i="9"/>
  <c r="I951" i="9"/>
  <c r="I952" i="9"/>
  <c r="I953" i="9"/>
  <c r="I954" i="9"/>
  <c r="I955" i="9"/>
  <c r="I956" i="9"/>
  <c r="I957" i="9"/>
  <c r="I958" i="9"/>
  <c r="I959" i="9"/>
  <c r="I960" i="9"/>
  <c r="I961" i="9"/>
  <c r="I962" i="9"/>
  <c r="I963" i="9"/>
  <c r="I964" i="9"/>
  <c r="I965" i="9"/>
  <c r="I966" i="9"/>
  <c r="I967" i="9"/>
  <c r="I968" i="9"/>
  <c r="I969" i="9"/>
  <c r="I970" i="9"/>
  <c r="I971" i="9"/>
  <c r="I972" i="9"/>
  <c r="I973" i="9"/>
  <c r="I974" i="9"/>
  <c r="I975" i="9"/>
  <c r="I976" i="9"/>
  <c r="I977" i="9"/>
  <c r="I978" i="9"/>
  <c r="I979" i="9"/>
  <c r="I980" i="9"/>
  <c r="I981" i="9"/>
  <c r="I982" i="9"/>
  <c r="I983" i="9"/>
  <c r="I984" i="9"/>
  <c r="I985" i="9"/>
  <c r="I986" i="9"/>
  <c r="I987" i="9"/>
  <c r="I988" i="9"/>
  <c r="I989" i="9"/>
  <c r="I990" i="9"/>
  <c r="I991" i="9"/>
  <c r="I992" i="9"/>
  <c r="I993" i="9"/>
  <c r="I994" i="9"/>
  <c r="I995" i="9"/>
  <c r="I996" i="9"/>
  <c r="I997" i="9"/>
  <c r="I998" i="9"/>
  <c r="I999" i="9"/>
  <c r="I1000" i="9"/>
  <c r="I1001" i="9"/>
  <c r="I1002" i="9"/>
  <c r="I1003" i="9"/>
  <c r="I1004" i="9"/>
  <c r="I1005" i="9"/>
  <c r="I1006" i="9"/>
  <c r="I1007" i="9"/>
  <c r="I1008" i="9"/>
  <c r="I1009" i="9"/>
  <c r="I1010" i="9"/>
  <c r="I1011" i="9"/>
  <c r="I1012" i="9"/>
  <c r="I1013" i="9"/>
  <c r="I1014" i="9"/>
  <c r="I1015" i="9"/>
  <c r="I1016" i="9"/>
  <c r="I1017" i="9"/>
  <c r="I1018" i="9"/>
  <c r="I1019" i="9"/>
  <c r="I1020" i="9"/>
  <c r="I1021" i="9"/>
  <c r="I1022" i="9"/>
  <c r="I1023" i="9"/>
  <c r="I1024" i="9"/>
  <c r="I1025" i="9"/>
  <c r="I1026" i="9"/>
  <c r="I1027" i="9"/>
  <c r="I1028" i="9"/>
  <c r="I1029" i="9"/>
  <c r="I1030" i="9"/>
  <c r="I1031" i="9"/>
  <c r="I1032" i="9"/>
  <c r="I1033" i="9"/>
  <c r="I1034" i="9"/>
  <c r="I1035" i="9"/>
  <c r="I1036" i="9"/>
  <c r="I1037" i="9"/>
  <c r="I1038" i="9"/>
  <c r="I1039" i="9"/>
  <c r="I1040" i="9"/>
  <c r="I1041" i="9"/>
  <c r="I1042" i="9"/>
  <c r="I1043" i="9"/>
  <c r="I1044" i="9"/>
  <c r="I1045" i="9"/>
  <c r="I1046" i="9"/>
  <c r="I1047" i="9"/>
  <c r="I1048" i="9"/>
  <c r="I1049" i="9"/>
  <c r="I1050" i="9"/>
  <c r="I1051" i="9"/>
  <c r="I1052" i="9"/>
  <c r="I1053" i="9"/>
  <c r="I1054" i="9"/>
  <c r="I1055" i="9"/>
  <c r="I1056" i="9"/>
  <c r="I1057" i="9"/>
  <c r="I1058" i="9"/>
  <c r="I1059" i="9"/>
  <c r="I1060" i="9"/>
  <c r="I1061" i="9"/>
  <c r="I1062" i="9"/>
  <c r="I1063" i="9"/>
  <c r="I1064" i="9"/>
  <c r="I1065" i="9"/>
  <c r="I1066" i="9"/>
  <c r="I1067" i="9"/>
  <c r="I1068" i="9"/>
  <c r="I1069" i="9"/>
  <c r="I1070" i="9"/>
  <c r="I1071" i="9"/>
  <c r="I1072" i="9"/>
  <c r="I1073" i="9"/>
  <c r="I1074" i="9"/>
  <c r="I1075" i="9"/>
  <c r="I1076" i="9"/>
  <c r="I1077" i="9"/>
  <c r="I1078" i="9"/>
  <c r="I1079" i="9"/>
  <c r="I1080" i="9"/>
  <c r="I1081" i="9"/>
  <c r="I1082" i="9"/>
  <c r="I1083" i="9"/>
  <c r="I1084" i="9"/>
  <c r="I1085" i="9"/>
  <c r="I1086" i="9"/>
  <c r="I1087" i="9"/>
  <c r="I1088" i="9"/>
  <c r="I1089" i="9"/>
  <c r="I1090" i="9"/>
  <c r="I1091" i="9"/>
  <c r="I1092" i="9"/>
  <c r="I1093" i="9"/>
  <c r="I1094" i="9"/>
  <c r="I1095" i="9"/>
  <c r="I1096" i="9"/>
  <c r="I1097" i="9"/>
  <c r="I1098" i="9"/>
  <c r="I1099" i="9"/>
  <c r="I1100" i="9"/>
  <c r="I1101" i="9"/>
  <c r="I1102" i="9"/>
  <c r="I1103" i="9"/>
  <c r="I1104" i="9"/>
  <c r="I1105" i="9"/>
  <c r="I1106" i="9"/>
  <c r="I1107" i="9"/>
  <c r="I1108" i="9"/>
  <c r="I1109" i="9"/>
  <c r="I1110" i="9"/>
  <c r="I1111" i="9"/>
  <c r="I1112" i="9"/>
  <c r="I1113" i="9"/>
  <c r="I1114" i="9"/>
  <c r="I1115" i="9"/>
  <c r="I1116" i="9"/>
  <c r="I1117" i="9"/>
  <c r="I1118" i="9"/>
  <c r="I1119" i="9"/>
  <c r="I1120" i="9"/>
  <c r="I1121" i="9"/>
  <c r="I1122" i="9"/>
  <c r="I1123" i="9"/>
  <c r="I1124" i="9"/>
  <c r="I1125" i="9"/>
  <c r="I1126" i="9"/>
  <c r="I1127" i="9"/>
  <c r="I1128" i="9"/>
  <c r="I1129" i="9"/>
  <c r="I1130" i="9"/>
  <c r="I1131" i="9"/>
  <c r="I1132" i="9"/>
  <c r="I1133" i="9"/>
  <c r="I1134" i="9"/>
  <c r="I1135" i="9"/>
  <c r="I1136" i="9"/>
  <c r="I1137" i="9"/>
  <c r="I1138" i="9"/>
  <c r="I1139" i="9"/>
  <c r="I1140" i="9"/>
  <c r="I1141" i="9"/>
  <c r="I1142" i="9"/>
  <c r="I1143" i="9"/>
  <c r="I1144" i="9"/>
  <c r="I1145" i="9"/>
  <c r="I1146" i="9"/>
  <c r="I1147" i="9"/>
  <c r="I1148" i="9"/>
  <c r="I1149" i="9"/>
  <c r="I1150" i="9"/>
  <c r="I1151" i="9"/>
  <c r="I1152" i="9"/>
  <c r="I1153" i="9"/>
  <c r="I1154" i="9"/>
  <c r="I1155" i="9"/>
  <c r="I1156" i="9"/>
  <c r="I1157" i="9"/>
  <c r="I1158" i="9"/>
  <c r="I1159" i="9"/>
  <c r="I1160" i="9"/>
  <c r="I1161" i="9"/>
  <c r="I1162" i="9"/>
  <c r="I1163" i="9"/>
  <c r="I1164" i="9"/>
  <c r="I1165" i="9"/>
  <c r="I1166" i="9"/>
  <c r="I1167" i="9"/>
  <c r="I1168" i="9"/>
  <c r="I1169" i="9"/>
  <c r="I1170" i="9"/>
  <c r="I1171" i="9"/>
  <c r="I1172" i="9"/>
  <c r="I1173" i="9"/>
  <c r="I1174" i="9"/>
  <c r="I1175" i="9"/>
  <c r="I1176" i="9"/>
  <c r="I1177" i="9"/>
  <c r="I1178" i="9"/>
  <c r="I1179" i="9"/>
  <c r="I1180" i="9"/>
  <c r="I1181" i="9"/>
  <c r="I1182" i="9"/>
  <c r="I1183" i="9"/>
  <c r="I1184" i="9"/>
  <c r="I1185" i="9"/>
  <c r="I1186" i="9"/>
  <c r="I1187" i="9"/>
  <c r="I1188" i="9"/>
  <c r="I1189" i="9"/>
  <c r="I1190" i="9"/>
  <c r="I1191" i="9"/>
  <c r="I1192" i="9"/>
  <c r="I1193" i="9"/>
  <c r="I1194" i="9"/>
  <c r="I1195" i="9"/>
  <c r="I1196" i="9"/>
  <c r="I1197" i="9"/>
  <c r="I1198" i="9"/>
  <c r="I1199" i="9"/>
  <c r="I1200" i="9"/>
  <c r="I1201" i="9"/>
  <c r="I1202" i="9"/>
  <c r="I1203" i="9"/>
  <c r="I1204" i="9"/>
  <c r="I1205" i="9"/>
  <c r="I1206" i="9"/>
  <c r="I1207" i="9"/>
  <c r="I1208" i="9"/>
  <c r="I1209" i="9"/>
  <c r="I1210" i="9"/>
  <c r="I1211" i="9"/>
  <c r="I1212" i="9"/>
  <c r="I1213" i="9"/>
  <c r="I1214" i="9"/>
  <c r="I1215" i="9"/>
  <c r="I1216" i="9"/>
  <c r="I1217" i="9"/>
  <c r="I1218" i="9"/>
  <c r="I1219" i="9"/>
  <c r="I1220" i="9"/>
  <c r="I1221" i="9"/>
  <c r="I1222" i="9"/>
  <c r="I1223" i="9"/>
  <c r="I1224" i="9"/>
  <c r="I1225" i="9"/>
  <c r="I1226" i="9"/>
  <c r="I1227" i="9"/>
  <c r="I1228" i="9"/>
  <c r="I1229" i="9"/>
  <c r="I1230" i="9"/>
  <c r="I1231" i="9"/>
  <c r="I1232" i="9"/>
  <c r="I1233" i="9"/>
  <c r="I1234" i="9"/>
  <c r="I1235" i="9"/>
  <c r="I1236" i="9"/>
  <c r="I1237" i="9"/>
  <c r="I1238" i="9"/>
  <c r="I1239" i="9"/>
  <c r="I1240" i="9"/>
  <c r="I1241" i="9"/>
  <c r="I1242" i="9"/>
  <c r="I1243" i="9"/>
  <c r="I1244" i="9"/>
  <c r="I1245" i="9"/>
  <c r="I1246" i="9"/>
  <c r="I1247" i="9"/>
  <c r="I1248" i="9"/>
  <c r="I1249" i="9"/>
  <c r="I1250" i="9"/>
  <c r="I1251" i="9"/>
  <c r="I1252" i="9"/>
  <c r="I1253" i="9"/>
  <c r="I1254" i="9"/>
  <c r="I1255" i="9"/>
  <c r="I1256" i="9"/>
  <c r="I1257" i="9"/>
  <c r="I1258" i="9"/>
  <c r="I1259" i="9"/>
  <c r="I1260" i="9"/>
  <c r="I1261" i="9"/>
  <c r="I1262" i="9"/>
  <c r="I1263" i="9"/>
  <c r="I1264" i="9"/>
  <c r="I1265" i="9"/>
  <c r="I1266" i="9"/>
  <c r="I1267" i="9"/>
  <c r="I1268" i="9"/>
  <c r="I1269" i="9"/>
  <c r="I1270" i="9"/>
  <c r="I1271" i="9"/>
  <c r="I1272" i="9"/>
  <c r="I1273" i="9"/>
  <c r="I1274" i="9"/>
  <c r="I1275" i="9"/>
  <c r="I1276" i="9"/>
  <c r="I1277" i="9"/>
  <c r="I1278" i="9"/>
  <c r="I1279" i="9"/>
  <c r="I1280" i="9"/>
  <c r="I1281" i="9"/>
  <c r="I1282" i="9"/>
  <c r="I1283" i="9"/>
  <c r="I1284" i="9"/>
  <c r="I1285" i="9"/>
  <c r="I1286" i="9"/>
  <c r="I1287" i="9"/>
  <c r="I1288" i="9"/>
  <c r="I1289" i="9"/>
  <c r="I1290" i="9"/>
  <c r="I1291" i="9"/>
  <c r="I1292" i="9"/>
  <c r="I1293" i="9"/>
  <c r="I1294" i="9"/>
  <c r="I1295" i="9"/>
  <c r="I1296" i="9"/>
  <c r="I1297" i="9"/>
  <c r="I1298" i="9"/>
  <c r="I1299" i="9"/>
  <c r="I1300" i="9"/>
  <c r="I1301" i="9"/>
  <c r="I1302" i="9"/>
  <c r="I1303" i="9"/>
  <c r="I1304" i="9"/>
  <c r="I1305" i="9"/>
  <c r="I1306" i="9"/>
  <c r="I1307" i="9"/>
  <c r="I1308" i="9"/>
  <c r="I1309" i="9"/>
  <c r="I1310" i="9"/>
  <c r="I1311" i="9"/>
  <c r="I1312" i="9"/>
  <c r="I1313" i="9"/>
  <c r="I1314" i="9"/>
  <c r="I1315" i="9"/>
  <c r="I1316" i="9"/>
  <c r="I1317" i="9"/>
  <c r="I1318" i="9"/>
  <c r="I1319" i="9"/>
  <c r="I1320" i="9"/>
  <c r="I1321" i="9"/>
  <c r="I1322" i="9"/>
  <c r="I1323" i="9"/>
  <c r="I1324" i="9"/>
  <c r="I1325" i="9"/>
  <c r="I1326" i="9"/>
  <c r="I1327" i="9"/>
  <c r="I1328" i="9"/>
  <c r="I1329" i="9"/>
  <c r="I1330" i="9"/>
  <c r="I1331" i="9"/>
  <c r="I1332" i="9"/>
  <c r="I1333" i="9"/>
  <c r="I1334" i="9"/>
  <c r="I1335" i="9"/>
  <c r="I1336" i="9"/>
  <c r="I1337" i="9"/>
  <c r="I1338" i="9"/>
  <c r="I1339" i="9"/>
  <c r="I1340" i="9"/>
  <c r="I1341" i="9"/>
  <c r="I1342" i="9"/>
  <c r="I1343" i="9"/>
  <c r="I1344" i="9"/>
  <c r="I1345" i="9"/>
  <c r="I1346" i="9"/>
  <c r="I1347" i="9"/>
  <c r="I1348" i="9"/>
  <c r="I1349" i="9"/>
  <c r="I1350" i="9"/>
  <c r="I1351" i="9"/>
  <c r="I1352" i="9"/>
  <c r="I1353" i="9"/>
  <c r="I1354" i="9"/>
  <c r="I1355" i="9"/>
  <c r="I1356" i="9"/>
  <c r="I1357" i="9"/>
  <c r="I1358" i="9"/>
  <c r="I1359" i="9"/>
  <c r="I1360" i="9"/>
  <c r="I1361" i="9"/>
  <c r="I1362" i="9"/>
  <c r="I1363" i="9"/>
  <c r="I1364" i="9"/>
  <c r="I1365" i="9"/>
  <c r="I1366" i="9"/>
  <c r="I1367" i="9"/>
  <c r="I1368" i="9"/>
  <c r="I1369" i="9"/>
  <c r="I1370" i="9"/>
  <c r="I1371" i="9"/>
  <c r="I1372" i="9"/>
  <c r="I1373" i="9"/>
  <c r="I1374" i="9"/>
  <c r="I1375" i="9"/>
  <c r="I1376" i="9"/>
  <c r="I1377" i="9"/>
  <c r="I1378" i="9"/>
  <c r="I1379" i="9"/>
  <c r="I1380" i="9"/>
  <c r="I1381" i="9"/>
  <c r="I1382" i="9"/>
  <c r="I1383" i="9"/>
  <c r="I1384" i="9"/>
  <c r="I1385" i="9"/>
  <c r="I1386" i="9"/>
  <c r="I1387" i="9"/>
  <c r="I1388" i="9"/>
  <c r="I1389" i="9"/>
  <c r="I1390" i="9"/>
  <c r="I1391" i="9"/>
  <c r="I1392" i="9"/>
  <c r="I1393" i="9"/>
  <c r="I1394" i="9"/>
  <c r="I1395" i="9"/>
  <c r="I1396" i="9"/>
  <c r="I1397" i="9"/>
  <c r="I1398" i="9"/>
  <c r="I1399" i="9"/>
  <c r="I1400" i="9"/>
  <c r="I1401" i="9"/>
  <c r="I1402" i="9"/>
  <c r="I1403" i="9"/>
  <c r="I1404" i="9"/>
  <c r="I1405" i="9"/>
  <c r="I1406" i="9"/>
  <c r="I1407" i="9"/>
  <c r="I1408" i="9"/>
  <c r="I1409" i="9"/>
  <c r="I1410" i="9"/>
  <c r="I1411" i="9"/>
  <c r="I1412" i="9"/>
  <c r="I1413" i="9"/>
  <c r="I1414" i="9"/>
  <c r="I1415" i="9"/>
  <c r="I1416" i="9"/>
  <c r="I1417" i="9"/>
  <c r="I1418" i="9"/>
  <c r="I1419" i="9"/>
  <c r="I1420" i="9"/>
  <c r="I1421" i="9"/>
  <c r="I1422" i="9"/>
  <c r="I1423" i="9"/>
  <c r="I1424" i="9"/>
  <c r="I1425" i="9"/>
  <c r="I1426" i="9"/>
  <c r="I1427" i="9"/>
  <c r="I1428" i="9"/>
  <c r="I1429" i="9"/>
  <c r="I1430" i="9"/>
  <c r="I1431" i="9"/>
  <c r="I1432" i="9"/>
  <c r="I1433" i="9"/>
  <c r="I1434" i="9"/>
  <c r="I1435" i="9"/>
  <c r="I1436" i="9"/>
  <c r="I1437" i="9"/>
  <c r="I1438" i="9"/>
  <c r="I1439" i="9"/>
  <c r="I1440" i="9"/>
  <c r="I1441" i="9"/>
  <c r="I1442" i="9"/>
  <c r="I1443" i="9"/>
  <c r="I1444" i="9"/>
  <c r="I1445" i="9"/>
  <c r="I1446" i="9"/>
  <c r="I1447" i="9"/>
  <c r="I1448" i="9"/>
  <c r="I1449" i="9"/>
  <c r="I1450" i="9"/>
  <c r="I1451" i="9"/>
  <c r="I1452" i="9"/>
  <c r="I1453" i="9"/>
  <c r="I1454" i="9"/>
  <c r="I1455" i="9"/>
  <c r="I1456" i="9"/>
  <c r="I1457" i="9"/>
  <c r="I1458" i="9"/>
  <c r="I1459" i="9"/>
  <c r="I1460" i="9"/>
  <c r="I1461" i="9"/>
  <c r="I1462" i="9"/>
  <c r="I1463" i="9"/>
  <c r="I1464" i="9"/>
  <c r="I1465" i="9"/>
  <c r="I1466" i="9"/>
  <c r="I1467" i="9"/>
  <c r="I1468" i="9"/>
  <c r="I1469" i="9"/>
  <c r="I1470" i="9"/>
  <c r="I1471" i="9"/>
  <c r="I1472" i="9"/>
  <c r="I1473" i="9"/>
  <c r="I1474" i="9"/>
  <c r="I1475" i="9"/>
  <c r="I1476" i="9"/>
  <c r="I1477" i="9"/>
  <c r="I1478" i="9"/>
  <c r="I1479" i="9"/>
  <c r="I1480" i="9"/>
  <c r="I1481" i="9"/>
  <c r="I1482" i="9"/>
  <c r="I1483" i="9"/>
  <c r="I1484" i="9"/>
  <c r="I1485" i="9"/>
  <c r="I1486" i="9"/>
  <c r="I1487" i="9"/>
  <c r="I1488" i="9"/>
  <c r="I1489" i="9"/>
  <c r="I1490" i="9"/>
  <c r="I1491" i="9"/>
  <c r="I1492" i="9"/>
  <c r="I1493" i="9"/>
  <c r="I1494" i="9"/>
  <c r="I1495" i="9"/>
  <c r="I1496" i="9"/>
  <c r="I1497" i="9"/>
  <c r="I1498" i="9"/>
  <c r="I1499" i="9"/>
  <c r="I1500" i="9"/>
  <c r="I1501" i="9"/>
  <c r="I1502" i="9"/>
  <c r="I1503" i="9"/>
  <c r="I1504" i="9"/>
  <c r="I1505" i="9"/>
  <c r="I1506" i="9"/>
  <c r="I1507" i="9"/>
  <c r="I1508" i="9"/>
  <c r="I1509" i="9"/>
  <c r="I1510" i="9"/>
  <c r="I1511" i="9"/>
  <c r="I1512" i="9"/>
  <c r="I1513" i="9"/>
  <c r="I1514"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6"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H841" i="9"/>
  <c r="H842" i="9"/>
  <c r="H843" i="9"/>
  <c r="H844" i="9"/>
  <c r="H845" i="9"/>
  <c r="H846" i="9"/>
  <c r="H847" i="9"/>
  <c r="H848" i="9"/>
  <c r="H849" i="9"/>
  <c r="H850" i="9"/>
  <c r="H851" i="9"/>
  <c r="H852" i="9"/>
  <c r="H853" i="9"/>
  <c r="H854" i="9"/>
  <c r="H855" i="9"/>
  <c r="H856" i="9"/>
  <c r="H857" i="9"/>
  <c r="H858" i="9"/>
  <c r="H859" i="9"/>
  <c r="H860" i="9"/>
  <c r="H861" i="9"/>
  <c r="H862" i="9"/>
  <c r="H863" i="9"/>
  <c r="H864" i="9"/>
  <c r="H865" i="9"/>
  <c r="H866" i="9"/>
  <c r="H867" i="9"/>
  <c r="H868" i="9"/>
  <c r="H869" i="9"/>
  <c r="H870" i="9"/>
  <c r="H871" i="9"/>
  <c r="H872" i="9"/>
  <c r="H873" i="9"/>
  <c r="H874" i="9"/>
  <c r="H875" i="9"/>
  <c r="H876" i="9"/>
  <c r="H877" i="9"/>
  <c r="H878" i="9"/>
  <c r="H879" i="9"/>
  <c r="H880" i="9"/>
  <c r="H881" i="9"/>
  <c r="H882" i="9"/>
  <c r="H883" i="9"/>
  <c r="H884" i="9"/>
  <c r="H885" i="9"/>
  <c r="H886" i="9"/>
  <c r="H887" i="9"/>
  <c r="H888" i="9"/>
  <c r="H889" i="9"/>
  <c r="H890" i="9"/>
  <c r="H891" i="9"/>
  <c r="H892" i="9"/>
  <c r="H893" i="9"/>
  <c r="H894" i="9"/>
  <c r="H895" i="9"/>
  <c r="H896" i="9"/>
  <c r="H897" i="9"/>
  <c r="H898" i="9"/>
  <c r="H899" i="9"/>
  <c r="H900" i="9"/>
  <c r="H901" i="9"/>
  <c r="H902" i="9"/>
  <c r="H903" i="9"/>
  <c r="H904" i="9"/>
  <c r="H905" i="9"/>
  <c r="H906" i="9"/>
  <c r="H907" i="9"/>
  <c r="H908" i="9"/>
  <c r="H909" i="9"/>
  <c r="H910" i="9"/>
  <c r="H911" i="9"/>
  <c r="H912" i="9"/>
  <c r="H913" i="9"/>
  <c r="H914" i="9"/>
  <c r="H915" i="9"/>
  <c r="H916" i="9"/>
  <c r="H917" i="9"/>
  <c r="H918" i="9"/>
  <c r="H919" i="9"/>
  <c r="H920" i="9"/>
  <c r="H921" i="9"/>
  <c r="H922" i="9"/>
  <c r="H923" i="9"/>
  <c r="H924" i="9"/>
  <c r="H925" i="9"/>
  <c r="H926" i="9"/>
  <c r="H927" i="9"/>
  <c r="H928" i="9"/>
  <c r="H929" i="9"/>
  <c r="H930" i="9"/>
  <c r="H931" i="9"/>
  <c r="H932" i="9"/>
  <c r="H933" i="9"/>
  <c r="H934" i="9"/>
  <c r="H935" i="9"/>
  <c r="H936" i="9"/>
  <c r="H937" i="9"/>
  <c r="H938" i="9"/>
  <c r="H939" i="9"/>
  <c r="H940" i="9"/>
  <c r="H941" i="9"/>
  <c r="H942" i="9"/>
  <c r="H943" i="9"/>
  <c r="H944" i="9"/>
  <c r="H945" i="9"/>
  <c r="H946" i="9"/>
  <c r="H947" i="9"/>
  <c r="H948" i="9"/>
  <c r="H949" i="9"/>
  <c r="H950" i="9"/>
  <c r="H951" i="9"/>
  <c r="H952" i="9"/>
  <c r="H953" i="9"/>
  <c r="H954" i="9"/>
  <c r="H955" i="9"/>
  <c r="H956" i="9"/>
  <c r="H957" i="9"/>
  <c r="H958" i="9"/>
  <c r="H959" i="9"/>
  <c r="H960" i="9"/>
  <c r="H961" i="9"/>
  <c r="H962" i="9"/>
  <c r="H963" i="9"/>
  <c r="H964" i="9"/>
  <c r="H965" i="9"/>
  <c r="H966" i="9"/>
  <c r="H967" i="9"/>
  <c r="H968" i="9"/>
  <c r="H969" i="9"/>
  <c r="H970" i="9"/>
  <c r="H971" i="9"/>
  <c r="H972" i="9"/>
  <c r="H973" i="9"/>
  <c r="H974" i="9"/>
  <c r="H975" i="9"/>
  <c r="H976" i="9"/>
  <c r="H977" i="9"/>
  <c r="H978" i="9"/>
  <c r="H979" i="9"/>
  <c r="H980" i="9"/>
  <c r="H981" i="9"/>
  <c r="H982" i="9"/>
  <c r="H983" i="9"/>
  <c r="H984" i="9"/>
  <c r="H985" i="9"/>
  <c r="H986" i="9"/>
  <c r="H987" i="9"/>
  <c r="H988" i="9"/>
  <c r="H989" i="9"/>
  <c r="H990" i="9"/>
  <c r="H991" i="9"/>
  <c r="H992" i="9"/>
  <c r="H993" i="9"/>
  <c r="H994" i="9"/>
  <c r="H995" i="9"/>
  <c r="H996" i="9"/>
  <c r="H997" i="9"/>
  <c r="H998" i="9"/>
  <c r="H999" i="9"/>
  <c r="H1000" i="9"/>
  <c r="H1001" i="9"/>
  <c r="H1002" i="9"/>
  <c r="H1003" i="9"/>
  <c r="H1004" i="9"/>
  <c r="H1005" i="9"/>
  <c r="H1006" i="9"/>
  <c r="H1007" i="9"/>
  <c r="H1008" i="9"/>
  <c r="H1009" i="9"/>
  <c r="H1010" i="9"/>
  <c r="H1011" i="9"/>
  <c r="H1012" i="9"/>
  <c r="H1013" i="9"/>
  <c r="H1014" i="9"/>
  <c r="H1015" i="9"/>
  <c r="H1016" i="9"/>
  <c r="H1017" i="9"/>
  <c r="H1018" i="9"/>
  <c r="H1019" i="9"/>
  <c r="H1020" i="9"/>
  <c r="H1021" i="9"/>
  <c r="H1022" i="9"/>
  <c r="H1023" i="9"/>
  <c r="H1024" i="9"/>
  <c r="H1025" i="9"/>
  <c r="H1026" i="9"/>
  <c r="H1027" i="9"/>
  <c r="H1028" i="9"/>
  <c r="H1029" i="9"/>
  <c r="H1030" i="9"/>
  <c r="H1031" i="9"/>
  <c r="H1032" i="9"/>
  <c r="H1033" i="9"/>
  <c r="H1034" i="9"/>
  <c r="H1035" i="9"/>
  <c r="H1036" i="9"/>
  <c r="H1037" i="9"/>
  <c r="H1038" i="9"/>
  <c r="H1039" i="9"/>
  <c r="H1040" i="9"/>
  <c r="H1041" i="9"/>
  <c r="H1042" i="9"/>
  <c r="H1043" i="9"/>
  <c r="H1044" i="9"/>
  <c r="H1045" i="9"/>
  <c r="H1046" i="9"/>
  <c r="H1047" i="9"/>
  <c r="H1048" i="9"/>
  <c r="H1049" i="9"/>
  <c r="H1050" i="9"/>
  <c r="H1051" i="9"/>
  <c r="H1052" i="9"/>
  <c r="H1053" i="9"/>
  <c r="H1054" i="9"/>
  <c r="H1055" i="9"/>
  <c r="H1056" i="9"/>
  <c r="H1057" i="9"/>
  <c r="H1058" i="9"/>
  <c r="H1059" i="9"/>
  <c r="H1060" i="9"/>
  <c r="H1061" i="9"/>
  <c r="H1062" i="9"/>
  <c r="H1063" i="9"/>
  <c r="H1064" i="9"/>
  <c r="H1065" i="9"/>
  <c r="H1066" i="9"/>
  <c r="H1067" i="9"/>
  <c r="H1068" i="9"/>
  <c r="H1069" i="9"/>
  <c r="H1070" i="9"/>
  <c r="H1071" i="9"/>
  <c r="H1072" i="9"/>
  <c r="H1073" i="9"/>
  <c r="H1074" i="9"/>
  <c r="H1075" i="9"/>
  <c r="H1076" i="9"/>
  <c r="H1077" i="9"/>
  <c r="H1078" i="9"/>
  <c r="H1079" i="9"/>
  <c r="H1080" i="9"/>
  <c r="H1081" i="9"/>
  <c r="H1082" i="9"/>
  <c r="H1083" i="9"/>
  <c r="H1084" i="9"/>
  <c r="H1085" i="9"/>
  <c r="H1086" i="9"/>
  <c r="H1087" i="9"/>
  <c r="H1088" i="9"/>
  <c r="H1089" i="9"/>
  <c r="H1090" i="9"/>
  <c r="H1091" i="9"/>
  <c r="H1092" i="9"/>
  <c r="H1093" i="9"/>
  <c r="H1094" i="9"/>
  <c r="H1095" i="9"/>
  <c r="H1096" i="9"/>
  <c r="H1097" i="9"/>
  <c r="H1098" i="9"/>
  <c r="H1099" i="9"/>
  <c r="H1100" i="9"/>
  <c r="H1101" i="9"/>
  <c r="H1102" i="9"/>
  <c r="H1103" i="9"/>
  <c r="H1104" i="9"/>
  <c r="H1105" i="9"/>
  <c r="H1106" i="9"/>
  <c r="H1107" i="9"/>
  <c r="H1108" i="9"/>
  <c r="H1109" i="9"/>
  <c r="H1110" i="9"/>
  <c r="H1111" i="9"/>
  <c r="H1112" i="9"/>
  <c r="H1113" i="9"/>
  <c r="H1114" i="9"/>
  <c r="H1115" i="9"/>
  <c r="H1116" i="9"/>
  <c r="H1117" i="9"/>
  <c r="H1118" i="9"/>
  <c r="H1119" i="9"/>
  <c r="H1120" i="9"/>
  <c r="H1121" i="9"/>
  <c r="H1122" i="9"/>
  <c r="H1123" i="9"/>
  <c r="H1124" i="9"/>
  <c r="H1125" i="9"/>
  <c r="H1126" i="9"/>
  <c r="H1127" i="9"/>
  <c r="H1128" i="9"/>
  <c r="H1129" i="9"/>
  <c r="H1130" i="9"/>
  <c r="H1131" i="9"/>
  <c r="H1132" i="9"/>
  <c r="H1133" i="9"/>
  <c r="H1134" i="9"/>
  <c r="H1135" i="9"/>
  <c r="H1136" i="9"/>
  <c r="H1137" i="9"/>
  <c r="H1138" i="9"/>
  <c r="H1139" i="9"/>
  <c r="H1140" i="9"/>
  <c r="H1141" i="9"/>
  <c r="H1142" i="9"/>
  <c r="H1143" i="9"/>
  <c r="H1144" i="9"/>
  <c r="H1145" i="9"/>
  <c r="H1146" i="9"/>
  <c r="H1147" i="9"/>
  <c r="H1148" i="9"/>
  <c r="H1149" i="9"/>
  <c r="H1150" i="9"/>
  <c r="H1151" i="9"/>
  <c r="H1152" i="9"/>
  <c r="H1153" i="9"/>
  <c r="H1154" i="9"/>
  <c r="H1155" i="9"/>
  <c r="H1156" i="9"/>
  <c r="H1157" i="9"/>
  <c r="H1158" i="9"/>
  <c r="H1159" i="9"/>
  <c r="H1160" i="9"/>
  <c r="H1161" i="9"/>
  <c r="H1162" i="9"/>
  <c r="H1163" i="9"/>
  <c r="H1164" i="9"/>
  <c r="H1165" i="9"/>
  <c r="H1166" i="9"/>
  <c r="H1167" i="9"/>
  <c r="H1168" i="9"/>
  <c r="H1169" i="9"/>
  <c r="H1170" i="9"/>
  <c r="H1171" i="9"/>
  <c r="H1172" i="9"/>
  <c r="H1173" i="9"/>
  <c r="H1174" i="9"/>
  <c r="H1175" i="9"/>
  <c r="H1176" i="9"/>
  <c r="H1177" i="9"/>
  <c r="H1178" i="9"/>
  <c r="H1179" i="9"/>
  <c r="H1180" i="9"/>
  <c r="H1181" i="9"/>
  <c r="H1182" i="9"/>
  <c r="H1183" i="9"/>
  <c r="H1184" i="9"/>
  <c r="H1185" i="9"/>
  <c r="H1186" i="9"/>
  <c r="H1187" i="9"/>
  <c r="H1188" i="9"/>
  <c r="H1189" i="9"/>
  <c r="H1190" i="9"/>
  <c r="H1191" i="9"/>
  <c r="H1192" i="9"/>
  <c r="H1193" i="9"/>
  <c r="H1194" i="9"/>
  <c r="H1195" i="9"/>
  <c r="H1196" i="9"/>
  <c r="H1197" i="9"/>
  <c r="H1198" i="9"/>
  <c r="H1199" i="9"/>
  <c r="H1200" i="9"/>
  <c r="H1201" i="9"/>
  <c r="H1202" i="9"/>
  <c r="H1203" i="9"/>
  <c r="H1204" i="9"/>
  <c r="H1205" i="9"/>
  <c r="H1206" i="9"/>
  <c r="H1207" i="9"/>
  <c r="H1208" i="9"/>
  <c r="H1209" i="9"/>
  <c r="H1210" i="9"/>
  <c r="H1211" i="9"/>
  <c r="H1212" i="9"/>
  <c r="H1213" i="9"/>
  <c r="H1214" i="9"/>
  <c r="H1215" i="9"/>
  <c r="H1216" i="9"/>
  <c r="H1217" i="9"/>
  <c r="H1218" i="9"/>
  <c r="H1219" i="9"/>
  <c r="H1220" i="9"/>
  <c r="H1221" i="9"/>
  <c r="H1222" i="9"/>
  <c r="H1223" i="9"/>
  <c r="H1224" i="9"/>
  <c r="H1225" i="9"/>
  <c r="H1226" i="9"/>
  <c r="H1227" i="9"/>
  <c r="H1228" i="9"/>
  <c r="H1229" i="9"/>
  <c r="H1230" i="9"/>
  <c r="H1231" i="9"/>
  <c r="H1232" i="9"/>
  <c r="H1233" i="9"/>
  <c r="H1234" i="9"/>
  <c r="H1235" i="9"/>
  <c r="H1236" i="9"/>
  <c r="H1237" i="9"/>
  <c r="H1238" i="9"/>
  <c r="H1239" i="9"/>
  <c r="H1240" i="9"/>
  <c r="H1241" i="9"/>
  <c r="H1242" i="9"/>
  <c r="H1243" i="9"/>
  <c r="H1244" i="9"/>
  <c r="H1245" i="9"/>
  <c r="H1246" i="9"/>
  <c r="H1247" i="9"/>
  <c r="H1248" i="9"/>
  <c r="H1249" i="9"/>
  <c r="H1250" i="9"/>
  <c r="H1251" i="9"/>
  <c r="H1252" i="9"/>
  <c r="H1253" i="9"/>
  <c r="H1254" i="9"/>
  <c r="H1255" i="9"/>
  <c r="H1256" i="9"/>
  <c r="H1257" i="9"/>
  <c r="H1258" i="9"/>
  <c r="H1259" i="9"/>
  <c r="H1260" i="9"/>
  <c r="H1261" i="9"/>
  <c r="H1262" i="9"/>
  <c r="H1263" i="9"/>
  <c r="H1264" i="9"/>
  <c r="H1265" i="9"/>
  <c r="H1266" i="9"/>
  <c r="H1267" i="9"/>
  <c r="H1268" i="9"/>
  <c r="H1269" i="9"/>
  <c r="H1270" i="9"/>
  <c r="H1271" i="9"/>
  <c r="H1272" i="9"/>
  <c r="H1273" i="9"/>
  <c r="H1274" i="9"/>
  <c r="H1275" i="9"/>
  <c r="H1276" i="9"/>
  <c r="H1277" i="9"/>
  <c r="H1278" i="9"/>
  <c r="H1279" i="9"/>
  <c r="H1280" i="9"/>
  <c r="H1281" i="9"/>
  <c r="H1282" i="9"/>
  <c r="H1283" i="9"/>
  <c r="H1284" i="9"/>
  <c r="H1285" i="9"/>
  <c r="H1286" i="9"/>
  <c r="H1287" i="9"/>
  <c r="H1288" i="9"/>
  <c r="H1289" i="9"/>
  <c r="H1290" i="9"/>
  <c r="H1291" i="9"/>
  <c r="H1292" i="9"/>
  <c r="H1293" i="9"/>
  <c r="H1294" i="9"/>
  <c r="H1295" i="9"/>
  <c r="H1296" i="9"/>
  <c r="H1297" i="9"/>
  <c r="H1298" i="9"/>
  <c r="H1299" i="9"/>
  <c r="H1300" i="9"/>
  <c r="H1301" i="9"/>
  <c r="H1302" i="9"/>
  <c r="H1303" i="9"/>
  <c r="H1304" i="9"/>
  <c r="H1305" i="9"/>
  <c r="H1306" i="9"/>
  <c r="H1307" i="9"/>
  <c r="H1308" i="9"/>
  <c r="H1309" i="9"/>
  <c r="H1310" i="9"/>
  <c r="H1311" i="9"/>
  <c r="H1312" i="9"/>
  <c r="H1313" i="9"/>
  <c r="H1314" i="9"/>
  <c r="H1315" i="9"/>
  <c r="H1316" i="9"/>
  <c r="H1317" i="9"/>
  <c r="H1318" i="9"/>
  <c r="H1319" i="9"/>
  <c r="H1320" i="9"/>
  <c r="H1321" i="9"/>
  <c r="H1322" i="9"/>
  <c r="H1323" i="9"/>
  <c r="H1324" i="9"/>
  <c r="H1325" i="9"/>
  <c r="H1326" i="9"/>
  <c r="H1327" i="9"/>
  <c r="H1328" i="9"/>
  <c r="H1329" i="9"/>
  <c r="H1330" i="9"/>
  <c r="H1331" i="9"/>
  <c r="H1332" i="9"/>
  <c r="H1333" i="9"/>
  <c r="H1334" i="9"/>
  <c r="H1335" i="9"/>
  <c r="H1336" i="9"/>
  <c r="H1337" i="9"/>
  <c r="H1338" i="9"/>
  <c r="H1339" i="9"/>
  <c r="H1340" i="9"/>
  <c r="H1341" i="9"/>
  <c r="H1342" i="9"/>
  <c r="H1343" i="9"/>
  <c r="H1344" i="9"/>
  <c r="H1345" i="9"/>
  <c r="H1346" i="9"/>
  <c r="H1347" i="9"/>
  <c r="H1348" i="9"/>
  <c r="H1349" i="9"/>
  <c r="H1350" i="9"/>
  <c r="H1351" i="9"/>
  <c r="H1352" i="9"/>
  <c r="H1353" i="9"/>
  <c r="H1354" i="9"/>
  <c r="H1355" i="9"/>
  <c r="H1356" i="9"/>
  <c r="H1357" i="9"/>
  <c r="H1358" i="9"/>
  <c r="H1359" i="9"/>
  <c r="H1360" i="9"/>
  <c r="H1361" i="9"/>
  <c r="H1362" i="9"/>
  <c r="H1363" i="9"/>
  <c r="H1364" i="9"/>
  <c r="H1365" i="9"/>
  <c r="H1366" i="9"/>
  <c r="H1367" i="9"/>
  <c r="H1368" i="9"/>
  <c r="H1369" i="9"/>
  <c r="H1370" i="9"/>
  <c r="H1371" i="9"/>
  <c r="H1372" i="9"/>
  <c r="H1373" i="9"/>
  <c r="H1374" i="9"/>
  <c r="H1375" i="9"/>
  <c r="H1376" i="9"/>
  <c r="H1377" i="9"/>
  <c r="H1378" i="9"/>
  <c r="H1379" i="9"/>
  <c r="H1380" i="9"/>
  <c r="H1381" i="9"/>
  <c r="H1382" i="9"/>
  <c r="H1383" i="9"/>
  <c r="H1384" i="9"/>
  <c r="H1385" i="9"/>
  <c r="H1386" i="9"/>
  <c r="H1387" i="9"/>
  <c r="H1388" i="9"/>
  <c r="H1389" i="9"/>
  <c r="H1390" i="9"/>
  <c r="H1391" i="9"/>
  <c r="H1392" i="9"/>
  <c r="H1393" i="9"/>
  <c r="H1394" i="9"/>
  <c r="H1395" i="9"/>
  <c r="H1396" i="9"/>
  <c r="H1397" i="9"/>
  <c r="H1398" i="9"/>
  <c r="H1399" i="9"/>
  <c r="H1400" i="9"/>
  <c r="H1401" i="9"/>
  <c r="H1402" i="9"/>
  <c r="H1403" i="9"/>
  <c r="H1404" i="9"/>
  <c r="H1405" i="9"/>
  <c r="H1406" i="9"/>
  <c r="H1407" i="9"/>
  <c r="H1408" i="9"/>
  <c r="H1409" i="9"/>
  <c r="H1410" i="9"/>
  <c r="H1411" i="9"/>
  <c r="H1412" i="9"/>
  <c r="H1413" i="9"/>
  <c r="H1414" i="9"/>
  <c r="H1415" i="9"/>
  <c r="H1416" i="9"/>
  <c r="H1417" i="9"/>
  <c r="H1418" i="9"/>
  <c r="H1419" i="9"/>
  <c r="H1420" i="9"/>
  <c r="H1421" i="9"/>
  <c r="H1422" i="9"/>
  <c r="H1423" i="9"/>
  <c r="H1424" i="9"/>
  <c r="H1425" i="9"/>
  <c r="H1426" i="9"/>
  <c r="H1427" i="9"/>
  <c r="H1428" i="9"/>
  <c r="H1429" i="9"/>
  <c r="H1430" i="9"/>
  <c r="H1431" i="9"/>
  <c r="H1432" i="9"/>
  <c r="H1433" i="9"/>
  <c r="H1434" i="9"/>
  <c r="H1435" i="9"/>
  <c r="H1436" i="9"/>
  <c r="H1437" i="9"/>
  <c r="H1438" i="9"/>
  <c r="H1439" i="9"/>
  <c r="H1440" i="9"/>
  <c r="H1441" i="9"/>
  <c r="H1442" i="9"/>
  <c r="H1443" i="9"/>
  <c r="H1444" i="9"/>
  <c r="H1445" i="9"/>
  <c r="H1446" i="9"/>
  <c r="H1447" i="9"/>
  <c r="H1448" i="9"/>
  <c r="H1449" i="9"/>
  <c r="H1450" i="9"/>
  <c r="H1451" i="9"/>
  <c r="H1452" i="9"/>
  <c r="H1453" i="9"/>
  <c r="H1454" i="9"/>
  <c r="H1455" i="9"/>
  <c r="H1456" i="9"/>
  <c r="H1457" i="9"/>
  <c r="H1458" i="9"/>
  <c r="H1459" i="9"/>
  <c r="H1460" i="9"/>
  <c r="H1461" i="9"/>
  <c r="H1462" i="9"/>
  <c r="H1463" i="9"/>
  <c r="H1464" i="9"/>
  <c r="H1465" i="9"/>
  <c r="H1466" i="9"/>
  <c r="H1467" i="9"/>
  <c r="H1468" i="9"/>
  <c r="H1469" i="9"/>
  <c r="H1470" i="9"/>
  <c r="H1471" i="9"/>
  <c r="H1472" i="9"/>
  <c r="H1473" i="9"/>
  <c r="H1474" i="9"/>
  <c r="H1475" i="9"/>
  <c r="H1476" i="9"/>
  <c r="H1477" i="9"/>
  <c r="H1478" i="9"/>
  <c r="H1479" i="9"/>
  <c r="H1480" i="9"/>
  <c r="H1481" i="9"/>
  <c r="H1482" i="9"/>
  <c r="H1483" i="9"/>
  <c r="H1484" i="9"/>
  <c r="H1485" i="9"/>
  <c r="H1486" i="9"/>
  <c r="H1487" i="9"/>
  <c r="H1488" i="9"/>
  <c r="H1489" i="9"/>
  <c r="H1490" i="9"/>
  <c r="H1491" i="9"/>
  <c r="H1492" i="9"/>
  <c r="H1493" i="9"/>
  <c r="H1494" i="9"/>
  <c r="H1495" i="9"/>
  <c r="H1496" i="9"/>
  <c r="H1497" i="9"/>
  <c r="H1498" i="9"/>
  <c r="H1499" i="9"/>
  <c r="H1500" i="9"/>
  <c r="H1501" i="9"/>
  <c r="H1502" i="9"/>
  <c r="H1503" i="9"/>
  <c r="H1504" i="9"/>
  <c r="H1505" i="9"/>
  <c r="H1506" i="9"/>
  <c r="H1507" i="9"/>
  <c r="H1508" i="9"/>
  <c r="H1509" i="9"/>
  <c r="H1510" i="9"/>
  <c r="H1511" i="9"/>
  <c r="H1512" i="9"/>
  <c r="H1513" i="9"/>
  <c r="H1514" i="9"/>
  <c r="Q4" i="14"/>
  <c r="Q5" i="14"/>
  <c r="Q6" i="14"/>
  <c r="Q7" i="14"/>
  <c r="Q8" i="14"/>
  <c r="Q9" i="14"/>
  <c r="Q10" i="14"/>
  <c r="Q11" i="14"/>
  <c r="Q12" i="14"/>
  <c r="Q13" i="14"/>
  <c r="Q14" i="14"/>
  <c r="Q15" i="14"/>
  <c r="Q16" i="14"/>
  <c r="Q17" i="14"/>
  <c r="Q18" i="14"/>
  <c r="Q19" i="14"/>
  <c r="Q20" i="14"/>
  <c r="Q21" i="14"/>
  <c r="Q22" i="14"/>
  <c r="Q23" i="14"/>
  <c r="Q24" i="14"/>
  <c r="Q25" i="14"/>
  <c r="Q26" i="14"/>
  <c r="Q27" i="14"/>
  <c r="Q28" i="14"/>
  <c r="Q29" i="14"/>
  <c r="Q30" i="14"/>
  <c r="Q31" i="14"/>
  <c r="Q32" i="14"/>
  <c r="Q33" i="14"/>
  <c r="Q34" i="14"/>
  <c r="Q3" i="14"/>
  <c r="C79" i="15" l="1"/>
  <c r="C82" i="15"/>
  <c r="C78" i="15"/>
  <c r="C76" i="15"/>
  <c r="C77" i="15"/>
  <c r="C83" i="15"/>
  <c r="C81" i="15"/>
  <c r="C84" i="15"/>
  <c r="C80" i="15"/>
  <c r="U78" i="4"/>
  <c r="U95" i="4"/>
  <c r="B537" i="13" l="1"/>
  <c r="B538" i="13"/>
  <c r="B539" i="13"/>
  <c r="B540" i="13"/>
  <c r="B541" i="13"/>
  <c r="B542" i="13"/>
  <c r="B543" i="13"/>
  <c r="B544" i="13"/>
  <c r="B545" i="13"/>
  <c r="B546" i="13"/>
  <c r="B547" i="13"/>
  <c r="B548" i="13"/>
  <c r="B549" i="13"/>
  <c r="B550" i="13"/>
  <c r="B551" i="13"/>
  <c r="B552" i="13"/>
  <c r="B530" i="13"/>
  <c r="B531" i="13"/>
  <c r="B532" i="13"/>
  <c r="B533" i="13"/>
  <c r="B534" i="13"/>
  <c r="B535" i="13"/>
  <c r="B536" i="13"/>
  <c r="B519" i="13"/>
  <c r="B520" i="13"/>
  <c r="B521" i="13"/>
  <c r="B522" i="13"/>
  <c r="B523" i="13"/>
  <c r="B524" i="13"/>
  <c r="B525" i="13"/>
  <c r="B526" i="13"/>
  <c r="B527" i="13"/>
  <c r="B528" i="13"/>
  <c r="B529" i="13"/>
  <c r="B482" i="13"/>
  <c r="B483" i="13"/>
  <c r="B484" i="13"/>
  <c r="B485" i="13"/>
  <c r="B486" i="13"/>
  <c r="B487" i="13"/>
  <c r="B488" i="13"/>
  <c r="B489" i="13"/>
  <c r="B490" i="13"/>
  <c r="B491" i="13"/>
  <c r="B492" i="13"/>
  <c r="B493" i="13"/>
  <c r="B494" i="13"/>
  <c r="B495" i="13"/>
  <c r="B496" i="13"/>
  <c r="B497" i="13"/>
  <c r="B498" i="13"/>
  <c r="B499" i="13"/>
  <c r="B500" i="13"/>
  <c r="B501" i="13"/>
  <c r="B502" i="13"/>
  <c r="B503" i="13"/>
  <c r="B504" i="13"/>
  <c r="B505" i="13"/>
  <c r="B506" i="13"/>
  <c r="B507" i="13"/>
  <c r="B508" i="13"/>
  <c r="B509" i="13"/>
  <c r="B510" i="13"/>
  <c r="B511" i="13"/>
  <c r="B512" i="13"/>
  <c r="B513" i="13"/>
  <c r="B514" i="13"/>
  <c r="B515" i="13"/>
  <c r="B516" i="13"/>
  <c r="B517" i="13"/>
  <c r="B478" i="13"/>
  <c r="B466" i="13"/>
  <c r="B467" i="13"/>
  <c r="B468" i="13"/>
  <c r="B469" i="13"/>
  <c r="B470" i="13"/>
  <c r="B471" i="13"/>
  <c r="B472" i="13"/>
  <c r="B473" i="13"/>
  <c r="B474" i="13"/>
  <c r="B475" i="13"/>
  <c r="B476" i="13"/>
  <c r="B477" i="13"/>
  <c r="B479" i="13"/>
  <c r="B480" i="13"/>
  <c r="B481" i="13"/>
  <c r="B458" i="13"/>
  <c r="B459" i="13"/>
  <c r="B460" i="13"/>
  <c r="B461" i="13"/>
  <c r="B450" i="13"/>
  <c r="B451" i="13"/>
  <c r="B452" i="13"/>
  <c r="B453" i="13"/>
  <c r="B454" i="13"/>
  <c r="B455" i="13"/>
  <c r="B456" i="13"/>
  <c r="B457" i="13"/>
  <c r="B462" i="13"/>
  <c r="B463" i="13"/>
  <c r="B464" i="13"/>
  <c r="B465" i="13"/>
  <c r="B421" i="13"/>
  <c r="B422" i="13"/>
  <c r="B423" i="13"/>
  <c r="B424" i="13"/>
  <c r="B425" i="13"/>
  <c r="B426" i="13"/>
  <c r="B427" i="13"/>
  <c r="B428" i="13"/>
  <c r="B429" i="13"/>
  <c r="B430" i="13"/>
  <c r="B431" i="13"/>
  <c r="B432" i="13"/>
  <c r="B433" i="13"/>
  <c r="B434" i="13"/>
  <c r="B435" i="13"/>
  <c r="B320" i="13"/>
  <c r="B321" i="13"/>
  <c r="B322" i="13"/>
  <c r="B323" i="13"/>
  <c r="B324" i="13"/>
  <c r="B325" i="13"/>
  <c r="B326" i="13"/>
  <c r="B327" i="13"/>
  <c r="B328" i="13"/>
  <c r="B329" i="13"/>
  <c r="B330" i="13"/>
  <c r="B331" i="13"/>
  <c r="B332" i="13"/>
  <c r="B333" i="13"/>
  <c r="B413" i="13"/>
  <c r="B414" i="13"/>
  <c r="B415" i="13"/>
  <c r="B416" i="13"/>
  <c r="B417" i="13"/>
  <c r="B418" i="13"/>
  <c r="B419" i="13"/>
  <c r="B420" i="13"/>
  <c r="B436" i="13"/>
  <c r="B437" i="13"/>
  <c r="B438" i="13"/>
  <c r="B439" i="13"/>
  <c r="B440" i="13"/>
  <c r="B441" i="13"/>
  <c r="B442" i="13"/>
  <c r="B443" i="13"/>
  <c r="B444" i="13"/>
  <c r="B445" i="13"/>
  <c r="B446" i="13"/>
  <c r="B447" i="13"/>
  <c r="B448" i="13"/>
  <c r="B449" i="13"/>
  <c r="B518" i="13"/>
  <c r="U102" i="4"/>
  <c r="B399" i="13" l="1"/>
  <c r="B400" i="13"/>
  <c r="B401" i="13"/>
  <c r="B402" i="13"/>
  <c r="B403" i="13"/>
  <c r="B404" i="13"/>
  <c r="B405" i="13"/>
  <c r="B406" i="13"/>
  <c r="B407" i="13"/>
  <c r="B408" i="13"/>
  <c r="B409" i="13"/>
  <c r="B410" i="13"/>
  <c r="B396" i="13"/>
  <c r="B397" i="13"/>
  <c r="B395" i="13"/>
  <c r="B411" i="13"/>
  <c r="B392" i="13"/>
  <c r="B393" i="13"/>
  <c r="B394" i="13"/>
  <c r="B398" i="13"/>
  <c r="U35" i="4"/>
  <c r="B384" i="13"/>
  <c r="U5" i="4"/>
  <c r="B388" i="13"/>
  <c r="B389" i="13"/>
  <c r="B390" i="13"/>
  <c r="B391" i="13"/>
  <c r="B381" i="13"/>
  <c r="B382" i="13"/>
  <c r="B383" i="13"/>
  <c r="B385" i="13"/>
  <c r="B371" i="13" l="1"/>
  <c r="B372" i="13"/>
  <c r="B373" i="13"/>
  <c r="B374" i="13"/>
  <c r="B375" i="13"/>
  <c r="B376" i="13"/>
  <c r="B377" i="13"/>
  <c r="B378" i="13"/>
  <c r="B379" i="13"/>
  <c r="B380" i="13"/>
  <c r="B386" i="13"/>
  <c r="B387" i="13"/>
  <c r="B412" i="13"/>
  <c r="U62" i="4" l="1"/>
  <c r="U17" i="4"/>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302" i="13"/>
  <c r="B303" i="13"/>
  <c r="B304" i="13"/>
  <c r="B305" i="13"/>
  <c r="B306" i="13"/>
  <c r="B307" i="13"/>
  <c r="B308" i="13"/>
  <c r="B309" i="13"/>
  <c r="B310" i="13"/>
  <c r="B311" i="13"/>
  <c r="B312" i="13"/>
  <c r="B313" i="13"/>
  <c r="B314" i="13"/>
  <c r="B315" i="13"/>
  <c r="B316" i="13"/>
  <c r="B317" i="13"/>
  <c r="B318" i="13"/>
  <c r="B319" i="13"/>
  <c r="B334" i="13"/>
  <c r="B335" i="13"/>
  <c r="B336" i="13"/>
  <c r="B337" i="13"/>
  <c r="B338" i="13"/>
  <c r="B339" i="13"/>
  <c r="B340" i="13"/>
  <c r="B341" i="13"/>
  <c r="B342" i="13"/>
  <c r="B343" i="13"/>
  <c r="B344" i="13"/>
  <c r="B345" i="13"/>
  <c r="B346" i="13"/>
  <c r="B347" i="13"/>
  <c r="B348" i="13"/>
  <c r="B349" i="13"/>
  <c r="B350" i="13"/>
  <c r="B351" i="13"/>
  <c r="B352" i="13"/>
  <c r="B353" i="13"/>
  <c r="B354" i="13"/>
  <c r="B355" i="13"/>
  <c r="B356" i="13"/>
  <c r="B357" i="13"/>
  <c r="B358" i="13"/>
  <c r="B359" i="13"/>
  <c r="B360" i="13"/>
  <c r="B361" i="13"/>
  <c r="B362" i="13"/>
  <c r="B363" i="13"/>
  <c r="B364" i="13"/>
  <c r="B365" i="13"/>
  <c r="B366" i="13"/>
  <c r="B367" i="13"/>
  <c r="B368" i="13"/>
  <c r="B369" i="13"/>
  <c r="B370" i="13"/>
  <c r="U71" i="4" l="1"/>
  <c r="U70" i="4"/>
  <c r="U69" i="4" l="1"/>
  <c r="U13" i="4"/>
  <c r="U94" i="4"/>
  <c r="U75" i="4"/>
  <c r="U85" i="4"/>
  <c r="U45" i="4"/>
  <c r="U84" i="4"/>
  <c r="U80" i="4"/>
  <c r="U79" i="4"/>
  <c r="U74" i="4"/>
  <c r="U73" i="4"/>
  <c r="U56" i="4"/>
  <c r="U44" i="4"/>
  <c r="U93" i="4"/>
  <c r="U3" i="4"/>
  <c r="U4" i="4"/>
  <c r="U6" i="4"/>
  <c r="U7" i="4"/>
  <c r="U98" i="4"/>
  <c r="U8" i="4"/>
  <c r="U9" i="4"/>
  <c r="U10" i="4"/>
  <c r="U96" i="4"/>
  <c r="U11" i="4"/>
  <c r="U14" i="4"/>
  <c r="U15" i="4"/>
  <c r="U16" i="4"/>
  <c r="U18" i="4"/>
  <c r="U19" i="4"/>
  <c r="U12" i="4"/>
  <c r="U63" i="4"/>
  <c r="U67" i="4"/>
  <c r="U68" i="4"/>
  <c r="U64" i="4"/>
  <c r="U65" i="4"/>
  <c r="U61" i="4"/>
  <c r="U72" i="4"/>
  <c r="U66" i="4"/>
  <c r="U54" i="4"/>
  <c r="U55" i="4"/>
  <c r="U57" i="4"/>
  <c r="U58" i="4"/>
  <c r="U59" i="4"/>
  <c r="U60" i="4"/>
  <c r="U50" i="4"/>
  <c r="U51" i="4"/>
  <c r="U97" i="4"/>
  <c r="U20" i="4"/>
  <c r="U21" i="4"/>
  <c r="U22" i="4"/>
  <c r="U23" i="4"/>
  <c r="U24" i="4"/>
  <c r="U25" i="4"/>
  <c r="U26" i="4"/>
  <c r="U27" i="4"/>
  <c r="U28" i="4"/>
  <c r="U29" i="4"/>
  <c r="U52" i="4"/>
  <c r="U53" i="4"/>
  <c r="U31" i="4"/>
  <c r="U32" i="4"/>
  <c r="U33" i="4"/>
  <c r="U34" i="4"/>
  <c r="U46" i="4"/>
  <c r="U48" i="4"/>
  <c r="U49" i="4"/>
  <c r="U47" i="4"/>
  <c r="U36" i="4"/>
  <c r="U38" i="4"/>
  <c r="U37" i="4"/>
  <c r="U40" i="4"/>
  <c r="U41" i="4"/>
  <c r="U42" i="4"/>
  <c r="U43" i="4"/>
  <c r="U39" i="4"/>
  <c r="U30" i="4"/>
  <c r="U88" i="4"/>
  <c r="U90" i="4"/>
  <c r="U92" i="4"/>
  <c r="U86" i="4"/>
  <c r="U87" i="4"/>
  <c r="U99" i="4"/>
  <c r="U100" i="4"/>
  <c r="U101" i="4"/>
  <c r="U89" i="4"/>
  <c r="U91" i="4"/>
  <c r="M1" i="4"/>
  <c r="U81" i="4"/>
  <c r="U82" i="4"/>
  <c r="U77" i="4"/>
  <c r="U76" i="4"/>
  <c r="U83" i="4"/>
  <c r="E23" i="3" l="1"/>
  <c r="C72" i="4" s="1"/>
  <c r="E28" i="3"/>
  <c r="E24" i="3"/>
  <c r="E25" i="3"/>
  <c r="E26" i="3"/>
  <c r="C81" i="4" s="1"/>
  <c r="E81" i="4" s="1"/>
  <c r="E27" i="3"/>
  <c r="E29" i="3"/>
  <c r="E32" i="3"/>
  <c r="E33" i="3"/>
  <c r="C98" i="4" s="1"/>
  <c r="C73" i="4" l="1"/>
  <c r="E73" i="4" s="1"/>
  <c r="C74" i="4"/>
  <c r="E74" i="4" s="1"/>
  <c r="A294" i="9" s="1"/>
  <c r="C75" i="4"/>
  <c r="E75" i="4" s="1"/>
  <c r="A692" i="9" s="1"/>
  <c r="C76" i="4"/>
  <c r="E76" i="4" s="1"/>
  <c r="A694" i="9" s="1"/>
  <c r="C77" i="4"/>
  <c r="E77" i="4" s="1"/>
  <c r="A693" i="9" s="1"/>
  <c r="C78" i="4"/>
  <c r="E78" i="4" s="1"/>
  <c r="C85" i="4"/>
  <c r="E85" i="4" s="1"/>
  <c r="A666" i="9" s="1"/>
  <c r="C84" i="4"/>
  <c r="E84" i="4" s="1"/>
  <c r="C79" i="4"/>
  <c r="E79" i="4" s="1"/>
  <c r="A350" i="9" s="1"/>
  <c r="C80" i="4"/>
  <c r="E80" i="4" s="1"/>
  <c r="A671" i="9" s="1"/>
  <c r="C96" i="4"/>
  <c r="C97" i="4"/>
  <c r="E97" i="4" s="1"/>
  <c r="C86" i="4"/>
  <c r="C87" i="4"/>
  <c r="E87" i="4" s="1"/>
  <c r="C82" i="4"/>
  <c r="E82" i="4" s="1"/>
  <c r="C83" i="4"/>
  <c r="E83" i="4" s="1"/>
  <c r="A685" i="9"/>
  <c r="A668" i="9"/>
  <c r="A176" i="9"/>
  <c r="A181" i="9"/>
  <c r="A293" i="9"/>
  <c r="A286" i="9"/>
  <c r="A318" i="9"/>
  <c r="A348" i="9"/>
  <c r="A360" i="9"/>
  <c r="A291" i="9"/>
  <c r="A690" i="9"/>
  <c r="A353" i="9"/>
  <c r="A1219" i="9"/>
  <c r="A1188" i="9"/>
  <c r="A1185" i="9"/>
  <c r="A1201" i="9"/>
  <c r="A1469" i="9"/>
  <c r="A1213" i="9"/>
  <c r="A1459" i="9"/>
  <c r="A1197" i="9"/>
  <c r="A319" i="9"/>
  <c r="A349" i="9"/>
  <c r="A691" i="9"/>
  <c r="A1186" i="9"/>
  <c r="A1194" i="9"/>
  <c r="A1202" i="9"/>
  <c r="A1214" i="9"/>
  <c r="A1183" i="9"/>
  <c r="A1192" i="9"/>
  <c r="A1460" i="9"/>
  <c r="A1189" i="9"/>
  <c r="A1461" i="9"/>
  <c r="A1471" i="9"/>
  <c r="A1470" i="9"/>
  <c r="A683" i="9"/>
  <c r="A295" i="9"/>
  <c r="A317" i="9"/>
  <c r="A667" i="9"/>
  <c r="A684" i="9"/>
  <c r="A308" i="9"/>
  <c r="A492" i="9"/>
  <c r="A1440" i="9"/>
  <c r="A172" i="9"/>
  <c r="A289" i="9"/>
  <c r="A178" i="9"/>
  <c r="A697" i="9"/>
  <c r="A770" i="9"/>
  <c r="A481" i="9"/>
  <c r="A1301" i="9"/>
  <c r="A1199" i="9" l="1"/>
  <c r="A688" i="9"/>
  <c r="A1190" i="9"/>
  <c r="A687" i="9"/>
  <c r="A670" i="9"/>
  <c r="A1203" i="9"/>
  <c r="A1195" i="9"/>
  <c r="A361" i="9"/>
  <c r="A1198" i="9"/>
  <c r="A354" i="9"/>
  <c r="A1220" i="9"/>
  <c r="A1472" i="9"/>
  <c r="A1462" i="9"/>
  <c r="A1439" i="9"/>
  <c r="A1435" i="9"/>
  <c r="A1218" i="9"/>
  <c r="A1212" i="9"/>
  <c r="A1427" i="9"/>
  <c r="A1424" i="9"/>
  <c r="A1431" i="9"/>
  <c r="A1443" i="9"/>
  <c r="A288" i="9"/>
  <c r="A434" i="9"/>
  <c r="A446" i="9"/>
  <c r="A425" i="9"/>
  <c r="A769" i="9"/>
  <c r="A918" i="9"/>
  <c r="A1002" i="9"/>
  <c r="A975" i="9"/>
  <c r="A1011" i="9"/>
  <c r="A1019" i="9"/>
  <c r="A948" i="9"/>
  <c r="A956" i="9"/>
  <c r="A964" i="9"/>
  <c r="A1056" i="9"/>
  <c r="A1064" i="9"/>
  <c r="A1072" i="9"/>
  <c r="A1080" i="9"/>
  <c r="A1088" i="9"/>
  <c r="A1096" i="9"/>
  <c r="A1104" i="9"/>
  <c r="A1112" i="9"/>
  <c r="A1120" i="9"/>
  <c r="A1128" i="9"/>
  <c r="A1136" i="9"/>
  <c r="A1144" i="9"/>
  <c r="A1152" i="9"/>
  <c r="A1041" i="9"/>
  <c r="A728" i="9"/>
  <c r="A981" i="9"/>
  <c r="A941" i="9"/>
  <c r="A1049" i="9"/>
  <c r="E21" i="3" l="1"/>
  <c r="E18" i="3"/>
  <c r="E96" i="4"/>
  <c r="E86" i="4"/>
  <c r="E7" i="3"/>
  <c r="C12" i="4" l="1"/>
  <c r="E12" i="4" s="1"/>
  <c r="A974" i="9" s="1"/>
  <c r="C13" i="4"/>
  <c r="E13" i="4" s="1"/>
  <c r="C67" i="4"/>
  <c r="C68" i="4"/>
  <c r="E68" i="4" s="1"/>
  <c r="C69" i="4"/>
  <c r="E69" i="4" s="1"/>
  <c r="C70" i="4"/>
  <c r="E70" i="4" s="1"/>
  <c r="A1073" i="9" s="1"/>
  <c r="C71" i="4"/>
  <c r="E71" i="4" s="1"/>
  <c r="C61" i="4"/>
  <c r="C62" i="4"/>
  <c r="E62" i="4" s="1"/>
  <c r="A188" i="9"/>
  <c r="A208" i="9"/>
  <c r="A544" i="9"/>
  <c r="A798" i="9"/>
  <c r="A1018" i="9"/>
  <c r="A1026" i="9"/>
  <c r="A871" i="9"/>
  <c r="A879" i="9"/>
  <c r="A915" i="9"/>
  <c r="A947" i="9"/>
  <c r="A955" i="9"/>
  <c r="A963" i="9"/>
  <c r="A1055" i="9"/>
  <c r="A1063" i="9"/>
  <c r="A1079" i="9"/>
  <c r="A1087" i="9"/>
  <c r="A1095" i="9"/>
  <c r="A1103" i="9"/>
  <c r="A1111" i="9"/>
  <c r="A1119" i="9"/>
  <c r="A1127" i="9"/>
  <c r="A1135" i="9"/>
  <c r="A1143" i="9"/>
  <c r="A1151" i="9"/>
  <c r="A1159" i="9"/>
  <c r="A980" i="9"/>
  <c r="A1040" i="9"/>
  <c r="A1048" i="9"/>
  <c r="A1248" i="9"/>
  <c r="A849" i="9"/>
  <c r="A881" i="9"/>
  <c r="A993" i="9"/>
  <c r="A869" i="9"/>
  <c r="A861" i="9"/>
  <c r="A1001" i="9"/>
  <c r="A1033" i="9"/>
  <c r="A312" i="9"/>
  <c r="A658" i="9"/>
  <c r="A675" i="9"/>
  <c r="A1179" i="9"/>
  <c r="A1420" i="9"/>
  <c r="A1428" i="9"/>
  <c r="A1444" i="9"/>
  <c r="A1205" i="9"/>
  <c r="A1177" i="9"/>
  <c r="A822" i="9"/>
  <c r="A819" i="9"/>
  <c r="A817" i="9"/>
  <c r="A1057" i="9"/>
  <c r="A1234" i="9"/>
  <c r="A1238" i="9"/>
  <c r="A1211" i="9"/>
  <c r="A1215" i="9"/>
  <c r="A1224" i="9"/>
  <c r="A1181" i="9"/>
  <c r="A1229" i="9"/>
  <c r="A1415" i="9"/>
  <c r="A1413" i="9"/>
  <c r="A1423" i="9"/>
  <c r="A1418" i="9"/>
  <c r="A1426" i="9"/>
  <c r="A1430" i="9"/>
  <c r="A1434" i="9"/>
  <c r="A1438" i="9"/>
  <c r="A1442" i="9"/>
  <c r="A1446" i="9"/>
  <c r="E5" i="3"/>
  <c r="C10" i="4" s="1"/>
  <c r="E10" i="4" s="1"/>
  <c r="A1010" i="9" l="1"/>
  <c r="A940" i="9"/>
  <c r="A1071" i="9"/>
  <c r="A978" i="9"/>
  <c r="A838" i="9"/>
  <c r="A836" i="9"/>
  <c r="A1155" i="9"/>
  <c r="A1153" i="9"/>
  <c r="A1145" i="9"/>
  <c r="A1089" i="9"/>
  <c r="A1105" i="9"/>
  <c r="A1097" i="9"/>
  <c r="A1121" i="9"/>
  <c r="A1113" i="9"/>
  <c r="A830" i="9"/>
  <c r="A828" i="9"/>
  <c r="A1081" i="9"/>
  <c r="A815" i="9"/>
  <c r="A1043" i="9"/>
  <c r="A928" i="9"/>
  <c r="A833" i="9"/>
  <c r="A926" i="9"/>
  <c r="A16" i="9"/>
  <c r="A249" i="9"/>
  <c r="A257" i="9"/>
  <c r="A265" i="9"/>
  <c r="A518" i="9"/>
  <c r="A530" i="9"/>
  <c r="A11" i="9"/>
  <c r="A500" i="9"/>
  <c r="A512" i="9"/>
  <c r="A524" i="9"/>
  <c r="A536" i="9"/>
  <c r="A542" i="9"/>
  <c r="A733" i="9"/>
  <c r="A742" i="9"/>
  <c r="A1247" i="9"/>
  <c r="A1390" i="9"/>
  <c r="A1386" i="9"/>
  <c r="A1398" i="9"/>
  <c r="A1402" i="9"/>
  <c r="A1406" i="9"/>
  <c r="A1410" i="9"/>
  <c r="A1362" i="9"/>
  <c r="A1394" i="9"/>
  <c r="E36" i="3"/>
  <c r="E35" i="3"/>
  <c r="C100" i="4" s="1"/>
  <c r="E34" i="3"/>
  <c r="C99" i="4" s="1"/>
  <c r="E31" i="3"/>
  <c r="E14" i="3"/>
  <c r="E13" i="3"/>
  <c r="E12" i="3"/>
  <c r="E30" i="3"/>
  <c r="E11" i="3"/>
  <c r="E16" i="3"/>
  <c r="E10" i="3"/>
  <c r="C19" i="4" s="1"/>
  <c r="C52" i="4" l="1"/>
  <c r="C53" i="4"/>
  <c r="C25" i="4"/>
  <c r="E25" i="4" s="1"/>
  <c r="A894" i="9" s="1"/>
  <c r="C26" i="4"/>
  <c r="E26" i="4" s="1"/>
  <c r="C27" i="4"/>
  <c r="E27" i="4" s="1"/>
  <c r="A1328" i="9" s="1"/>
  <c r="C28" i="4"/>
  <c r="E28" i="4" s="1"/>
  <c r="C29" i="4"/>
  <c r="E29" i="4" s="1"/>
  <c r="C30" i="4"/>
  <c r="E30" i="4" s="1"/>
  <c r="C20" i="4"/>
  <c r="E20" i="4" s="1"/>
  <c r="A483" i="9" s="1"/>
  <c r="C21" i="4"/>
  <c r="E21" i="4" s="1"/>
  <c r="A29" i="9" s="1"/>
  <c r="C22" i="4"/>
  <c r="E22" i="4" s="1"/>
  <c r="C23" i="4"/>
  <c r="E23" i="4" s="1"/>
  <c r="A411" i="9" s="1"/>
  <c r="C24" i="4"/>
  <c r="E24" i="4" s="1"/>
  <c r="C101" i="4"/>
  <c r="E101" i="4" s="1"/>
  <c r="A704" i="9" s="1"/>
  <c r="C102" i="4"/>
  <c r="E102" i="4" s="1"/>
  <c r="C33" i="4"/>
  <c r="C34" i="4"/>
  <c r="C35" i="4"/>
  <c r="E35" i="4" s="1"/>
  <c r="A1368" i="9" s="1"/>
  <c r="C31" i="4"/>
  <c r="C32" i="4"/>
  <c r="E32" i="4" s="1"/>
  <c r="C88" i="4"/>
  <c r="C90" i="4"/>
  <c r="E90" i="4" s="1"/>
  <c r="C92" i="4"/>
  <c r="E92" i="4" s="1"/>
  <c r="C93" i="4"/>
  <c r="E93" i="4" s="1"/>
  <c r="C94" i="4"/>
  <c r="E94" i="4" s="1"/>
  <c r="A724" i="9" s="1"/>
  <c r="C95" i="4"/>
  <c r="E95" i="4" s="1"/>
  <c r="C36" i="4"/>
  <c r="C38" i="4"/>
  <c r="C37" i="4"/>
  <c r="C40" i="4"/>
  <c r="C41" i="4"/>
  <c r="E41" i="4" s="1"/>
  <c r="C42" i="4"/>
  <c r="C43" i="4"/>
  <c r="C39" i="4"/>
  <c r="E39" i="4" s="1"/>
  <c r="C44" i="4"/>
  <c r="E44" i="4" s="1"/>
  <c r="C45" i="4"/>
  <c r="E45" i="4" s="1"/>
  <c r="C49" i="4"/>
  <c r="C47" i="4"/>
  <c r="C46" i="4"/>
  <c r="C48" i="4"/>
  <c r="C89" i="4"/>
  <c r="E89" i="4" s="1"/>
  <c r="C91" i="4"/>
  <c r="E91" i="4" s="1"/>
  <c r="A276" i="9"/>
  <c r="A320" i="9"/>
  <c r="A279" i="9"/>
  <c r="A315" i="9"/>
  <c r="A706" i="9"/>
  <c r="A714" i="9"/>
  <c r="A712" i="9"/>
  <c r="A53" i="9"/>
  <c r="A30" i="9"/>
  <c r="A42" i="9"/>
  <c r="A394" i="9"/>
  <c r="A376" i="9"/>
  <c r="A409" i="9"/>
  <c r="A890" i="9"/>
  <c r="A888" i="9"/>
  <c r="A893" i="9"/>
  <c r="E72" i="4"/>
  <c r="E67" i="4"/>
  <c r="E52" i="4"/>
  <c r="E100" i="4"/>
  <c r="E99" i="4"/>
  <c r="A345" i="9" s="1"/>
  <c r="A587" i="9" l="1"/>
  <c r="A699" i="9"/>
  <c r="A451" i="9"/>
  <c r="A139" i="9"/>
  <c r="A375" i="9"/>
  <c r="A116" i="9"/>
  <c r="A8" i="9"/>
  <c r="A892" i="9"/>
  <c r="A396" i="9"/>
  <c r="A435" i="9"/>
  <c r="A426" i="9"/>
  <c r="A395" i="9"/>
  <c r="A174" i="9"/>
  <c r="A379" i="9"/>
  <c r="A410" i="9"/>
  <c r="A34" i="9"/>
  <c r="A55" i="9"/>
  <c r="A465" i="9"/>
  <c r="A393" i="9"/>
  <c r="A169" i="9"/>
  <c r="A94" i="9"/>
  <c r="A584" i="9"/>
  <c r="A133" i="9"/>
  <c r="A18" i="9"/>
  <c r="A122" i="9"/>
  <c r="A408" i="9"/>
  <c r="A184" i="9"/>
  <c r="A143" i="9"/>
  <c r="A180" i="9"/>
  <c r="A380" i="9"/>
  <c r="A57" i="9"/>
  <c r="A33" i="9"/>
  <c r="A129" i="9"/>
  <c r="A1354" i="9"/>
  <c r="A5" i="9"/>
  <c r="A113" i="9"/>
  <c r="A1327" i="9"/>
  <c r="A44" i="9"/>
  <c r="A447" i="9"/>
  <c r="A45" i="9"/>
  <c r="A907" i="9"/>
  <c r="A173" i="9"/>
  <c r="A482" i="9"/>
  <c r="A665" i="9"/>
  <c r="A682" i="9"/>
  <c r="A179" i="9"/>
  <c r="A4" i="9"/>
  <c r="A168" i="9"/>
  <c r="A576" i="9"/>
  <c r="A723" i="9"/>
  <c r="A591" i="9"/>
  <c r="A586" i="9"/>
  <c r="A602" i="9"/>
  <c r="A590" i="9"/>
  <c r="A583" i="9"/>
  <c r="A592" i="9"/>
  <c r="A1432" i="9"/>
  <c r="A722" i="9"/>
  <c r="A575" i="9"/>
  <c r="A438" i="9"/>
  <c r="A597" i="9"/>
  <c r="A389" i="9"/>
  <c r="A855" i="9"/>
  <c r="A1416" i="9"/>
  <c r="A472" i="9"/>
  <c r="A46" i="9"/>
  <c r="A35" i="9"/>
  <c r="A700" i="9"/>
  <c r="A448" i="9"/>
  <c r="A175" i="9"/>
  <c r="A144" i="9"/>
  <c r="A170" i="9"/>
  <c r="A458" i="9"/>
  <c r="A31" i="9"/>
  <c r="A525" i="9"/>
  <c r="A61" i="9"/>
  <c r="A679" i="9"/>
  <c r="A213" i="9"/>
  <c r="A1307" i="9"/>
  <c r="A1316" i="9"/>
  <c r="A537" i="9"/>
  <c r="A166" i="9"/>
  <c r="A1304" i="9"/>
  <c r="A274" i="9"/>
  <c r="A519" i="9"/>
  <c r="A1298" i="9"/>
  <c r="A741" i="9"/>
  <c r="A1310" i="9"/>
  <c r="A1313" i="9"/>
  <c r="A781" i="9"/>
  <c r="A1245" i="9"/>
  <c r="A531" i="9"/>
  <c r="A513" i="9"/>
  <c r="A662" i="9"/>
  <c r="A366" i="9"/>
  <c r="A1210" i="9"/>
  <c r="A1480" i="9"/>
  <c r="A1345" i="9"/>
  <c r="A490" i="9"/>
  <c r="A1167" i="9"/>
  <c r="A1488" i="9"/>
  <c r="A1454" i="9"/>
  <c r="A343" i="9"/>
  <c r="A1223" i="9"/>
  <c r="A1492" i="9"/>
  <c r="A1466" i="9"/>
  <c r="A1451" i="9"/>
  <c r="A1174" i="9"/>
  <c r="A363" i="9"/>
  <c r="A1335" i="9"/>
  <c r="A1500" i="9"/>
  <c r="A1474" i="9"/>
  <c r="A437" i="9"/>
  <c r="A307" i="9"/>
  <c r="A596" i="9"/>
  <c r="A1504" i="9"/>
  <c r="A1482" i="9"/>
  <c r="A314" i="9"/>
  <c r="A356" i="9"/>
  <c r="A1208" i="9"/>
  <c r="A1512" i="9"/>
  <c r="A1486" i="9"/>
  <c r="A574" i="9"/>
  <c r="A1228" i="9"/>
  <c r="A1341" i="9"/>
  <c r="A1494" i="9"/>
  <c r="A589" i="9"/>
  <c r="A1332" i="9"/>
  <c r="A1237" i="9"/>
  <c r="A1498" i="9"/>
  <c r="A1457" i="9"/>
  <c r="A1476" i="9"/>
  <c r="A721" i="9"/>
  <c r="A1233" i="9"/>
  <c r="A1338" i="9"/>
  <c r="A1506" i="9"/>
  <c r="A281" i="9"/>
  <c r="A417" i="9"/>
  <c r="A1448" i="9"/>
  <c r="A1349" i="9"/>
  <c r="A1510" i="9"/>
  <c r="A278" i="9"/>
  <c r="A854" i="9"/>
  <c r="A1464" i="9"/>
  <c r="A475" i="9"/>
  <c r="A79" i="9"/>
  <c r="A456" i="9"/>
  <c r="A461" i="9"/>
  <c r="A341" i="9"/>
  <c r="A76" i="9"/>
  <c r="A383" i="9"/>
  <c r="A93" i="9"/>
  <c r="A74" i="9"/>
  <c r="A378" i="9"/>
  <c r="A399" i="9"/>
  <c r="A470" i="9"/>
  <c r="A485" i="9"/>
  <c r="A696" i="9"/>
  <c r="A185" i="9"/>
  <c r="A459" i="9"/>
  <c r="A473" i="9"/>
  <c r="A20" i="9"/>
  <c r="A22" i="9"/>
  <c r="A382" i="9"/>
  <c r="A398" i="9"/>
  <c r="A601" i="9"/>
  <c r="A369" i="9"/>
  <c r="A594" i="9"/>
  <c r="A631" i="9"/>
  <c r="A1339" i="9"/>
  <c r="A1511" i="9"/>
  <c r="A1495" i="9"/>
  <c r="A1514" i="9"/>
  <c r="A606" i="9"/>
  <c r="A639" i="9"/>
  <c r="A1343" i="9"/>
  <c r="A1333" i="9"/>
  <c r="A1507" i="9"/>
  <c r="A1231" i="9"/>
  <c r="A614" i="9"/>
  <c r="A643" i="9"/>
  <c r="A1347" i="9"/>
  <c r="A1465" i="9"/>
  <c r="A1487" i="9"/>
  <c r="A622" i="9"/>
  <c r="A655" i="9"/>
  <c r="A1351" i="9"/>
  <c r="A1477" i="9"/>
  <c r="A626" i="9"/>
  <c r="A1170" i="9"/>
  <c r="A1168" i="9"/>
  <c r="A1489" i="9"/>
  <c r="A479" i="9"/>
  <c r="A638" i="9"/>
  <c r="A1178" i="9"/>
  <c r="A1180" i="9"/>
  <c r="A1493" i="9"/>
  <c r="A1505" i="9"/>
  <c r="A649" i="9"/>
  <c r="A623" i="9"/>
  <c r="A593" i="9"/>
  <c r="A642" i="9"/>
  <c r="A1226" i="9"/>
  <c r="A1236" i="9"/>
  <c r="A621" i="9"/>
  <c r="A646" i="9"/>
  <c r="A624" i="9"/>
  <c r="A1240" i="9"/>
  <c r="A1165" i="9"/>
  <c r="A625" i="9"/>
  <c r="A654" i="9"/>
  <c r="A640" i="9"/>
  <c r="A1169" i="9"/>
  <c r="A1336" i="9"/>
  <c r="A607" i="9"/>
  <c r="A653" i="9"/>
  <c r="A641" i="9"/>
  <c r="A599" i="9"/>
  <c r="A1171" i="9"/>
  <c r="A1330" i="9"/>
  <c r="A648" i="9"/>
  <c r="A1175" i="9"/>
  <c r="A1475" i="9"/>
  <c r="A1467" i="9"/>
  <c r="A1484" i="9"/>
  <c r="A1499" i="9"/>
  <c r="A1481" i="9"/>
  <c r="A1501" i="9"/>
  <c r="A1352" i="9"/>
  <c r="A298" i="9"/>
  <c r="A1449" i="9"/>
  <c r="A1458" i="9"/>
  <c r="A1490" i="9"/>
  <c r="A1346" i="9"/>
  <c r="A488" i="9"/>
  <c r="A1513" i="9"/>
  <c r="A1478" i="9"/>
  <c r="A1342" i="9"/>
  <c r="A301" i="9"/>
  <c r="A1452" i="9"/>
  <c r="A1176" i="9"/>
  <c r="A1502" i="9"/>
  <c r="A1468" i="9"/>
  <c r="A1496" i="9"/>
  <c r="A1508" i="9"/>
  <c r="A1455" i="9"/>
  <c r="A1483" i="9"/>
  <c r="A1421" i="9"/>
  <c r="A192" i="9"/>
  <c r="A196" i="9"/>
  <c r="A202" i="9"/>
  <c r="A187" i="9"/>
  <c r="A207" i="9"/>
  <c r="A702" i="9"/>
  <c r="A730" i="9"/>
  <c r="A734" i="9"/>
  <c r="A1377" i="9"/>
  <c r="A80" i="9"/>
  <c r="A108" i="9"/>
  <c r="A124" i="9"/>
  <c r="A232" i="9"/>
  <c r="A272" i="9"/>
  <c r="A296" i="9"/>
  <c r="A304" i="9"/>
  <c r="A65" i="9"/>
  <c r="A141" i="9"/>
  <c r="A161" i="9"/>
  <c r="A197" i="9"/>
  <c r="A237" i="9"/>
  <c r="A70" i="9"/>
  <c r="A98" i="9"/>
  <c r="A222" i="9"/>
  <c r="A242" i="9"/>
  <c r="A302" i="9"/>
  <c r="A87" i="9"/>
  <c r="A103" i="9"/>
  <c r="A167" i="9"/>
  <c r="A247" i="9"/>
  <c r="A311" i="9"/>
  <c r="A386" i="9"/>
  <c r="A402" i="9"/>
  <c r="A494" i="9"/>
  <c r="A506" i="9"/>
  <c r="A91" i="9"/>
  <c r="A203" i="9"/>
  <c r="A487" i="9"/>
  <c r="A420" i="9"/>
  <c r="A484" i="9"/>
  <c r="A83" i="9"/>
  <c r="A275" i="9"/>
  <c r="A441" i="9"/>
  <c r="A657" i="9"/>
  <c r="A773" i="9"/>
  <c r="A785" i="9"/>
  <c r="A227" i="9"/>
  <c r="A429" i="9"/>
  <c r="A650" i="9"/>
  <c r="A674" i="9"/>
  <c r="A545" i="9"/>
  <c r="A615" i="9"/>
  <c r="A627" i="9"/>
  <c r="A695" i="9"/>
  <c r="A703" i="9"/>
  <c r="A711" i="9"/>
  <c r="A719" i="9"/>
  <c r="A751" i="9"/>
  <c r="A755" i="9"/>
  <c r="A131" i="9"/>
  <c r="A608" i="9"/>
  <c r="A1295" i="9"/>
  <c r="A644" i="9"/>
  <c r="A779" i="9"/>
  <c r="A924" i="9"/>
  <c r="A968" i="9"/>
  <c r="A1156" i="9"/>
  <c r="A1256" i="9"/>
  <c r="A1260" i="9"/>
  <c r="A1264" i="9"/>
  <c r="A1268" i="9"/>
  <c r="A1272" i="9"/>
  <c r="A1276" i="9"/>
  <c r="A1280" i="9"/>
  <c r="A1284" i="9"/>
  <c r="A1288" i="9"/>
  <c r="A1292" i="9"/>
  <c r="A632" i="9"/>
  <c r="A760" i="9"/>
  <c r="A600" i="9"/>
  <c r="A857" i="9"/>
  <c r="A292" i="9"/>
  <c r="A316" i="9"/>
  <c r="A177" i="9"/>
  <c r="A285" i="9"/>
  <c r="A182" i="9"/>
  <c r="A290" i="9"/>
  <c r="A346" i="9"/>
  <c r="A358" i="9"/>
  <c r="A462" i="9"/>
  <c r="A478" i="9"/>
  <c r="A171" i="9"/>
  <c r="A351" i="9"/>
  <c r="A388" i="9"/>
  <c r="A404" i="9"/>
  <c r="A436" i="9"/>
  <c r="A476" i="9"/>
  <c r="A585" i="9"/>
  <c r="A613" i="9"/>
  <c r="A689" i="9"/>
  <c r="A709" i="9"/>
  <c r="A717" i="9"/>
  <c r="A598" i="9"/>
  <c r="A588" i="9"/>
  <c r="A1182" i="9"/>
  <c r="A672" i="9"/>
  <c r="A1187" i="9"/>
  <c r="A1191" i="9"/>
  <c r="A1184" i="9"/>
  <c r="A1196" i="9"/>
  <c r="A1200" i="9"/>
  <c r="A1204" i="9"/>
  <c r="A1217" i="9"/>
  <c r="A1325" i="9"/>
  <c r="A1193" i="9"/>
  <c r="A716" i="9"/>
  <c r="A931" i="9"/>
  <c r="A708" i="9"/>
  <c r="A1350" i="9"/>
  <c r="A332" i="9"/>
  <c r="A336" i="9"/>
  <c r="A310" i="9"/>
  <c r="A338" i="9"/>
  <c r="A303" i="9"/>
  <c r="A335" i="9"/>
  <c r="A337" i="9"/>
  <c r="A471" i="9"/>
  <c r="A412" i="9"/>
  <c r="A416" i="9"/>
  <c r="A560" i="9"/>
  <c r="A457" i="9"/>
  <c r="A553" i="9"/>
  <c r="A569" i="9"/>
  <c r="A605" i="9"/>
  <c r="A609" i="9"/>
  <c r="A637" i="9"/>
  <c r="A645" i="9"/>
  <c r="A381" i="9"/>
  <c r="A397" i="9"/>
  <c r="A630" i="9"/>
  <c r="A647" i="9"/>
  <c r="A651" i="9"/>
  <c r="A870" i="9"/>
  <c r="A878" i="9"/>
  <c r="A1158" i="9"/>
  <c r="A867" i="9"/>
  <c r="A1367" i="9"/>
  <c r="A860" i="9"/>
  <c r="A868" i="9"/>
  <c r="A880" i="9"/>
  <c r="A616" i="9"/>
  <c r="A1358" i="9"/>
  <c r="A1369" i="9"/>
  <c r="A877" i="9"/>
  <c r="A1370" i="9"/>
  <c r="A1376" i="9"/>
  <c r="A1361" i="9"/>
  <c r="A826" i="9"/>
  <c r="A820" i="9"/>
  <c r="A824" i="9"/>
  <c r="A988" i="9"/>
  <c r="A1065" i="9"/>
  <c r="E36" i="4"/>
  <c r="E47" i="4"/>
  <c r="A36" i="9" l="1"/>
  <c r="A68" i="9"/>
  <c r="A104" i="9"/>
  <c r="A216" i="9"/>
  <c r="A220" i="9"/>
  <c r="A240" i="9"/>
  <c r="A340" i="9"/>
  <c r="A109" i="9"/>
  <c r="A225" i="9"/>
  <c r="A245" i="9"/>
  <c r="A230" i="9"/>
  <c r="A23" i="9"/>
  <c r="A59" i="9"/>
  <c r="A235" i="9"/>
  <c r="A47" i="9"/>
  <c r="A63" i="9"/>
  <c r="A211" i="9"/>
  <c r="A377" i="9"/>
  <c r="A505" i="9"/>
  <c r="A777" i="9"/>
  <c r="A99" i="9"/>
  <c r="A774" i="9"/>
  <c r="A739" i="9"/>
  <c r="A747" i="9"/>
  <c r="A752" i="9"/>
  <c r="A756" i="9"/>
  <c r="A28" i="9"/>
  <c r="A52" i="9"/>
  <c r="A120" i="9"/>
  <c r="A164" i="9"/>
  <c r="A41" i="9"/>
  <c r="A137" i="9"/>
  <c r="A157" i="9"/>
  <c r="A151" i="9"/>
  <c r="A263" i="9"/>
  <c r="A374" i="9"/>
  <c r="A407" i="9"/>
  <c r="A423" i="9"/>
  <c r="A455" i="9"/>
  <c r="A127" i="9"/>
  <c r="A255" i="9"/>
  <c r="A271" i="9"/>
  <c r="A392" i="9"/>
  <c r="A432" i="9"/>
  <c r="A444" i="9"/>
  <c r="A504" i="9"/>
  <c r="A661" i="9"/>
  <c r="A678" i="9"/>
  <c r="A727" i="9"/>
  <c r="A763" i="9"/>
  <c r="A620" i="9"/>
  <c r="A636" i="9"/>
  <c r="A814" i="9"/>
  <c r="A866" i="9"/>
  <c r="A886" i="9"/>
  <c r="A946" i="9"/>
  <c r="A954" i="9"/>
  <c r="A962" i="9"/>
  <c r="A1054" i="9"/>
  <c r="A1062" i="9"/>
  <c r="A1070" i="9"/>
  <c r="A1078" i="9"/>
  <c r="A1086" i="9"/>
  <c r="A1094" i="9"/>
  <c r="A1102" i="9"/>
  <c r="A1110" i="9"/>
  <c r="A1118" i="9"/>
  <c r="A1126" i="9"/>
  <c r="A1134" i="9"/>
  <c r="A1142" i="9"/>
  <c r="A1150" i="9"/>
  <c r="A469" i="9"/>
  <c r="A768" i="9"/>
  <c r="A923" i="9"/>
  <c r="A939" i="9"/>
  <c r="A1039" i="9"/>
  <c r="A1047" i="9"/>
  <c r="A612" i="9"/>
  <c r="A811" i="9"/>
  <c r="A848" i="9"/>
  <c r="A876" i="9"/>
  <c r="A992" i="9"/>
  <c r="A1000" i="9"/>
  <c r="A1032" i="9"/>
  <c r="A1160" i="9"/>
  <c r="A1009" i="9"/>
  <c r="A1025" i="9"/>
  <c r="A973" i="9"/>
  <c r="A905" i="9"/>
  <c r="A985" i="9"/>
  <c r="A1017" i="9"/>
  <c r="E40" i="4"/>
  <c r="E61" i="4"/>
  <c r="E19" i="4"/>
  <c r="E31" i="4"/>
  <c r="E53" i="4"/>
  <c r="E38" i="4"/>
  <c r="E43" i="4"/>
  <c r="E42" i="4"/>
  <c r="A13" i="9" s="1"/>
  <c r="E48" i="4"/>
  <c r="E46" i="4"/>
  <c r="E33" i="4"/>
  <c r="E17" i="3"/>
  <c r="C54" i="4" l="1"/>
  <c r="E54" i="4" s="1"/>
  <c r="C55" i="4"/>
  <c r="E55" i="4" s="1"/>
  <c r="C56" i="4"/>
  <c r="E56" i="4" s="1"/>
  <c r="A1163" i="9" s="1"/>
  <c r="C57" i="4"/>
  <c r="E57" i="4" s="1"/>
  <c r="C58" i="4"/>
  <c r="E58" i="4" s="1"/>
  <c r="A1323" i="9" s="1"/>
  <c r="C59" i="4"/>
  <c r="E59" i="4" s="1"/>
  <c r="C60" i="4"/>
  <c r="E60" i="4" s="1"/>
  <c r="A701" i="9"/>
  <c r="A731" i="9"/>
  <c r="A735" i="9"/>
  <c r="A806" i="9"/>
  <c r="A842" i="9"/>
  <c r="A808" i="9"/>
  <c r="A832" i="9"/>
  <c r="A840" i="9"/>
  <c r="A949" i="9"/>
  <c r="A965" i="9"/>
  <c r="A957" i="9"/>
  <c r="A56" i="9"/>
  <c r="A200" i="9"/>
  <c r="A125" i="9"/>
  <c r="A149" i="9"/>
  <c r="A253" i="9"/>
  <c r="A261" i="9"/>
  <c r="A269" i="9"/>
  <c r="A26" i="9"/>
  <c r="A50" i="9"/>
  <c r="A118" i="9"/>
  <c r="A162" i="9"/>
  <c r="A190" i="9"/>
  <c r="A194" i="9"/>
  <c r="A206" i="9"/>
  <c r="A39" i="9"/>
  <c r="A135" i="9"/>
  <c r="A327" i="9"/>
  <c r="A390" i="9"/>
  <c r="A430" i="9"/>
  <c r="A442" i="9"/>
  <c r="A502" i="9"/>
  <c r="A155" i="9"/>
  <c r="A467" i="9"/>
  <c r="A323" i="9"/>
  <c r="A372" i="9"/>
  <c r="A725" i="9"/>
  <c r="A761" i="9"/>
  <c r="A809" i="9"/>
  <c r="A549" i="9"/>
  <c r="A554" i="9"/>
  <c r="A570" i="9"/>
  <c r="A610" i="9"/>
  <c r="A618" i="9"/>
  <c r="A634" i="9"/>
  <c r="A766" i="9"/>
  <c r="A786" i="9"/>
  <c r="A790" i="9"/>
  <c r="A561" i="9"/>
  <c r="A603" i="9"/>
  <c r="A663" i="9"/>
  <c r="A453" i="9"/>
  <c r="A846" i="9"/>
  <c r="A874" i="9"/>
  <c r="A930" i="9"/>
  <c r="A990" i="9"/>
  <c r="A998" i="9"/>
  <c r="A1030" i="9"/>
  <c r="A405" i="9"/>
  <c r="A927" i="9"/>
  <c r="A971" i="9"/>
  <c r="A983" i="9"/>
  <c r="A1007" i="9"/>
  <c r="A1015" i="9"/>
  <c r="A1023" i="9"/>
  <c r="A1251" i="9"/>
  <c r="A1379" i="9"/>
  <c r="A421" i="9"/>
  <c r="A628" i="9"/>
  <c r="A864" i="9"/>
  <c r="A884" i="9"/>
  <c r="A916" i="9"/>
  <c r="A932" i="9"/>
  <c r="A944" i="9"/>
  <c r="A952" i="9"/>
  <c r="A960" i="9"/>
  <c r="A1052" i="9"/>
  <c r="A1060" i="9"/>
  <c r="A1068" i="9"/>
  <c r="A1076" i="9"/>
  <c r="A1084" i="9"/>
  <c r="A1092" i="9"/>
  <c r="A1100" i="9"/>
  <c r="A1108" i="9"/>
  <c r="A1116" i="9"/>
  <c r="A1124" i="9"/>
  <c r="A1132" i="9"/>
  <c r="A1140" i="9"/>
  <c r="A1148" i="9"/>
  <c r="A680" i="9"/>
  <c r="A901" i="9"/>
  <c r="A1045" i="9"/>
  <c r="A812" i="9"/>
  <c r="A1037" i="9"/>
  <c r="A921" i="9"/>
  <c r="A937" i="9"/>
  <c r="A1161" i="9"/>
  <c r="A1372" i="9"/>
  <c r="A1382" i="9"/>
  <c r="A15" i="9"/>
  <c r="A887" i="9"/>
  <c r="A891" i="9"/>
  <c r="A1355" i="9"/>
  <c r="A1363" i="9"/>
  <c r="A1365" i="9"/>
  <c r="A889" i="9"/>
  <c r="A1366" i="9"/>
  <c r="A1242" i="9"/>
  <c r="A1360" i="9"/>
  <c r="A1241" i="9"/>
  <c r="A252" i="9"/>
  <c r="A260" i="9"/>
  <c r="A268" i="9"/>
  <c r="A186" i="9"/>
  <c r="A415" i="9"/>
  <c r="A491" i="9"/>
  <c r="A331" i="9"/>
  <c r="A548" i="9"/>
  <c r="A617" i="9"/>
  <c r="A633" i="9"/>
  <c r="A677" i="9"/>
  <c r="A765" i="9"/>
  <c r="A797" i="9"/>
  <c r="A970" i="9"/>
  <c r="A982" i="9"/>
  <c r="A1006" i="9"/>
  <c r="A1014" i="9"/>
  <c r="A1022" i="9"/>
  <c r="A1206" i="9"/>
  <c r="A1250" i="9"/>
  <c r="A863" i="9"/>
  <c r="A883" i="9"/>
  <c r="A943" i="9"/>
  <c r="A951" i="9"/>
  <c r="A959" i="9"/>
  <c r="A1051" i="9"/>
  <c r="A1059" i="9"/>
  <c r="A1067" i="9"/>
  <c r="A1075" i="9"/>
  <c r="A1083" i="9"/>
  <c r="A1091" i="9"/>
  <c r="A1099" i="9"/>
  <c r="A1107" i="9"/>
  <c r="A1115" i="9"/>
  <c r="A1123" i="9"/>
  <c r="A1131" i="9"/>
  <c r="A1139" i="9"/>
  <c r="A1147" i="9"/>
  <c r="A660" i="9"/>
  <c r="A936" i="9"/>
  <c r="A1036" i="9"/>
  <c r="A1044" i="9"/>
  <c r="A501" i="9"/>
  <c r="A1378" i="9"/>
  <c r="A997" i="9"/>
  <c r="A1029" i="9"/>
  <c r="A1381" i="9"/>
  <c r="A989" i="9"/>
  <c r="A873" i="9"/>
  <c r="A845" i="9"/>
  <c r="A24" i="9"/>
  <c r="A48" i="9"/>
  <c r="A60" i="9"/>
  <c r="A64" i="9"/>
  <c r="A84" i="9"/>
  <c r="A88" i="9"/>
  <c r="A92" i="9"/>
  <c r="A140" i="9"/>
  <c r="A212" i="9"/>
  <c r="A37" i="9"/>
  <c r="A69" i="9"/>
  <c r="A117" i="9"/>
  <c r="A145" i="9"/>
  <c r="A153" i="9"/>
  <c r="A189" i="9"/>
  <c r="A193" i="9"/>
  <c r="A205" i="9"/>
  <c r="A217" i="9"/>
  <c r="A221" i="9"/>
  <c r="A6" i="9"/>
  <c r="A114" i="9"/>
  <c r="A130" i="9"/>
  <c r="A134" i="9"/>
  <c r="A226" i="9"/>
  <c r="A250" i="9"/>
  <c r="A258" i="9"/>
  <c r="A266" i="9"/>
  <c r="A322" i="9"/>
  <c r="A326" i="9"/>
  <c r="A183" i="9"/>
  <c r="A199" i="9"/>
  <c r="A231" i="9"/>
  <c r="A418" i="9"/>
  <c r="A450" i="9"/>
  <c r="A486" i="9"/>
  <c r="A123" i="9"/>
  <c r="A297" i="9"/>
  <c r="A305" i="9"/>
  <c r="A371" i="9"/>
  <c r="A427" i="9"/>
  <c r="A439" i="9"/>
  <c r="A159" i="9"/>
  <c r="A464" i="9"/>
  <c r="A147" i="9"/>
  <c r="A753" i="9"/>
  <c r="A757" i="9"/>
  <c r="A789" i="9"/>
  <c r="A493" i="9"/>
  <c r="A385" i="9"/>
  <c r="A401" i="9"/>
  <c r="A546" i="9"/>
  <c r="A748" i="9"/>
  <c r="A783" i="9"/>
  <c r="A1371" i="9"/>
  <c r="A740" i="9"/>
  <c r="A771" i="9"/>
  <c r="A906" i="9"/>
  <c r="A914" i="9"/>
  <c r="A895" i="9"/>
  <c r="A899" i="9"/>
  <c r="A903" i="9"/>
  <c r="A911" i="9"/>
  <c r="A908" i="9"/>
  <c r="A897" i="9"/>
  <c r="A347" i="9"/>
  <c r="A359" i="9"/>
  <c r="A352" i="9"/>
  <c r="A659" i="9"/>
  <c r="A676" i="9"/>
  <c r="E34" i="4"/>
  <c r="E37" i="4"/>
  <c r="E49" i="4"/>
  <c r="E98" i="4"/>
  <c r="E88" i="4"/>
  <c r="C3" i="5"/>
  <c r="A568" i="9" l="1"/>
  <c r="A577" i="9"/>
  <c r="A856" i="9"/>
  <c r="A572" i="9"/>
  <c r="A582" i="9"/>
  <c r="A853" i="9"/>
  <c r="A580" i="9"/>
  <c r="A707" i="9"/>
  <c r="A1157" i="9"/>
  <c r="A563" i="9"/>
  <c r="A715" i="9"/>
  <c r="A579" i="9"/>
  <c r="A850" i="9"/>
  <c r="A669" i="9"/>
  <c r="A858" i="9"/>
  <c r="A477" i="9"/>
  <c r="A843" i="9"/>
  <c r="A559" i="9"/>
  <c r="A851" i="9"/>
  <c r="A463" i="9"/>
  <c r="A565" i="9"/>
  <c r="A859" i="9"/>
  <c r="A552" i="9"/>
  <c r="A581" i="9"/>
  <c r="A557" i="9"/>
  <c r="A556" i="9"/>
  <c r="A686" i="9"/>
  <c r="A578" i="9"/>
  <c r="A564" i="9"/>
  <c r="A566" i="9"/>
  <c r="A844" i="9"/>
  <c r="A344" i="9"/>
  <c r="A1326" i="9"/>
  <c r="A364" i="9"/>
  <c r="A909" i="9"/>
  <c r="A705" i="9"/>
  <c r="A1329" i="9"/>
  <c r="A713" i="9"/>
  <c r="A898" i="9"/>
  <c r="A357" i="9"/>
  <c r="A896" i="9"/>
  <c r="A900" i="9"/>
  <c r="A904" i="9"/>
  <c r="A912" i="9"/>
  <c r="A920" i="9"/>
  <c r="A367" i="9"/>
  <c r="A1324" i="9"/>
  <c r="A32" i="9"/>
  <c r="A72" i="9"/>
  <c r="A112" i="9"/>
  <c r="A128" i="9"/>
  <c r="A132" i="9"/>
  <c r="A152" i="9"/>
  <c r="A204" i="9"/>
  <c r="A228" i="9"/>
  <c r="A280" i="9"/>
  <c r="A300" i="9"/>
  <c r="A9" i="9"/>
  <c r="A21" i="9"/>
  <c r="A77" i="9"/>
  <c r="A81" i="9"/>
  <c r="A85" i="9"/>
  <c r="A89" i="9"/>
  <c r="A97" i="9"/>
  <c r="A121" i="9"/>
  <c r="A209" i="9"/>
  <c r="A233" i="9"/>
  <c r="A277" i="9"/>
  <c r="A54" i="9"/>
  <c r="A62" i="9"/>
  <c r="A102" i="9"/>
  <c r="A138" i="9"/>
  <c r="A142" i="9"/>
  <c r="A146" i="9"/>
  <c r="A158" i="9"/>
  <c r="A198" i="9"/>
  <c r="A214" i="9"/>
  <c r="A218" i="9"/>
  <c r="A238" i="9"/>
  <c r="A282" i="9"/>
  <c r="A306" i="9"/>
  <c r="A342" i="9"/>
  <c r="A362" i="9"/>
  <c r="A474" i="9"/>
  <c r="A43" i="9"/>
  <c r="A107" i="9"/>
  <c r="A251" i="9"/>
  <c r="A267" i="9"/>
  <c r="A313" i="9"/>
  <c r="A321" i="9"/>
  <c r="A329" i="9"/>
  <c r="A355" i="9"/>
  <c r="A387" i="9"/>
  <c r="A403" i="9"/>
  <c r="A419" i="9"/>
  <c r="A495" i="9"/>
  <c r="A507" i="9"/>
  <c r="A95" i="9"/>
  <c r="A223" i="9"/>
  <c r="A287" i="9"/>
  <c r="A299" i="9"/>
  <c r="A339" i="9"/>
  <c r="A368" i="9"/>
  <c r="A428" i="9"/>
  <c r="A440" i="9"/>
  <c r="A460" i="9"/>
  <c r="A19" i="9"/>
  <c r="A489" i="9"/>
  <c r="A558" i="9"/>
  <c r="A673" i="9"/>
  <c r="A325" i="9"/>
  <c r="A365" i="9"/>
  <c r="A413" i="9"/>
  <c r="A746" i="9"/>
  <c r="A750" i="9"/>
  <c r="A115" i="9"/>
  <c r="A243" i="9"/>
  <c r="A333" i="9"/>
  <c r="A595" i="9"/>
  <c r="A759" i="9"/>
  <c r="A67" i="9"/>
  <c r="A309" i="9"/>
  <c r="A567" i="9"/>
  <c r="A652" i="9"/>
  <c r="A910" i="9"/>
  <c r="A934" i="9"/>
  <c r="A1166" i="9"/>
  <c r="A1222" i="9"/>
  <c r="A551" i="9"/>
  <c r="A573" i="9"/>
  <c r="A656" i="9"/>
  <c r="A720" i="9"/>
  <c r="A792" i="9"/>
  <c r="A1207" i="9"/>
  <c r="A1227" i="9"/>
  <c r="A1255" i="9"/>
  <c r="A1259" i="9"/>
  <c r="A1263" i="9"/>
  <c r="A1267" i="9"/>
  <c r="A1271" i="9"/>
  <c r="A1275" i="9"/>
  <c r="A1279" i="9"/>
  <c r="A1283" i="9"/>
  <c r="A1287" i="9"/>
  <c r="A1291" i="9"/>
  <c r="A1331" i="9"/>
  <c r="A795" i="9"/>
  <c r="A852" i="9"/>
  <c r="A1164" i="9"/>
  <c r="A1172" i="9"/>
  <c r="A1232" i="9"/>
  <c r="A259" i="9"/>
  <c r="A913" i="9"/>
  <c r="A1249" i="9"/>
  <c r="A1337" i="9"/>
  <c r="A1348" i="9"/>
  <c r="A1353" i="9"/>
  <c r="A1436" i="9"/>
  <c r="A1456" i="9"/>
  <c r="A925" i="9"/>
  <c r="A1173" i="9"/>
  <c r="A1344" i="9"/>
  <c r="A1453" i="9"/>
  <c r="A1473" i="9"/>
  <c r="A1485" i="9"/>
  <c r="A1497" i="9"/>
  <c r="A1509" i="9"/>
  <c r="A1447" i="9"/>
  <c r="A1491" i="9"/>
  <c r="A1503" i="9"/>
  <c r="A1209" i="9"/>
  <c r="A1334" i="9"/>
  <c r="A1340" i="9"/>
  <c r="A1450" i="9"/>
  <c r="A1419" i="9"/>
  <c r="A1463" i="9"/>
  <c r="A1479" i="9"/>
  <c r="A40" i="9"/>
  <c r="A136" i="9"/>
  <c r="A156" i="9"/>
  <c r="A324" i="9"/>
  <c r="A328" i="9"/>
  <c r="A201" i="9"/>
  <c r="A126" i="9"/>
  <c r="A150" i="9"/>
  <c r="A254" i="9"/>
  <c r="A262" i="9"/>
  <c r="A270" i="9"/>
  <c r="A119" i="9"/>
  <c r="A406" i="9"/>
  <c r="A422" i="9"/>
  <c r="A454" i="9"/>
  <c r="A27" i="9"/>
  <c r="A391" i="9"/>
  <c r="A431" i="9"/>
  <c r="A443" i="9"/>
  <c r="A503" i="9"/>
  <c r="A191" i="9"/>
  <c r="A468" i="9"/>
  <c r="A629" i="9"/>
  <c r="A681" i="9"/>
  <c r="A813" i="9"/>
  <c r="A163" i="9"/>
  <c r="A726" i="9"/>
  <c r="A762" i="9"/>
  <c r="A810" i="9"/>
  <c r="A51" i="9"/>
  <c r="A550" i="9"/>
  <c r="A555" i="9"/>
  <c r="A571" i="9"/>
  <c r="A611" i="9"/>
  <c r="A619" i="9"/>
  <c r="A635" i="9"/>
  <c r="A767" i="9"/>
  <c r="A604" i="9"/>
  <c r="A791" i="9"/>
  <c r="A902" i="9"/>
  <c r="A922" i="9"/>
  <c r="A938" i="9"/>
  <c r="A1038" i="9"/>
  <c r="A1046" i="9"/>
  <c r="A1162" i="9"/>
  <c r="A847" i="9"/>
  <c r="A875" i="9"/>
  <c r="A991" i="9"/>
  <c r="A999" i="9"/>
  <c r="A1031" i="9"/>
  <c r="A195" i="9"/>
  <c r="A787" i="9"/>
  <c r="A972" i="9"/>
  <c r="A984" i="9"/>
  <c r="A1008" i="9"/>
  <c r="A1016" i="9"/>
  <c r="A1024" i="9"/>
  <c r="A1252" i="9"/>
  <c r="A865" i="9"/>
  <c r="A929" i="9"/>
  <c r="A945" i="9"/>
  <c r="A961" i="9"/>
  <c r="A1380" i="9"/>
  <c r="A1085" i="9"/>
  <c r="A1133" i="9"/>
  <c r="A373" i="9"/>
  <c r="A562" i="9"/>
  <c r="A885" i="9"/>
  <c r="A917" i="9"/>
  <c r="A933" i="9"/>
  <c r="A1061" i="9"/>
  <c r="A1077" i="9"/>
  <c r="A1093" i="9"/>
  <c r="A1109" i="9"/>
  <c r="A1125" i="9"/>
  <c r="A1141" i="9"/>
  <c r="A1069" i="9"/>
  <c r="A1117" i="9"/>
  <c r="A953" i="9"/>
  <c r="A664" i="9"/>
  <c r="A1053" i="9"/>
  <c r="A1101" i="9"/>
  <c r="A1149" i="9"/>
  <c r="A1373" i="9"/>
  <c r="A498" i="9"/>
  <c r="A510" i="9"/>
  <c r="A522" i="9"/>
  <c r="A534" i="9"/>
  <c r="A516" i="9"/>
  <c r="A528" i="9"/>
  <c r="A540" i="9"/>
  <c r="A710" i="9"/>
  <c r="A718" i="9"/>
  <c r="A449" i="9"/>
  <c r="A1387" i="9"/>
  <c r="A1391" i="9"/>
  <c r="A1395" i="9"/>
  <c r="A1403" i="9"/>
  <c r="A1399" i="9"/>
  <c r="A1411" i="9"/>
  <c r="A1407" i="9"/>
  <c r="A96" i="9"/>
  <c r="A100" i="9"/>
  <c r="A236" i="9"/>
  <c r="A25" i="9"/>
  <c r="A49" i="9"/>
  <c r="A73" i="9"/>
  <c r="A105" i="9"/>
  <c r="A241" i="9"/>
  <c r="A38" i="9"/>
  <c r="A78" i="9"/>
  <c r="A82" i="9"/>
  <c r="A86" i="9"/>
  <c r="A90" i="9"/>
  <c r="A110" i="9"/>
  <c r="A246" i="9"/>
  <c r="A330" i="9"/>
  <c r="A334" i="9"/>
  <c r="A7" i="9"/>
  <c r="A370" i="9"/>
  <c r="A414" i="9"/>
  <c r="A466" i="9"/>
  <c r="A75" i="9"/>
  <c r="A384" i="9"/>
  <c r="A400" i="9"/>
  <c r="A452" i="9"/>
  <c r="A547" i="9"/>
  <c r="A778" i="9"/>
  <c r="A794" i="9"/>
  <c r="A775" i="9"/>
  <c r="A784" i="9"/>
  <c r="A1359" i="9"/>
  <c r="A1374" i="9"/>
  <c r="E4" i="3"/>
  <c r="E6" i="3"/>
  <c r="C11" i="4" s="1"/>
  <c r="E11" i="4" s="1"/>
  <c r="E8" i="3"/>
  <c r="E9" i="3"/>
  <c r="C18" i="4" s="1"/>
  <c r="E18" i="4" s="1"/>
  <c r="E19" i="3"/>
  <c r="E22" i="3"/>
  <c r="E20" i="3"/>
  <c r="C66" i="4" s="1"/>
  <c r="E66" i="4" s="1"/>
  <c r="E15" i="3"/>
  <c r="E3" i="3"/>
  <c r="D2" i="2"/>
  <c r="E2" i="2" s="1"/>
  <c r="F2" i="2" s="1"/>
  <c r="G2" i="2" s="1"/>
  <c r="H2" i="2" s="1"/>
  <c r="I2" i="2" s="1"/>
  <c r="J2" i="2" s="1"/>
  <c r="K2" i="2" s="1"/>
  <c r="A793" i="9" l="1"/>
  <c r="A543" i="9"/>
  <c r="A782" i="9"/>
  <c r="A788" i="9"/>
  <c r="A796" i="9"/>
  <c r="C3" i="4"/>
  <c r="E3" i="4" s="1"/>
  <c r="C4" i="4"/>
  <c r="E4" i="4" s="1"/>
  <c r="C5" i="4"/>
  <c r="E5" i="4" s="1"/>
  <c r="A1357" i="9" s="1"/>
  <c r="C50" i="4"/>
  <c r="E50" i="4" s="1"/>
  <c r="A1383" i="9" s="1"/>
  <c r="C51" i="4"/>
  <c r="E51" i="4" s="1"/>
  <c r="A831" i="9"/>
  <c r="A919" i="9"/>
  <c r="A1137" i="9"/>
  <c r="A1129" i="9"/>
  <c r="C14" i="4"/>
  <c r="E14" i="4" s="1"/>
  <c r="C15" i="4"/>
  <c r="E15" i="4" s="1"/>
  <c r="C16" i="4"/>
  <c r="E16" i="4" s="1"/>
  <c r="C17" i="4"/>
  <c r="E17" i="4" s="1"/>
  <c r="A834" i="9" s="1"/>
  <c r="C6" i="4"/>
  <c r="E6" i="4" s="1"/>
  <c r="C7" i="4"/>
  <c r="E7" i="4" s="1"/>
  <c r="C8" i="4"/>
  <c r="E8" i="4" s="1"/>
  <c r="C9" i="4"/>
  <c r="E9" i="4" s="1"/>
  <c r="C65" i="4"/>
  <c r="E65" i="4" s="1"/>
  <c r="C63" i="4"/>
  <c r="E63" i="4" s="1"/>
  <c r="C64" i="4"/>
  <c r="E64" i="4" s="1"/>
  <c r="A433" i="9" l="1"/>
  <c r="A283" i="9"/>
  <c r="A284" i="9"/>
  <c r="A424" i="9"/>
  <c r="A480" i="9"/>
  <c r="A729" i="9"/>
  <c r="A445" i="9"/>
  <c r="A698" i="9"/>
  <c r="A497" i="9"/>
  <c r="A1393" i="9"/>
  <c r="A533" i="9"/>
  <c r="A509" i="9"/>
  <c r="A539" i="9"/>
  <c r="A737" i="9"/>
  <c r="A743" i="9"/>
  <c r="A527" i="9"/>
  <c r="A1385" i="9"/>
  <c r="A12" i="9"/>
  <c r="A1397" i="9"/>
  <c r="A1389" i="9"/>
  <c r="A17" i="9"/>
  <c r="A1401" i="9"/>
  <c r="A515" i="9"/>
  <c r="A1405" i="9"/>
  <c r="A521" i="9"/>
  <c r="A1409" i="9"/>
  <c r="A1312" i="9"/>
  <c r="A1262" i="9"/>
  <c r="A1320" i="9"/>
  <c r="A1270" i="9"/>
  <c r="A1258" i="9"/>
  <c r="A1278" i="9"/>
  <c r="A1266" i="9"/>
  <c r="A1286" i="9"/>
  <c r="A1274" i="9"/>
  <c r="A1294" i="9"/>
  <c r="A1282" i="9"/>
  <c r="A1318" i="9"/>
  <c r="A1290" i="9"/>
  <c r="A1306" i="9"/>
  <c r="A1322" i="9"/>
  <c r="A1303" i="9"/>
  <c r="A1309" i="9"/>
  <c r="A1315" i="9"/>
  <c r="A1297" i="9"/>
  <c r="A1300" i="9"/>
  <c r="A1254" i="9"/>
  <c r="A1239" i="9"/>
  <c r="A1225" i="9"/>
  <c r="A1216" i="9"/>
  <c r="A1414" i="9"/>
  <c r="A1244" i="9"/>
  <c r="A1422" i="9"/>
  <c r="A1412" i="9"/>
  <c r="A1221" i="9"/>
  <c r="A1445" i="9"/>
  <c r="A1417" i="9"/>
  <c r="A1425" i="9"/>
  <c r="A1429" i="9"/>
  <c r="A1235" i="9"/>
  <c r="A1433" i="9"/>
  <c r="A1230" i="9"/>
  <c r="A1437" i="9"/>
  <c r="A1246" i="9"/>
  <c r="A1441" i="9"/>
  <c r="A1311" i="9"/>
  <c r="A1285" i="9"/>
  <c r="A1356" i="9"/>
  <c r="A1319" i="9"/>
  <c r="A1293" i="9"/>
  <c r="A1296" i="9"/>
  <c r="A1257" i="9"/>
  <c r="A1308" i="9"/>
  <c r="A1273" i="9"/>
  <c r="A1314" i="9"/>
  <c r="A1321" i="9"/>
  <c r="A1265" i="9"/>
  <c r="A1302" i="9"/>
  <c r="A1253" i="9"/>
  <c r="A1281" i="9"/>
  <c r="A1261" i="9"/>
  <c r="A1305" i="9"/>
  <c r="A1269" i="9"/>
  <c r="A1289" i="9"/>
  <c r="A1299" i="9"/>
  <c r="A1277" i="9"/>
  <c r="A1375" i="9"/>
  <c r="A1317" i="9"/>
  <c r="A802" i="9"/>
  <c r="A979" i="9"/>
  <c r="A987" i="9"/>
  <c r="A995" i="9"/>
  <c r="A976" i="9"/>
  <c r="A1004" i="9"/>
  <c r="A1028" i="9"/>
  <c r="A1013" i="9"/>
  <c r="A1021" i="9"/>
  <c r="A1035" i="9"/>
  <c r="A804" i="9"/>
  <c r="A224" i="9"/>
  <c r="A66" i="9"/>
  <c r="A496" i="9"/>
  <c r="A862" i="9"/>
  <c r="A3" i="9"/>
  <c r="A520" i="9"/>
  <c r="A1400" i="9"/>
  <c r="A244" i="9"/>
  <c r="A106" i="9"/>
  <c r="A508" i="9"/>
  <c r="A882" i="9"/>
  <c r="A772" i="9"/>
  <c r="A776" i="9"/>
  <c r="A256" i="9"/>
  <c r="A210" i="9"/>
  <c r="A532" i="9"/>
  <c r="A1243" i="9"/>
  <c r="A780" i="9"/>
  <c r="A264" i="9"/>
  <c r="A234" i="9"/>
  <c r="A745" i="9"/>
  <c r="A872" i="9"/>
  <c r="A738" i="9"/>
  <c r="A101" i="9"/>
  <c r="A71" i="9"/>
  <c r="A749" i="9"/>
  <c r="A1364" i="9"/>
  <c r="A229" i="9"/>
  <c r="A165" i="9"/>
  <c r="A215" i="9"/>
  <c r="A538" i="9"/>
  <c r="A1396" i="9"/>
  <c r="A273" i="9"/>
  <c r="A526" i="9"/>
  <c r="A754" i="9"/>
  <c r="A1404" i="9"/>
  <c r="A1388" i="9"/>
  <c r="A10" i="9"/>
  <c r="A219" i="9"/>
  <c r="A758" i="9"/>
  <c r="A1408" i="9"/>
  <c r="A154" i="9"/>
  <c r="A148" i="9"/>
  <c r="A14" i="9"/>
  <c r="A111" i="9"/>
  <c r="A732" i="9"/>
  <c r="A1392" i="9"/>
  <c r="A514" i="9"/>
  <c r="A160" i="9"/>
  <c r="A58" i="9"/>
  <c r="A239" i="9"/>
  <c r="A764" i="9"/>
  <c r="A1384" i="9"/>
  <c r="A248" i="9"/>
  <c r="A799" i="9"/>
  <c r="A1058" i="9"/>
  <c r="A1154" i="9"/>
  <c r="A1012" i="9"/>
  <c r="A807" i="9"/>
  <c r="A1066" i="9"/>
  <c r="A800" i="9"/>
  <c r="A1020" i="9"/>
  <c r="A818" i="9"/>
  <c r="A1074" i="9"/>
  <c r="A823" i="9"/>
  <c r="A977" i="9"/>
  <c r="A942" i="9"/>
  <c r="A1082" i="9"/>
  <c r="A827" i="9"/>
  <c r="A821" i="9"/>
  <c r="A950" i="9"/>
  <c r="A1090" i="9"/>
  <c r="A835" i="9"/>
  <c r="A837" i="9"/>
  <c r="A1050" i="9"/>
  <c r="A958" i="9"/>
  <c r="A1098" i="9"/>
  <c r="A839" i="9"/>
  <c r="A825" i="9"/>
  <c r="A1146" i="9"/>
  <c r="A816" i="9"/>
  <c r="A966" i="9"/>
  <c r="A1106" i="9"/>
  <c r="A935" i="9"/>
  <c r="A841" i="9"/>
  <c r="A986" i="9"/>
  <c r="A1114" i="9"/>
  <c r="A967" i="9"/>
  <c r="A969" i="9"/>
  <c r="A805" i="9"/>
  <c r="A994" i="9"/>
  <c r="A1122" i="9"/>
  <c r="A1003" i="9"/>
  <c r="A829" i="9"/>
  <c r="A1034" i="9"/>
  <c r="A1130" i="9"/>
  <c r="A1027" i="9"/>
  <c r="A801" i="9"/>
  <c r="A1042" i="9"/>
  <c r="A1138" i="9"/>
  <c r="A803" i="9"/>
  <c r="A535" i="9"/>
  <c r="A541" i="9"/>
  <c r="A744" i="9"/>
  <c r="A499" i="9"/>
  <c r="A511" i="9"/>
  <c r="A529" i="9"/>
  <c r="A523" i="9"/>
  <c r="A517" i="9"/>
  <c r="A736" i="9"/>
  <c r="A996" i="9"/>
  <c r="A100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Toby</author>
  </authors>
  <commentList>
    <comment ref="C1" authorId="0" shapeId="0" xr:uid="{E8459E36-43D6-4470-9327-267B02D71AF4}">
      <text>
        <r>
          <rPr>
            <sz val="9"/>
            <color rgb="FF000000"/>
            <rFont val="Tahoma"/>
            <family val="2"/>
          </rPr>
          <t xml:space="preserve">@startuml
</t>
        </r>
        <r>
          <rPr>
            <sz val="9"/>
            <color rgb="FF000000"/>
            <rFont val="Tahoma"/>
            <family val="2"/>
          </rPr>
          <t xml:space="preserve">' avoid problems with angled crows feet
</t>
        </r>
        <r>
          <rPr>
            <sz val="9"/>
            <color rgb="FF000000"/>
            <rFont val="Tahoma"/>
            <family val="2"/>
          </rPr>
          <t xml:space="preserve">skinparam linetype ortho
</t>
        </r>
        <r>
          <rPr>
            <sz val="9"/>
            <color rgb="FF000000"/>
            <rFont val="Tahoma"/>
            <family val="2"/>
          </rPr>
          <t xml:space="preserve">
</t>
        </r>
        <r>
          <rPr>
            <sz val="9"/>
            <color rgb="FF000000"/>
            <rFont val="Tahoma"/>
            <family val="2"/>
          </rPr>
          <t xml:space="preserve">entity "domain" as domain{
</t>
        </r>
        <r>
          <rPr>
            <sz val="9"/>
            <color rgb="FF000000"/>
            <rFont val="Tahoma"/>
            <family val="2"/>
          </rPr>
          <t xml:space="preserve">  *domain
</t>
        </r>
        <r>
          <rPr>
            <sz val="9"/>
            <color rgb="FF000000"/>
            <rFont val="Tahoma"/>
            <family val="2"/>
          </rPr>
          <t xml:space="preserve">  *sub_domain
</t>
        </r>
        <r>
          <rPr>
            <sz val="9"/>
            <color rgb="FF000000"/>
            <rFont val="Tahoma"/>
            <family val="2"/>
          </rPr>
          <t xml:space="preserve">  --
</t>
        </r>
        <r>
          <rPr>
            <sz val="9"/>
            <color rgb="FF000000"/>
            <rFont val="Tahoma"/>
            <family val="2"/>
          </rPr>
          <t xml:space="preserve">}
</t>
        </r>
        <r>
          <rPr>
            <sz val="9"/>
            <color rgb="FF000000"/>
            <rFont val="Tahoma"/>
            <family val="2"/>
          </rPr>
          <t xml:space="preserve">note right: Defined by Economics team.
</t>
        </r>
        <r>
          <rPr>
            <sz val="9"/>
            <color rgb="FF000000"/>
            <rFont val="Tahoma"/>
            <family val="2"/>
          </rPr>
          <t xml:space="preserve">
</t>
        </r>
        <r>
          <rPr>
            <sz val="9"/>
            <color rgb="FF000000"/>
            <rFont val="Tahoma"/>
            <family val="2"/>
          </rPr>
          <t xml:space="preserve">entity "data_requirement" as req{
</t>
        </r>
        <r>
          <rPr>
            <sz val="9"/>
            <color rgb="FF000000"/>
            <rFont val="Tahoma"/>
            <family val="2"/>
          </rPr>
          <t xml:space="preserve">  *data_requirement
</t>
        </r>
        <r>
          <rPr>
            <sz val="9"/>
            <color rgb="FF000000"/>
            <rFont val="Tahoma"/>
            <family val="2"/>
          </rPr>
          <t xml:space="preserve">  --
</t>
        </r>
        <r>
          <rPr>
            <sz val="9"/>
            <color rgb="FF000000"/>
            <rFont val="Tahoma"/>
            <family val="2"/>
          </rPr>
          <t xml:space="preserve">  *sub_domain
</t>
        </r>
        <r>
          <rPr>
            <sz val="9"/>
            <color rgb="FF000000"/>
            <rFont val="Tahoma"/>
            <family val="2"/>
          </rPr>
          <t xml:space="preserve">  description
</t>
        </r>
        <r>
          <rPr>
            <sz val="9"/>
            <color rgb="FF000000"/>
            <rFont val="Tahoma"/>
            <family val="2"/>
          </rPr>
          <t xml:space="preserve">  status: proposed/accepted
</t>
        </r>
        <r>
          <rPr>
            <sz val="9"/>
            <color rgb="FF000000"/>
            <rFont val="Tahoma"/>
            <family val="2"/>
          </rPr>
          <t xml:space="preserve">}
</t>
        </r>
        <r>
          <rPr>
            <sz val="9"/>
            <color rgb="FF000000"/>
            <rFont val="Tahoma"/>
            <family val="2"/>
          </rPr>
          <t xml:space="preserve">note right: Our data requirements within each\nsub-domain as a definition\nof good coverage.
</t>
        </r>
        <r>
          <rPr>
            <sz val="9"/>
            <color rgb="FF000000"/>
            <rFont val="Tahoma"/>
            <family val="2"/>
          </rPr>
          <t xml:space="preserve">
</t>
        </r>
        <r>
          <rPr>
            <sz val="9"/>
            <color rgb="FF000000"/>
            <rFont val="Tahoma"/>
            <family val="2"/>
          </rPr>
          <t xml:space="preserve">entity "requirement_measure_map" as req_meas_map{
</t>
        </r>
        <r>
          <rPr>
            <sz val="9"/>
            <color rgb="FF000000"/>
            <rFont val="Tahoma"/>
            <family val="2"/>
          </rPr>
          <t xml:space="preserve">  *data_requirement
</t>
        </r>
        <r>
          <rPr>
            <sz val="9"/>
            <color rgb="FF000000"/>
            <rFont val="Tahoma"/>
            <family val="2"/>
          </rPr>
          <t xml:space="preserve">  *measure
</t>
        </r>
        <r>
          <rPr>
            <sz val="9"/>
            <color rgb="FF000000"/>
            <rFont val="Tahoma"/>
            <family val="2"/>
          </rPr>
          <t xml:space="preserve">  --
</t>
        </r>
        <r>
          <rPr>
            <sz val="9"/>
            <color rgb="FF000000"/>
            <rFont val="Tahoma"/>
            <family val="2"/>
          </rPr>
          <t xml:space="preserve">  *requirement_satisfied: not/partially/largely/fully
</t>
        </r>
        <r>
          <rPr>
            <sz val="9"/>
            <color rgb="FF000000"/>
            <rFont val="Tahoma"/>
            <family val="2"/>
          </rPr>
          <t xml:space="preserve">  status: proposed/accepted
</t>
        </r>
        <r>
          <rPr>
            <sz val="9"/>
            <color rgb="FF000000"/>
            <rFont val="Tahoma"/>
            <family val="2"/>
          </rPr>
          <t xml:space="preserve">}
</t>
        </r>
        <r>
          <rPr>
            <sz val="9"/>
            <color rgb="FF000000"/>
            <rFont val="Tahoma"/>
            <family val="2"/>
          </rPr>
          <t xml:space="preserve">note right: Mapping of available measures\nto our requirements.
</t>
        </r>
        <r>
          <rPr>
            <sz val="9"/>
            <color rgb="FF000000"/>
            <rFont val="Tahoma"/>
            <family val="2"/>
          </rPr>
          <t xml:space="preserve">
</t>
        </r>
        <r>
          <rPr>
            <sz val="9"/>
            <color rgb="FF000000"/>
            <rFont val="Tahoma"/>
            <family val="2"/>
          </rPr>
          <t xml:space="preserve">entity "measure" as measure{
</t>
        </r>
        <r>
          <rPr>
            <sz val="9"/>
            <color rgb="FF000000"/>
            <rFont val="Tahoma"/>
            <family val="2"/>
          </rPr>
          <t xml:space="preserve">  *measure
</t>
        </r>
        <r>
          <rPr>
            <sz val="9"/>
            <color rgb="FF000000"/>
            <rFont val="Tahoma"/>
            <family val="2"/>
          </rPr>
          <t xml:space="preserve">  --
</t>
        </r>
        <r>
          <rPr>
            <sz val="9"/>
            <color rgb="FF000000"/>
            <rFont val="Tahoma"/>
            <family val="2"/>
          </rPr>
          <t xml:space="preserve">  definition
</t>
        </r>
        <r>
          <rPr>
            <sz val="9"/>
            <color rgb="FF000000"/>
            <rFont val="Tahoma"/>
            <family val="2"/>
          </rPr>
          <t xml:space="preserve">  methodology
</t>
        </r>
        <r>
          <rPr>
            <sz val="9"/>
            <color rgb="FF000000"/>
            <rFont val="Tahoma"/>
            <family val="2"/>
          </rPr>
          <t xml:space="preserve">  *type: hard/soft
</t>
        </r>
        <r>
          <rPr>
            <sz val="9"/>
            <color rgb="FF000000"/>
            <rFont val="Tahoma"/>
            <family val="2"/>
          </rPr>
          <t xml:space="preserve">  *url
</t>
        </r>
        <r>
          <rPr>
            <sz val="9"/>
            <color rgb="FF000000"/>
            <rFont val="Tahoma"/>
            <family val="2"/>
          </rPr>
          <t xml:space="preserve">  *source
</t>
        </r>
        <r>
          <rPr>
            <sz val="9"/>
            <color rgb="FF000000"/>
            <rFont val="Tahoma"/>
            <family val="2"/>
          </rPr>
          <t xml:space="preserve">  year_first_published
</t>
        </r>
        <r>
          <rPr>
            <sz val="9"/>
            <color rgb="FF000000"/>
            <rFont val="Tahoma"/>
            <family val="2"/>
          </rPr>
          <t xml:space="preserve">  year_last_published
</t>
        </r>
        <r>
          <rPr>
            <sz val="9"/>
            <color rgb="FF000000"/>
            <rFont val="Tahoma"/>
            <family val="2"/>
          </rPr>
          <t xml:space="preserve">  publication_frequency
</t>
        </r>
        <r>
          <rPr>
            <sz val="9"/>
            <color rgb="FF000000"/>
            <rFont val="Tahoma"/>
            <family val="2"/>
          </rPr>
          <t xml:space="preserve">  survey_size
</t>
        </r>
        <r>
          <rPr>
            <sz val="9"/>
            <color rgb="FF000000"/>
            <rFont val="Tahoma"/>
            <family val="2"/>
          </rPr>
          <t xml:space="preserve">  methodology_transparency
</t>
        </r>
        <r>
          <rPr>
            <sz val="9"/>
            <color rgb="FF000000"/>
            <rFont val="Tahoma"/>
            <family val="2"/>
          </rPr>
          <t xml:space="preserve">  confidence_accuracy
</t>
        </r>
        <r>
          <rPr>
            <sz val="9"/>
            <color rgb="FF000000"/>
            <rFont val="Tahoma"/>
            <family val="2"/>
          </rPr>
          <t xml:space="preserve">}
</t>
        </r>
        <r>
          <rPr>
            <sz val="9"/>
            <color rgb="FF000000"/>
            <rFont val="Tahoma"/>
            <family val="2"/>
          </rPr>
          <t xml:space="preserve">note right: Available measure (e.g. New demand for services).\nQuality attributes are not mandatory as they\ncan be inherited from Source.
</t>
        </r>
        <r>
          <rPr>
            <sz val="9"/>
            <color rgb="FF000000"/>
            <rFont val="Tahoma"/>
            <family val="2"/>
          </rPr>
          <t xml:space="preserve">
</t>
        </r>
        <r>
          <rPr>
            <sz val="9"/>
            <color rgb="FF000000"/>
            <rFont val="Tahoma"/>
            <family val="2"/>
          </rPr>
          <t xml:space="preserve">entity "source" as source{
</t>
        </r>
        <r>
          <rPr>
            <sz val="9"/>
            <color rgb="FF000000"/>
            <rFont val="Tahoma"/>
            <family val="2"/>
          </rPr>
          <t xml:space="preserve">  *org
</t>
        </r>
        <r>
          <rPr>
            <sz val="9"/>
            <color rgb="FF000000"/>
            <rFont val="Tahoma"/>
            <family val="2"/>
          </rPr>
          <t xml:space="preserve">  *source
</t>
        </r>
        <r>
          <rPr>
            <sz val="9"/>
            <color rgb="FF000000"/>
            <rFont val="Tahoma"/>
            <family val="2"/>
          </rPr>
          <t xml:space="preserve">  --
</t>
        </r>
        <r>
          <rPr>
            <sz val="9"/>
            <color rgb="FF000000"/>
            <rFont val="Tahoma"/>
            <family val="2"/>
          </rPr>
          <t xml:space="preserve">  *url
</t>
        </r>
        <r>
          <rPr>
            <sz val="9"/>
            <color rgb="FF000000"/>
            <rFont val="Tahoma"/>
            <family val="2"/>
          </rPr>
          <t xml:space="preserve">  *year_first_published
</t>
        </r>
        <r>
          <rPr>
            <sz val="9"/>
            <color rgb="FF000000"/>
            <rFont val="Tahoma"/>
            <family val="2"/>
          </rPr>
          <t xml:space="preserve">  *year_last_published
</t>
        </r>
        <r>
          <rPr>
            <sz val="9"/>
            <color rgb="FF000000"/>
            <rFont val="Tahoma"/>
            <family val="2"/>
          </rPr>
          <t xml:space="preserve">  *publication_frequency
</t>
        </r>
        <r>
          <rPr>
            <sz val="9"/>
            <color rgb="FF000000"/>
            <rFont val="Tahoma"/>
            <family val="2"/>
          </rPr>
          <t xml:space="preserve">  *survey_size
</t>
        </r>
        <r>
          <rPr>
            <sz val="9"/>
            <color rgb="FF000000"/>
            <rFont val="Tahoma"/>
            <family val="2"/>
          </rPr>
          <t xml:space="preserve">  *methodology_transparency
</t>
        </r>
        <r>
          <rPr>
            <sz val="9"/>
            <color rgb="FF000000"/>
            <rFont val="Tahoma"/>
            <family val="2"/>
          </rPr>
          <t xml:space="preserve">  *confidence_accuracy
</t>
        </r>
        <r>
          <rPr>
            <sz val="9"/>
            <color rgb="FF000000"/>
            <rFont val="Tahoma"/>
            <family val="2"/>
          </rPr>
          <t xml:space="preserve">}
</t>
        </r>
        <r>
          <rPr>
            <sz val="9"/>
            <color rgb="FF000000"/>
            <rFont val="Tahoma"/>
            <family val="2"/>
          </rPr>
          <t xml:space="preserve">note left: A data source\n(e.g. NHS Digital, Adult Social Care Survey)
</t>
        </r>
        <r>
          <rPr>
            <sz val="9"/>
            <color rgb="FF000000"/>
            <rFont val="Tahoma"/>
            <family val="2"/>
          </rPr>
          <t xml:space="preserve">
</t>
        </r>
        <r>
          <rPr>
            <sz val="9"/>
            <color rgb="FF000000"/>
            <rFont val="Tahoma"/>
            <family val="2"/>
          </rPr>
          <t xml:space="preserve">entity "measure_source_report_map" as meas_source_rep_map{
</t>
        </r>
        <r>
          <rPr>
            <sz val="9"/>
            <color rgb="FF000000"/>
            <rFont val="Tahoma"/>
            <family val="2"/>
          </rPr>
          <t xml:space="preserve">  *measure
</t>
        </r>
        <r>
          <rPr>
            <sz val="9"/>
            <color rgb="FF000000"/>
            <rFont val="Tahoma"/>
            <family val="2"/>
          </rPr>
          <t xml:space="preserve">  *source
</t>
        </r>
        <r>
          <rPr>
            <sz val="9"/>
            <color rgb="FF000000"/>
            <rFont val="Tahoma"/>
            <family val="2"/>
          </rPr>
          <t xml:space="preserve">  *report
</t>
        </r>
        <r>
          <rPr>
            <sz val="9"/>
            <color rgb="FF000000"/>
            <rFont val="Tahoma"/>
            <family val="2"/>
          </rPr>
          <t xml:space="preserve">  --
</t>
        </r>
        <r>
          <rPr>
            <sz val="9"/>
            <color rgb="FF000000"/>
            <rFont val="Tahoma"/>
            <family val="2"/>
          </rPr>
          <t xml:space="preserve">}
</t>
        </r>
        <r>
          <rPr>
            <sz val="9"/>
            <color rgb="FF000000"/>
            <rFont val="Tahoma"/>
            <family val="2"/>
          </rPr>
          <t xml:space="preserve">note right: Map measures and/or sources\nto reviewed reports.\nFor audit only.
</t>
        </r>
        <r>
          <rPr>
            <sz val="9"/>
            <color rgb="FF000000"/>
            <rFont val="Tahoma"/>
            <family val="2"/>
          </rPr>
          <t xml:space="preserve">
</t>
        </r>
        <r>
          <rPr>
            <sz val="9"/>
            <color rgb="FF000000"/>
            <rFont val="Tahoma"/>
            <family val="2"/>
          </rPr>
          <t xml:space="preserve">entity "report" as rep{
</t>
        </r>
        <r>
          <rPr>
            <sz val="9"/>
            <color rgb="FF000000"/>
            <rFont val="Tahoma"/>
            <family val="2"/>
          </rPr>
          <t xml:space="preserve">  *org
</t>
        </r>
        <r>
          <rPr>
            <sz val="9"/>
            <color rgb="FF000000"/>
            <rFont val="Tahoma"/>
            <family val="2"/>
          </rPr>
          <t xml:space="preserve">  *report
</t>
        </r>
        <r>
          <rPr>
            <sz val="9"/>
            <color rgb="FF000000"/>
            <rFont val="Tahoma"/>
            <family val="2"/>
          </rPr>
          <t xml:space="preserve">  *date
</t>
        </r>
        <r>
          <rPr>
            <sz val="9"/>
            <color rgb="FF000000"/>
            <rFont val="Tahoma"/>
            <family val="2"/>
          </rPr>
          <t xml:space="preserve">  *url
</t>
        </r>
        <r>
          <rPr>
            <sz val="9"/>
            <color rgb="FF000000"/>
            <rFont val="Tahoma"/>
            <family val="2"/>
          </rPr>
          <t xml:space="preserve">  --
</t>
        </r>
        <r>
          <rPr>
            <sz val="9"/>
            <color rgb="FF000000"/>
            <rFont val="Tahoma"/>
            <family val="2"/>
          </rPr>
          <t xml:space="preserve">}
</t>
        </r>
        <r>
          <rPr>
            <sz val="9"/>
            <color rgb="FF000000"/>
            <rFont val="Tahoma"/>
            <family val="2"/>
          </rPr>
          <t xml:space="preserve">note right: Reports reviewed (e.g. Kings Fund, Social care 360).\nFor audit only.
</t>
        </r>
        <r>
          <rPr>
            <sz val="9"/>
            <color rgb="FF000000"/>
            <rFont val="Tahoma"/>
            <family val="2"/>
          </rPr>
          <t xml:space="preserve">
</t>
        </r>
        <r>
          <rPr>
            <sz val="9"/>
            <color rgb="FF000000"/>
            <rFont val="Tahoma"/>
            <family val="2"/>
          </rPr>
          <t xml:space="preserve">domain ||..|{ req
</t>
        </r>
        <r>
          <rPr>
            <sz val="9"/>
            <color rgb="FF000000"/>
            <rFont val="Tahoma"/>
            <family val="2"/>
          </rPr>
          <t xml:space="preserve">req ||..|{ req_meas_map
</t>
        </r>
        <r>
          <rPr>
            <sz val="9"/>
            <color rgb="FF000000"/>
            <rFont val="Tahoma"/>
            <family val="2"/>
          </rPr>
          <t xml:space="preserve">req_meas_map}|..|| measure
</t>
        </r>
        <r>
          <rPr>
            <sz val="9"/>
            <color rgb="FF000000"/>
            <rFont val="Tahoma"/>
            <family val="2"/>
          </rPr>
          <t xml:space="preserve">measure }|..|| source
</t>
        </r>
        <r>
          <rPr>
            <sz val="9"/>
            <color rgb="FF000000"/>
            <rFont val="Tahoma"/>
            <family val="2"/>
          </rPr>
          <t xml:space="preserve">measure||..|{ meas_source_rep_map
</t>
        </r>
        <r>
          <rPr>
            <sz val="9"/>
            <color rgb="FF000000"/>
            <rFont val="Tahoma"/>
            <family val="2"/>
          </rPr>
          <t xml:space="preserve">source ||..|{ meas_source_rep_map
</t>
        </r>
        <r>
          <rPr>
            <sz val="9"/>
            <color rgb="FF000000"/>
            <rFont val="Tahoma"/>
            <family val="2"/>
          </rPr>
          <t xml:space="preserve">meas_source_rep_map }|..|| rep
</t>
        </r>
        <r>
          <rPr>
            <sz val="9"/>
            <color rgb="FF000000"/>
            <rFont val="Tahoma"/>
            <family val="2"/>
          </rPr>
          <t>@enduml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tc={168020EE-13C0-4559-9DDB-6355855F319C}</author>
  </authors>
  <commentList>
    <comment ref="A6" authorId="0" shapeId="0" xr:uid="{168020EE-13C0-4559-9DDB-6355855F319C}">
      <text>
        <t>[Threaded comment]
Your version of Excel allows you to read this threaded comment; however, any edits to it will get removed if the file is opened in a newer version of Excel. Learn more: https://go.microsoft.com/fwlink/?linkid=870924
Comment:
    TR can do the easy quality attributes such as publication frequency. FG will need to take lead on the more subjective ones such as "confidence/accuracy"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tc={F37C8DEB-73CE-4208-97F1-9FDC85A0FE59}</author>
    <author>tc={786D7C56-5848-4DFB-BA28-6EBE2D769F98}</author>
  </authors>
  <commentList>
    <comment ref="E2" authorId="0" shapeId="0" xr:uid="{F37C8DEB-73CE-4208-97F1-9FDC85A0FE59}">
      <text>
        <t>[Threaded comment]
Your version of Excel allows you to read this threaded comment; however, any edits to it will get removed if the file is opened in a newer version of Excel. Learn more: https://go.microsoft.com/fwlink/?linkid=870924
Comment:
    Just a calculated concatenation for easier cross-reference in other tables.</t>
      </text>
    </comment>
    <comment ref="F2" authorId="1" shapeId="0" xr:uid="{786D7C56-5848-4DFB-BA28-6EBE2D769F98}">
      <text>
        <t>[Threaded comment]
Your version of Excel allows you to read this threaded comment; however, any edits to it will get removed if the file is opened in a newer version of Excel. Learn more: https://go.microsoft.com/fwlink/?linkid=870924
Comment:
    Further domain/sub-domain description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tc={B672D863-FF57-4EBE-ACC0-39F376BF542B}</author>
    <author>tc={A77E6A0E-4BA4-42C1-B911-3E49AE8BBED3}</author>
    <author>tc={2F56D9D3-5D99-4BA3-B9C5-86F213CA8425}</author>
    <author>tc={A6635ECB-C63C-46BD-BE29-94DFF63BF883}</author>
  </authors>
  <commentList>
    <comment ref="D2" authorId="0" shapeId="0" xr:uid="{B672D863-FF57-4EBE-ACC0-39F376BF542B}">
      <text>
        <t>[Threaded comment]
Your version of Excel allows you to read this threaded comment; however, any edits to it will get removed if the file is opened in a newer version of Excel. Learn more: https://go.microsoft.com/fwlink/?linkid=870924
Comment:
    Keep values in this column succinct</t>
      </text>
    </comment>
    <comment ref="E2" authorId="1" shapeId="0" xr:uid="{A77E6A0E-4BA4-42C1-B911-3E49AE8BBED3}">
      <text>
        <t>[Threaded comment]
Your version of Excel allows you to read this threaded comment; however, any edits to it will get removed if the file is opened in a newer version of Excel. Learn more: https://go.microsoft.com/fwlink/?linkid=870924
Comment:
    Just a calculated concatenation for easier cross-reference in other tables.</t>
      </text>
    </comment>
    <comment ref="M2" authorId="2" shapeId="0" xr:uid="{2F56D9D3-5D99-4BA3-B9C5-86F213CA8425}">
      <text>
        <t>[Threaded comment]
Your version of Excel allows you to read this threaded comment; however, any edits to it will get removed if the file is opened in a newer version of Excel. Learn more: https://go.microsoft.com/fwlink/?linkid=870924
Comment:
    More wordy description of the data requirement.</t>
      </text>
    </comment>
    <comment ref="R2" authorId="3" shapeId="0" xr:uid="{A6635ECB-C63C-46BD-BE29-94DFF63BF883}">
      <text>
        <t>[Threaded comment]
Your version of Excel allows you to read this threaded comment; however, any edits to it will get removed if the file is opened in a newer version of Excel. Learn more: https://go.microsoft.com/fwlink/?linkid=870924
Comment:
    Just a little bit of work flow to allow us to add suggestions. Approval can only be given by Fiona.</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tc={34D69915-A0F3-4DFD-8931-53BA481E313C}</author>
    <author>tc={68BBFD66-0041-468B-B1B3-6DB0DCC25C41}</author>
  </authors>
  <commentList>
    <comment ref="E2" authorId="0" shapeId="0" xr:uid="{34D69915-A0F3-4DFD-8931-53BA481E313C}">
      <text>
        <t>[Threaded comment]
Your version of Excel allows you to read this threaded comment; however, any edits to it will get removed if the file is opened in a newer version of Excel. Learn more: https://go.microsoft.com/fwlink/?linkid=870924
Comment:
    Does the available measure satisfy our data requirement?</t>
      </text>
    </comment>
    <comment ref="F2" authorId="1" shapeId="0" xr:uid="{68BBFD66-0041-468B-B1B3-6DB0DCC25C41}">
      <text>
        <t>[Threaded comment]
Your version of Excel allows you to read this threaded comment; however, any edits to it will get removed if the file is opened in a newer version of Excel. Learn more: https://go.microsoft.com/fwlink/?linkid=870924
Comment:
    Just a little bit of work flow to allow us to add suggestions. Approval can only be given by Fiona.</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tc={2E85AF58-0B54-4513-BCEE-44F33CF3910E}</author>
  </authors>
  <commentList>
    <comment ref="F2" authorId="0" shapeId="0" xr:uid="{2E85AF58-0B54-4513-BCEE-44F33CF3910E}">
      <text>
        <t>[Threaded comment]
Your version of Excel allows you to read this threaded comment; however, any edits to it will get removed if the file is opened in a newer version of Excel. Learn more: https://go.microsoft.com/fwlink/?linkid=870924
Comment:
    Keep this succinct</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tc={E598F652-E4AF-4F5A-AD26-E745D9ACEDC1}</author>
  </authors>
  <commentList>
    <comment ref="D2" authorId="0" shapeId="0" xr:uid="{E598F652-E4AF-4F5A-AD26-E745D9ACEDC1}">
      <text>
        <t xml:space="preserve">[Threaded comment]
Your version of Excel allows you to read this threaded comment; however, any edits to it will get removed if the file is opened in a newer version of Excel. Learn more: https://go.microsoft.com/fwlink/?linkid=870924
Comment:
    New column to add context around the report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<sst xmlns="http://schemas.openxmlformats.org/spreadsheetml/2006/main" count="11967" uniqueCount="2005">
  <si>
    <t>Adult Social Care in England: Meta-data Analysis (March/April 2020)</t>
  </si>
  <si>
    <t>Data Model (as implemented in coloured worksheets)</t>
  </si>
  <si>
    <t>Data Model, PlantUML link</t>
  </si>
  <si>
    <t xml:space="preserve"> </t>
  </si>
  <si>
    <t>The intent of this data set is to set out a framework/domain model for coverage of the adult social care pathway, and join it to available data sources and measures.</t>
  </si>
  <si>
    <t>The data set will be used to create a visualisation which will attempt to address the following research questions:
- What gaps exist in sources of data which aim to inform us of the state of adult social care in England?
- How do the data sources and gaps exist with respect to domain dimensions of...
  - access to services?
  - expenditure on services?
  - providers of services?
  - workforce and carers?
  - quality of service?
  - integration with other services?
- How good are the existing sources with respect to quality dimensions of...
  - domain coverage?
  - data accuracy?
  - frequency of publication?
  - length of publication history?
  - survey/population size and coverage?
  - transparency of methodology?</t>
  </si>
  <si>
    <t>Notes on the worksheets containing the data tables</t>
  </si>
  <si>
    <t>Red tabbed worksheets contain our view of the world</t>
  </si>
  <si>
    <t>Green tabbed worksheets contain what's in the wild.</t>
  </si>
  <si>
    <t>The blue tabbed worksheet brings the two together to assess coverage.</t>
  </si>
  <si>
    <t>Column headings in blue text are likely to be used in visualisation.</t>
  </si>
  <si>
    <t>Column headings with orangy-pink background have formulae, don't delete.</t>
  </si>
  <si>
    <t>Column headings with yellow background are lookups to another table.</t>
  </si>
  <si>
    <t>Some column headings have cell comments to explain the intent (hover over)</t>
  </si>
  <si>
    <t>Status fields (proposed/accepted) are just for data prep workflow.</t>
  </si>
  <si>
    <t>Schedule of work</t>
  </si>
  <si>
    <t>week commencing</t>
  </si>
  <si>
    <t>Activity/Task</t>
  </si>
  <si>
    <t>Owner</t>
  </si>
  <si>
    <t>Establish a stable working data set</t>
  </si>
  <si>
    <t>FG/TR</t>
  </si>
  <si>
    <t>Finalise domain and requirements (red tabs)</t>
  </si>
  <si>
    <t>FG</t>
  </si>
  <si>
    <t>Identify data measures and sources (green tabs)</t>
  </si>
  <si>
    <t>TR/FG</t>
  </si>
  <si>
    <t>Capture quality attributes of measures and sources (green tabs)</t>
  </si>
  <si>
    <t>Map measures to requirements (blue tab)</t>
  </si>
  <si>
    <t>Design and implement a working visualisation</t>
  </si>
  <si>
    <t>TR</t>
  </si>
  <si>
    <t>Create design narrative and implementation</t>
  </si>
  <si>
    <t>Provide review comments</t>
  </si>
  <si>
    <t>Finalise the data set</t>
  </si>
  <si>
    <t>Refine data measures, sources and attributes</t>
  </si>
  <si>
    <t>Refine mapping of measures to requirements.</t>
  </si>
  <si>
    <t>Prepare and submit the final visualisation</t>
  </si>
  <si>
    <t>Deadline: Sunday, 26 April 2020, 5:00 PM</t>
  </si>
  <si>
    <r>
      <t xml:space="preserve">Review checkpoints </t>
    </r>
    <r>
      <rPr>
        <sz val="9"/>
        <color theme="1"/>
        <rFont val="Calibri"/>
        <family val="2"/>
        <scheme val="minor"/>
      </rPr>
      <t>(phone or meet)</t>
    </r>
  </si>
  <si>
    <t>Sprint 1</t>
  </si>
  <si>
    <t>Sprint 2</t>
  </si>
  <si>
    <t>Sprint 3</t>
  </si>
  <si>
    <t>Sprint 4</t>
  </si>
  <si>
    <t>Version</t>
  </si>
  <si>
    <t>Author</t>
  </si>
  <si>
    <t>Date</t>
  </si>
  <si>
    <t>Comments</t>
  </si>
  <si>
    <t>More Comments</t>
  </si>
  <si>
    <t>Initial structure defined.</t>
  </si>
  <si>
    <t>Identified 29 unique sources from following reports: The Kings Fund, HF-YASC, OSR, NICE, CQC. The current measures are just candidates as defined in the Kings Fund report. Next step is to go through the 29 sources and capture the measures within - would like to discuss key attributes (see notes  to right).</t>
  </si>
  <si>
    <t>As we define our data requirements and the available measures, we need to finalise important attributes. Candidates are:
- publication history
- publication frequency
- population or sample
- survey size
- hard/soft measure
- methodology transparency.
- statistics status (National, Official, Experimental, MI etc)
- Geo split (National, Country, Regional, LA)
-- THINK THE FOLLOWING DRIVE ROWS OF REQUIREMENTS, BUT COLUMNS OF AVAILABLE MEASURES...? REALLY JUST A SUMMARY OF YASC-REPORT SCOPE
- Support reason (Physical-Acesss-Mobility, Physical-Personal-Care,Sensory-Support,Learning-Disability,Mental-Health,Social-Substance,Social-Isolation,Social-Asylum)
- Service period (Short-term. end-of-life, long-term)
- Setting (community, residential, nursing, prison)
- Frequency of care (continuous, daily, weekly etc)
- Level of demand (new requets, existing)
- Funding/Expenditure (NHS,LA,Self-paid,Unpaid)
- Provider workforce (Private-sector,NHS,LA,Family/Friends)
- Unit costs and productivity
- Age split (18-64, 65+)
- Equality insight (e.g. ethnicity, gender, disability)
- User satisfaction
- Provider impact/satisfaction
- Quality of Life
- Employability
- NHS Impact (transfers-in, delayed transfers out)
Some of the attributes may be set at the source level, other may be specific to the measure.</t>
  </si>
  <si>
    <t>Added 53 data requirements</t>
  </si>
  <si>
    <t>Mapping rules: ingore time series of measures, ignore real term exp calculations, ignore measures normalised to population size</t>
  </si>
  <si>
    <t>1.0</t>
  </si>
  <si>
    <t>Sprint 1 complete. Tidied up workbook. Split source_measure into two separate worksheets. Added unique id's to domains and created lookups. Replaced all vlookups with xlookups.</t>
  </si>
  <si>
    <t>1.1</t>
  </si>
  <si>
    <t>Added draft "lifecycle" to requirements</t>
  </si>
  <si>
    <r>
      <t xml:space="preserve">domain
</t>
    </r>
    <r>
      <rPr>
        <sz val="9"/>
        <color theme="0"/>
        <rFont val="Calibri"/>
        <family val="2"/>
        <scheme val="minor"/>
      </rPr>
      <t>Defined by the economics team</t>
    </r>
    <r>
      <rPr>
        <b/>
        <sz val="9"/>
        <color theme="0"/>
        <rFont val="Calibri"/>
        <family val="2"/>
        <scheme val="minor"/>
      </rPr>
      <t xml:space="preserve">. </t>
    </r>
    <r>
      <rPr>
        <sz val="9"/>
        <color theme="0"/>
        <rFont val="Calibri"/>
        <family val="2"/>
        <scheme val="minor"/>
      </rPr>
      <t>Not ideal data modelling as should be on two tables, but let's keep it simple.</t>
    </r>
  </si>
  <si>
    <t>Id_subdomain</t>
  </si>
  <si>
    <t>sequence_no</t>
  </si>
  <si>
    <t>domain</t>
  </si>
  <si>
    <t>sub_domain</t>
  </si>
  <si>
    <t>domain_sub_domain</t>
  </si>
  <si>
    <t>notes</t>
  </si>
  <si>
    <t>Funders</t>
  </si>
  <si>
    <t>Budget</t>
  </si>
  <si>
    <t>Expenditure</t>
  </si>
  <si>
    <t>Income</t>
  </si>
  <si>
    <t>Providers</t>
  </si>
  <si>
    <t>Investors</t>
  </si>
  <si>
    <t>Workforce</t>
  </si>
  <si>
    <t>Cost</t>
  </si>
  <si>
    <t>Productivity</t>
  </si>
  <si>
    <t>Type</t>
  </si>
  <si>
    <t>Experience</t>
  </si>
  <si>
    <t>Health</t>
  </si>
  <si>
    <t>Demographics</t>
  </si>
  <si>
    <t>Unpaid Carers</t>
  </si>
  <si>
    <t>Quality of life</t>
  </si>
  <si>
    <t>Service</t>
  </si>
  <si>
    <t>Quality</t>
  </si>
  <si>
    <t>Care models</t>
  </si>
  <si>
    <t>Access</t>
  </si>
  <si>
    <t>Integration</t>
  </si>
  <si>
    <t>Support setting</t>
  </si>
  <si>
    <t>Support type</t>
  </si>
  <si>
    <t>Users</t>
  </si>
  <si>
    <t>Care need</t>
  </si>
  <si>
    <t>Context</t>
  </si>
  <si>
    <r>
      <t xml:space="preserve">data_requirement
</t>
    </r>
    <r>
      <rPr>
        <sz val="9"/>
        <color theme="0"/>
        <rFont val="Calibri"/>
        <family val="2"/>
        <scheme val="minor"/>
      </rPr>
      <t>What do we need know within a sub-domain to establish coverage? Will be looking to Fiona to drive this.</t>
    </r>
  </si>
  <si>
    <t>Next ID to use:</t>
  </si>
  <si>
    <t>id_subdomain</t>
  </si>
  <si>
    <t>data_requirement</t>
  </si>
  <si>
    <t>domain_sub_requirement</t>
  </si>
  <si>
    <t>description</t>
  </si>
  <si>
    <t>system_context</t>
  </si>
  <si>
    <t>system_performance</t>
  </si>
  <si>
    <t>care_needs</t>
  </si>
  <si>
    <t>outcomes</t>
  </si>
  <si>
    <t>status</t>
  </si>
  <si>
    <t>count_maps</t>
  </si>
  <si>
    <t>Uniq ID check</t>
  </si>
  <si>
    <t>Local authorities</t>
  </si>
  <si>
    <t>supply</t>
  </si>
  <si>
    <t>X</t>
  </si>
  <si>
    <t>Approved</t>
  </si>
  <si>
    <t>Central government</t>
  </si>
  <si>
    <t>NHS</t>
  </si>
  <si>
    <t>Local authority clients</t>
  </si>
  <si>
    <t>Local authority</t>
  </si>
  <si>
    <t>Unit costs</t>
  </si>
  <si>
    <t>operate</t>
  </si>
  <si>
    <t>Organisations</t>
  </si>
  <si>
    <t>Capacity</t>
  </si>
  <si>
    <t>Filled jobs</t>
  </si>
  <si>
    <t>Vacancies</t>
  </si>
  <si>
    <t>Retention/turnover</t>
  </si>
  <si>
    <t>Requests for local authority-funded care</t>
  </si>
  <si>
    <t>demand</t>
  </si>
  <si>
    <t>Eligible for local authority funded care</t>
  </si>
  <si>
    <t>Not eligible for local authority funded care</t>
  </si>
  <si>
    <t>Requests for NHS-funded care</t>
  </si>
  <si>
    <t>Eligible for NHS-funded care</t>
  </si>
  <si>
    <t>Not eligible for NHS-funded care</t>
  </si>
  <si>
    <t>Public perception</t>
  </si>
  <si>
    <t>outcome</t>
  </si>
  <si>
    <t>User perception</t>
  </si>
  <si>
    <t>Access route</t>
  </si>
  <si>
    <t>Reviews</t>
  </si>
  <si>
    <t>Sequel to service</t>
  </si>
  <si>
    <t xml:space="preserve">Care packages </t>
  </si>
  <si>
    <t>Self-directed support</t>
  </si>
  <si>
    <t>Unit cost for local authority-funded care</t>
  </si>
  <si>
    <t>Unit cos tfor self-funded care</t>
  </si>
  <si>
    <t>NHS primary care</t>
  </si>
  <si>
    <t>NHS secondary care</t>
  </si>
  <si>
    <t>Care commissioning</t>
  </si>
  <si>
    <t>Digital interoperability</t>
  </si>
  <si>
    <t>Funder perception</t>
  </si>
  <si>
    <t>Local authority-funded care</t>
  </si>
  <si>
    <t>Self-funded care</t>
  </si>
  <si>
    <t>Regulatory ratings</t>
  </si>
  <si>
    <t>Unpaid Carer perception</t>
  </si>
  <si>
    <t>Safety</t>
  </si>
  <si>
    <t>Home</t>
  </si>
  <si>
    <t>Residential care home</t>
  </si>
  <si>
    <t>Nursing home</t>
  </si>
  <si>
    <t>Community</t>
  </si>
  <si>
    <t>Short-term</t>
  </si>
  <si>
    <t>Long-term</t>
  </si>
  <si>
    <t>Reablement / ST-MAX</t>
  </si>
  <si>
    <t>Preventative</t>
  </si>
  <si>
    <t>Community health care</t>
  </si>
  <si>
    <t>Proposed</t>
  </si>
  <si>
    <t>Remove?</t>
  </si>
  <si>
    <t>Asset-based (charity/voluntary)</t>
  </si>
  <si>
    <t>Strength-based (self-help)</t>
  </si>
  <si>
    <t>Other (not ST or LT)</t>
  </si>
  <si>
    <t>x</t>
  </si>
  <si>
    <t>Social Support (Substance Misuse Support, Asylum Seeker Support, Support to Carer, Support for Social Isolation/Other), Assistive Equipment and Technology, Social Care Activities, Information and Early Intervention, Commissioning and Service Delivery)</t>
  </si>
  <si>
    <t>Guardianship</t>
  </si>
  <si>
    <t>Unpaid Carer support</t>
  </si>
  <si>
    <t>Disability/Dependence</t>
  </si>
  <si>
    <t>Support reason</t>
  </si>
  <si>
    <t>Family/Household structure</t>
  </si>
  <si>
    <t>Accommodation type</t>
  </si>
  <si>
    <t>Age</t>
  </si>
  <si>
    <t>Gender</t>
  </si>
  <si>
    <t>Ethnicity</t>
  </si>
  <si>
    <t>Sexual Orientation</t>
  </si>
  <si>
    <t>Religion</t>
  </si>
  <si>
    <t>Socioeconomic status / employment / income</t>
  </si>
  <si>
    <t>Self-funders</t>
  </si>
  <si>
    <t>State support / benefits</t>
  </si>
  <si>
    <t>Direct payments</t>
  </si>
  <si>
    <t>Well-being</t>
  </si>
  <si>
    <t>Independence/Mobility</t>
  </si>
  <si>
    <t>Disability</t>
  </si>
  <si>
    <t>Nationality/Birth/Migration</t>
  </si>
  <si>
    <t>Workload</t>
  </si>
  <si>
    <t>Quality of Life</t>
  </si>
  <si>
    <t>Sickness absence</t>
  </si>
  <si>
    <t>Pay</t>
  </si>
  <si>
    <t>Employment Status</t>
  </si>
  <si>
    <t>Qualification</t>
  </si>
  <si>
    <t>Employment/Income</t>
  </si>
  <si>
    <r>
      <t xml:space="preserve">requirement_measure_map
</t>
    </r>
    <r>
      <rPr>
        <sz val="9"/>
        <color theme="0"/>
        <rFont val="Calibri"/>
        <family val="2"/>
        <scheme val="minor"/>
      </rPr>
      <t>This is the centre of gravity of our coverage work. It maps our data requirements to available sources of measures. The satisfaction of requirement score may need manual  rolling up to the requirement level.</t>
    </r>
  </si>
  <si>
    <t>measure details pulled through</t>
  </si>
  <si>
    <t>logical_delete</t>
  </si>
  <si>
    <t>table</t>
  </si>
  <si>
    <t>measure</t>
  </si>
  <si>
    <t>primary_dimensions</t>
  </si>
  <si>
    <t>min_geo_res_measure</t>
  </si>
  <si>
    <t>org_source</t>
  </si>
  <si>
    <t>Y</t>
  </si>
  <si>
    <t>measure
Existing relevant measures.</t>
  </si>
  <si>
    <t>count_map</t>
  </si>
  <si>
    <t>status_map</t>
  </si>
  <si>
    <t>trace_from2</t>
  </si>
  <si>
    <t>user_age_breakdown</t>
  </si>
  <si>
    <t>user_equality_breakdown</t>
  </si>
  <si>
    <t>user_socioeconomic_breakdown</t>
  </si>
  <si>
    <t>user_support_reason_breakdown</t>
  </si>
  <si>
    <t>funder_breakdown</t>
  </si>
  <si>
    <t>provider_breakdown</t>
  </si>
  <si>
    <t>workforce_breakdown</t>
  </si>
  <si>
    <t>service_type_breakdown</t>
  </si>
  <si>
    <t>service_setting_breakdown</t>
  </si>
  <si>
    <t>service_period_breakdown</t>
  </si>
  <si>
    <t>id_src</t>
  </si>
  <si>
    <t>Mapped (FG/TR 9/3)</t>
  </si>
  <si>
    <t>Summary figures regarding Adult Social Care activity and finance</t>
  </si>
  <si>
    <t>T1</t>
  </si>
  <si>
    <t>Summary figures regarding Adult Social Care activity and finance, 2018-19</t>
  </si>
  <si>
    <t>https://files.digital.nhs.uk/C4/9FBB8A/ASCFR%20and%20SALT%20Reference%20Tables%202018-19.xlsx</t>
  </si>
  <si>
    <t>SALT, ASC-FR</t>
  </si>
  <si>
    <t>Population</t>
  </si>
  <si>
    <t>N/A</t>
  </si>
  <si>
    <t>expenditure, new requests, carer support</t>
  </si>
  <si>
    <t>LA</t>
  </si>
  <si>
    <t>Yes (2)</t>
  </si>
  <si>
    <t>No</t>
  </si>
  <si>
    <t>Yes (1)</t>
  </si>
  <si>
    <t>Not required (year on year)</t>
  </si>
  <si>
    <t>T2</t>
  </si>
  <si>
    <t>Summary figures regarding Adult Social Care activity, year on year comparison, 2016-17, 2017-18 and 2018-19</t>
  </si>
  <si>
    <t>SALT</t>
  </si>
  <si>
    <t>new requests, carer support</t>
  </si>
  <si>
    <t>T3</t>
  </si>
  <si>
    <t>Expenditure and income, by finance type and finance description, 2018-19</t>
  </si>
  <si>
    <t>ASC-FR|LTS, STS, OTHER</t>
  </si>
  <si>
    <t>expenditure, income</t>
  </si>
  <si>
    <t>T4</t>
  </si>
  <si>
    <t>Gross Current Expenditure in cash and real terms, year on year comparison, 2005-06 to 2018-19</t>
  </si>
  <si>
    <t>expenditure</t>
  </si>
  <si>
    <t>England</t>
  </si>
  <si>
    <t>T5</t>
  </si>
  <si>
    <t>Expenditure, by finance description, year on year comparison, 2017-18 and 2018-19</t>
  </si>
  <si>
    <t>Yes</t>
  </si>
  <si>
    <t>T6</t>
  </si>
  <si>
    <t>Income, by finance description, year on year comparison, 2017-18 and 2018-19</t>
  </si>
  <si>
    <t>income</t>
  </si>
  <si>
    <t>Yes (4)</t>
  </si>
  <si>
    <t>T7</t>
  </si>
  <si>
    <t>Income, by finance description, care type and age band, 2018-19</t>
  </si>
  <si>
    <t>Yes (5)</t>
  </si>
  <si>
    <t>Requests for support</t>
  </si>
  <si>
    <t>T8</t>
  </si>
  <si>
    <t>Number of requests for support received from new clients, by age band and route of access, 2018-19</t>
  </si>
  <si>
    <t>SALT|STS001</t>
  </si>
  <si>
    <t>new requests, access route</t>
  </si>
  <si>
    <t>T9</t>
  </si>
  <si>
    <t>Number of requests for support received from new clients, by route of access, age band and what happened next, 2018-19</t>
  </si>
  <si>
    <t>new requests, access route, sequel</t>
  </si>
  <si>
    <t>Yes (12)</t>
  </si>
  <si>
    <t>Yes (~4)</t>
  </si>
  <si>
    <t>T10</t>
  </si>
  <si>
    <t>Number of requests for support received from new clients aged 18 to 64, by what happened next, 2018-19</t>
  </si>
  <si>
    <t>new requests, sequel</t>
  </si>
  <si>
    <t>T11</t>
  </si>
  <si>
    <t>Number of requests for support received from new clients aged 65 and over, by what happened next, 2018-19</t>
  </si>
  <si>
    <t>T12</t>
  </si>
  <si>
    <t>Number of requests for support received from new clients per 100,000 adults, by age band, 2018-19</t>
  </si>
  <si>
    <t>new requests</t>
  </si>
  <si>
    <t>T13</t>
  </si>
  <si>
    <t>Number of requests for support received from new clients per client, by age band, 2018-19</t>
  </si>
  <si>
    <t>Overall Gross Current Expenditure</t>
  </si>
  <si>
    <t>T14</t>
  </si>
  <si>
    <t>Gross Current Expenditure, by care type, 2018-19</t>
  </si>
  <si>
    <t>Yes (3)</t>
  </si>
  <si>
    <t>T15</t>
  </si>
  <si>
    <t>Gross Current Expenditure, by care type, year on year comparison, 2017-18 and 2018-19</t>
  </si>
  <si>
    <t>T16</t>
  </si>
  <si>
    <t>Gross Current Expenditure per 100,000 adults, year on year comparison, 2017-18 to 2018-19</t>
  </si>
  <si>
    <t>T17</t>
  </si>
  <si>
    <t>Gross Current Expenditure on long and short term care, by care type and age band, year on year comparison, 2017-18 and 2018-19</t>
  </si>
  <si>
    <t>ASC-FR|LTS, STS</t>
  </si>
  <si>
    <t>Check</t>
  </si>
  <si>
    <t>T18</t>
  </si>
  <si>
    <t>Gross Current Expenditure on long and short term care combined, by age band and primary support reason, 2018-19</t>
  </si>
  <si>
    <t>T19</t>
  </si>
  <si>
    <t>Gross Current Expenditure on long and short term care for clients aged 18 to 64, by care type and primary support reason, 2018-19</t>
  </si>
  <si>
    <t>T20</t>
  </si>
  <si>
    <t>Gross Current Expenditure on long and short term care for clients aged 65 and over, by care type and primary support reason, 2018-19</t>
  </si>
  <si>
    <t>Short term care to maximise independence (ST-Max)</t>
  </si>
  <si>
    <t>T21</t>
  </si>
  <si>
    <t>Number of completed episodes of ST-Max for new clients, by what happened next and age band, 2018-19</t>
  </si>
  <si>
    <t>SALT|STS002A</t>
  </si>
  <si>
    <t>new clients, completed episodes, sequel</t>
  </si>
  <si>
    <t>Region</t>
  </si>
  <si>
    <t>T22</t>
  </si>
  <si>
    <t>Number of completed episodes of ST-Max for new clients, by what happened next, 2018-19</t>
  </si>
  <si>
    <t>T23</t>
  </si>
  <si>
    <t>Number of completed episodes of ST-Max for new clients, by primary support reason, age band and what happened next, 2018-19</t>
  </si>
  <si>
    <t>Yes (11)</t>
  </si>
  <si>
    <t>Not required (population norm)</t>
  </si>
  <si>
    <t>T24</t>
  </si>
  <si>
    <t>Number of completed episodes of ST-Max for new clients per 100,000 adults, 2018-19</t>
  </si>
  <si>
    <t>new clients, completed episodes</t>
  </si>
  <si>
    <t>T25</t>
  </si>
  <si>
    <t>Number of completed episodes of ST-Max for existing clients aged 18 to 64, by primary support reason, 2018-19</t>
  </si>
  <si>
    <t>SALT|STS002B</t>
  </si>
  <si>
    <t>existing clients, completed episodes</t>
  </si>
  <si>
    <t>T26</t>
  </si>
  <si>
    <t>Number of completed episodes of ST-Max for existing clients aged 65 and over, by primary support reason, 2018-19</t>
  </si>
  <si>
    <t>T27</t>
  </si>
  <si>
    <t>Number of completed episodes of ST-Max for existing clients, by what happened next and age band, 2018-19</t>
  </si>
  <si>
    <t>existing clients, completed episodes, sequel</t>
  </si>
  <si>
    <t>T28</t>
  </si>
  <si>
    <t>Number of completed episodes of ST-Max per client, by age band, 2018-19</t>
  </si>
  <si>
    <t>SALT|STS002A, STS002B</t>
  </si>
  <si>
    <t>completed episodes</t>
  </si>
  <si>
    <t>Gross Current Expenditure on short term care</t>
  </si>
  <si>
    <t>T29</t>
  </si>
  <si>
    <t>Gross Current Expenditure on short term care, by purpose, age band and primary support reason, 2018-19</t>
  </si>
  <si>
    <t>ASC-FR|STS</t>
  </si>
  <si>
    <t>expenditure, purpose</t>
  </si>
  <si>
    <t>Mapped (TR 12/3)</t>
  </si>
  <si>
    <t>T30</t>
  </si>
  <si>
    <t>Gross Current Expenditure on short term care for clients aged 18 to 64, by purpose and primary support reason, 2018-19</t>
  </si>
  <si>
    <t>T31</t>
  </si>
  <si>
    <t>Gross Current Expenditure on short term care for clients aged 65 and over, by purpose and primary support reason, 2018-19</t>
  </si>
  <si>
    <t>T32</t>
  </si>
  <si>
    <t>Gross Current Expenditure on short term care to maximise independence per 100,000 adults, year on year comparison, 2017-18 and 2018-19</t>
  </si>
  <si>
    <t>Long term care</t>
  </si>
  <si>
    <t>T33</t>
  </si>
  <si>
    <t>Number of clients accessing long term support during the year, at the end of the year (31 March) and for more than 12 months at the end of the year (31 March), by age band, 2018-19</t>
  </si>
  <si>
    <t>SALT|LTS001A, LTS001B, LTS001C</t>
  </si>
  <si>
    <t>clients</t>
  </si>
  <si>
    <t>T34</t>
  </si>
  <si>
    <t>Number of clients accessing long term support during the year, by age band and support setting, 2018-19</t>
  </si>
  <si>
    <t>SALT|LTS001A</t>
  </si>
  <si>
    <t>Yes (8)</t>
  </si>
  <si>
    <t>T35</t>
  </si>
  <si>
    <t>Number of clients accessing long term support during the year, by primary support reason, age band and support setting, 2018-19</t>
  </si>
  <si>
    <t>T36</t>
  </si>
  <si>
    <t>Number of clients accessing long term support during the year per 100,000 adults, by age band, 2018-19</t>
  </si>
  <si>
    <t>T37</t>
  </si>
  <si>
    <t>Number of clients accessing long term support at the end of the year, by age band and primary support reason, 2018-19</t>
  </si>
  <si>
    <t>SALT|LTS001B</t>
  </si>
  <si>
    <t>T38</t>
  </si>
  <si>
    <t>Number of clients accessing long term support at the end of the year, by age band and support setting, 2018-19</t>
  </si>
  <si>
    <t>T39</t>
  </si>
  <si>
    <t>Number of clients accessing long term support at the end of the year, by support setting, age band and primary support reason, 2018-19</t>
  </si>
  <si>
    <t>T40</t>
  </si>
  <si>
    <t>Number of clients accessing long term support at the end of the year, by age band and cost status, 2018-19</t>
  </si>
  <si>
    <t>clients, cost status</t>
  </si>
  <si>
    <t>Gross Current Expenditure on long term care</t>
  </si>
  <si>
    <t>T41</t>
  </si>
  <si>
    <t>Gross Current Expenditure on long term care for clients aged 18 to 64, by support setting, 2018-19</t>
  </si>
  <si>
    <t>ASC-FR|LTS</t>
  </si>
  <si>
    <t>Yes (7)</t>
  </si>
  <si>
    <t>T42</t>
  </si>
  <si>
    <t>Gross Current Expenditure on long term care for clients aged 65 and over, by support setting, 2018-19</t>
  </si>
  <si>
    <t>T43</t>
  </si>
  <si>
    <t>Gross Current Expenditure on long term care, by support setting, age band and primary support reason, 2018-19</t>
  </si>
  <si>
    <t>T44</t>
  </si>
  <si>
    <t>Gross Current Expenditure on other (not long or short term) social care, by primary support reason, 2018-19</t>
  </si>
  <si>
    <t>ASC-FR|OTHER</t>
  </si>
  <si>
    <t>Support provided to carers</t>
  </si>
  <si>
    <t>T45</t>
  </si>
  <si>
    <t>Support provided to carers during the year, by type of support provided, 2018-19</t>
  </si>
  <si>
    <t>SALT|LTS003</t>
  </si>
  <si>
    <t>carer support, carer support type, users involved</t>
  </si>
  <si>
    <t>T46</t>
  </si>
  <si>
    <t>Support provided to carers during the year, by type of support provided and age band, 2018-19</t>
  </si>
  <si>
    <t>carer age, carer support, carer support type, users involved</t>
  </si>
  <si>
    <t>T47</t>
  </si>
  <si>
    <t>Support provided to carers during the year, by age band, 2018-19</t>
  </si>
  <si>
    <t>carer age, carer support</t>
  </si>
  <si>
    <t>T48</t>
  </si>
  <si>
    <t>Unplanned and planned reviews during the year of clients that have been accessing long term support for more than 12 months at the end of the year (31 March), 2018-19</t>
  </si>
  <si>
    <t>SALT|LTS002B</t>
  </si>
  <si>
    <t>reviews</t>
  </si>
  <si>
    <t>Unit Costs</t>
  </si>
  <si>
    <t>T49</t>
  </si>
  <si>
    <t>Unit costs, average weighted standard hourly rate for the provision of home care by activity provision, year on year comparison, 2017-18 and 2018-19</t>
  </si>
  <si>
    <t>ASC-FR|ACTIVITY</t>
  </si>
  <si>
    <t>home care unit cost, activity provision</t>
  </si>
  <si>
    <t>T50</t>
  </si>
  <si>
    <t>Unit costs for clients accessing long term support, by support setting and age band, year on year comparison, 2017-18 and 2018-19</t>
  </si>
  <si>
    <t>ASC-FR|LTS, ACTIVITY</t>
  </si>
  <si>
    <t>LT unit cost</t>
  </si>
  <si>
    <t>T51</t>
  </si>
  <si>
    <t>Unit costs for clients aged 18 to 64 accessing residential or nursing long term support, by support setting and primary support reason, 2018-19</t>
  </si>
  <si>
    <t>T52</t>
  </si>
  <si>
    <t>Unit costs for clients aged 65 and over accessing residential or nursing long term support, by support setting and primary support reason, 2018-19</t>
  </si>
  <si>
    <t>T53</t>
  </si>
  <si>
    <t>Unit costs for clients accessing residential long term support, by provision type and age band, year on year comparison, 2017-18 and 2018-19</t>
  </si>
  <si>
    <t>Summary</t>
  </si>
  <si>
    <t>T4.NCE</t>
  </si>
  <si>
    <t>Net Current Expenditure in cash and real terms, year on year comparison, 2015-16 to 2018-19</t>
  </si>
  <si>
    <t>https://files.digital.nhs.uk/AD/40A2F1/ASCFR%20%28NCE%29%20Reference%20Tables%202018-19.xlsx</t>
  </si>
  <si>
    <t>Overall Net Current Expenditure</t>
  </si>
  <si>
    <t>T14.NCE</t>
  </si>
  <si>
    <t>Net Current Expenditure, by care type, 2018-19</t>
  </si>
  <si>
    <t>T15.NCE</t>
  </si>
  <si>
    <t>Net Current Expenditure, by care type, year on year comparison, 2017-18 and 2018-19</t>
  </si>
  <si>
    <t>T16.NCE</t>
  </si>
  <si>
    <t>Net Current Expenditure per 100,000 adults, year on year comparison, 2017-18 to 2018-19</t>
  </si>
  <si>
    <t>T17.NCE</t>
  </si>
  <si>
    <t>Net Current Expenditure on long and short term care, by care type and age band, year on year comparison, 2017-18 and 2018-19</t>
  </si>
  <si>
    <t>T18.NCE</t>
  </si>
  <si>
    <t>Net Current Expenditure on long and short term care combined, by age band and primary support reason, 2018-19</t>
  </si>
  <si>
    <t>T19.NCE</t>
  </si>
  <si>
    <t>Net Current Expenditure on long and short term care for clients aged 18 to 64, by care type and primary support reason, 2018-19</t>
  </si>
  <si>
    <t>T20.NCE</t>
  </si>
  <si>
    <t>Net Current Expenditure on long and short term care for clients aged 65 and over, by care type and primary support reason, 2018-19</t>
  </si>
  <si>
    <t>Net Current Expenditure on short term care</t>
  </si>
  <si>
    <t>T29.NCE</t>
  </si>
  <si>
    <t>Net Current Expenditure on short term care, by purpose, age band and primary support reason, 2018-19</t>
  </si>
  <si>
    <t>T30.NCE</t>
  </si>
  <si>
    <t>Net Current Expenditure on short term care for clients aged 18 to 64, by purpose and primary support reason, 2018-19</t>
  </si>
  <si>
    <t>T31.NCE</t>
  </si>
  <si>
    <t>Net Current Expenditure on short term care for clients aged 65 and over, by purpose and primary support reason, 2018-19</t>
  </si>
  <si>
    <t>T32.NCE</t>
  </si>
  <si>
    <t>Net Current Expenditure on short term care to maximise independence per 100,000 adults, year on year comparison, 2017-18 and 2018-19</t>
  </si>
  <si>
    <t>Net Current Expenditure on long term care</t>
  </si>
  <si>
    <t>T41.NCE</t>
  </si>
  <si>
    <t>Net Current Expenditure on long term care for clients aged 18 to 64, by support setting, 2018-19</t>
  </si>
  <si>
    <t>T42.NCE</t>
  </si>
  <si>
    <t>Net Current Expenditure on long term care for clients aged 65 and over, by support setting, 2018-19</t>
  </si>
  <si>
    <t>T43.NCE</t>
  </si>
  <si>
    <t>Net Current Expenditure on long term care, by support setting, age band and primary support reason, 2018-19</t>
  </si>
  <si>
    <t>T44.NCE</t>
  </si>
  <si>
    <t>Net Current Expenditure on other (not long or short term) social care, by primary support reason, 2018-19</t>
  </si>
  <si>
    <t>Enhancing quality of life for people with care and support needs</t>
  </si>
  <si>
    <t>1A</t>
  </si>
  <si>
    <t xml:space="preserve">Social care-related quality of life score </t>
  </si>
  <si>
    <t>https://files.digital.nhs.uk/80/CD044C/meas-from-asc-of-eng-1819-disag-anx.xlsx</t>
  </si>
  <si>
    <t>ASCS</t>
  </si>
  <si>
    <t>Survey</t>
  </si>
  <si>
    <t>eligible_population=632425,sample=216240,responses=68745</t>
  </si>
  <si>
    <t>quality of life</t>
  </si>
  <si>
    <t>1B</t>
  </si>
  <si>
    <t xml:space="preserve">Proportion of people who use services who have control over their daily life </t>
  </si>
  <si>
    <t>control_of_life</t>
  </si>
  <si>
    <t>1C(1A)</t>
  </si>
  <si>
    <t>The proportion of people who use services who receive self-directed support</t>
  </si>
  <si>
    <t>user self-directed support</t>
  </si>
  <si>
    <t>1C(1B)</t>
  </si>
  <si>
    <t>The proportion of carers who receive self-directed support</t>
  </si>
  <si>
    <t>carer self-directed support, carer age</t>
  </si>
  <si>
    <t>1C(2A)</t>
  </si>
  <si>
    <t>The proportion of people who use services who receive direct payments</t>
  </si>
  <si>
    <t>users direct payments</t>
  </si>
  <si>
    <t>1C(2B)</t>
  </si>
  <si>
    <t>The proportion of carers who receive direct payments</t>
  </si>
  <si>
    <t>carers direct payments</t>
  </si>
  <si>
    <t>1D</t>
  </si>
  <si>
    <t xml:space="preserve">Carer-reported quality of life score </t>
  </si>
  <si>
    <t>SACE</t>
  </si>
  <si>
    <t>eligible_population=292360,sample=136095,responses=50800</t>
  </si>
  <si>
    <t>1E</t>
  </si>
  <si>
    <t xml:space="preserve">Proportion of adults with a learning disability in paid employment </t>
  </si>
  <si>
    <t>LD employment</t>
  </si>
  <si>
    <t>1F</t>
  </si>
  <si>
    <t xml:space="preserve">Proportion of adults in contact with secondary mental health services in paid employment </t>
  </si>
  <si>
    <t>MHSDS</t>
  </si>
  <si>
    <t>MH in employment</t>
  </si>
  <si>
    <t>1G</t>
  </si>
  <si>
    <t xml:space="preserve">Proportion of adults with a learning disability who live in their own home or with their family </t>
  </si>
  <si>
    <t>LD own home</t>
  </si>
  <si>
    <t>1H</t>
  </si>
  <si>
    <t xml:space="preserve">Proportion of adults in contact with secondary mental health services living independently, with or without support </t>
  </si>
  <si>
    <t>MH independent</t>
  </si>
  <si>
    <t>1I(1)</t>
  </si>
  <si>
    <t>The proportion of people who use services who reported that they had as much social contact as they would like</t>
  </si>
  <si>
    <t>user social contact</t>
  </si>
  <si>
    <t>1I(2)</t>
  </si>
  <si>
    <t>The proportion of carers who reported that they had as much social contact as they would like</t>
  </si>
  <si>
    <t>carer social contact, carer age, carer gender</t>
  </si>
  <si>
    <t>1J</t>
  </si>
  <si>
    <t xml:space="preserve">Adjusted Social care-related quality of life - impact of Adult Social Care services </t>
  </si>
  <si>
    <t>Delaying and reducing the need for care and support</t>
  </si>
  <si>
    <t>2A(1)</t>
  </si>
  <si>
    <t>Long-term support needs of younger adults (aged 1864) met by admission to residential and nursing care homes, per 100,000 population</t>
  </si>
  <si>
    <t>long term admissions</t>
  </si>
  <si>
    <t>2A(2)</t>
  </si>
  <si>
    <t>Long-term support needs of older adults (aged 65ov) met by admission to residential and nursing care homes, per 100,000 population</t>
  </si>
  <si>
    <t>2B(1)</t>
  </si>
  <si>
    <t>The proportion of older people (aged 65ov) who were still at home 91 days after discharge from hospital into reablement/rehabilitation services</t>
  </si>
  <si>
    <t>SALT,HES</t>
  </si>
  <si>
    <t>reablement stayed home</t>
  </si>
  <si>
    <t>2B(2)</t>
  </si>
  <si>
    <t>The proportion of older people (aged 65ov) who received reablement/rehabilitation services after discharge from hospital</t>
  </si>
  <si>
    <t>reablement services</t>
  </si>
  <si>
    <t>2C(1)</t>
  </si>
  <si>
    <t>Delayed transfers of care from hospital, per 100,000</t>
  </si>
  <si>
    <t>DToC</t>
  </si>
  <si>
    <t>delayed transfers</t>
  </si>
  <si>
    <t>2C(2)</t>
  </si>
  <si>
    <t>Delayed transfers of care from hospital that are attributable to adult social care, per 100,000 population</t>
  </si>
  <si>
    <t>delayed transfers attributable to ASC</t>
  </si>
  <si>
    <t>2C(3)</t>
  </si>
  <si>
    <t>delayed transfers jointly attributable to ASC/NHS</t>
  </si>
  <si>
    <t>2D</t>
  </si>
  <si>
    <t xml:space="preserve">The outcome of short-term services: sequel to service </t>
  </si>
  <si>
    <t>lower level short term service</t>
  </si>
  <si>
    <t>Ensuring that people have a positive experience of care and support</t>
  </si>
  <si>
    <t>3A</t>
  </si>
  <si>
    <t xml:space="preserve">Overall satisfaction of people who use services with their care and support </t>
  </si>
  <si>
    <t>user satisfaction</t>
  </si>
  <si>
    <t>3B</t>
  </si>
  <si>
    <t xml:space="preserve">Overall satisfaction of carers with social services </t>
  </si>
  <si>
    <t>carer satisfaction, carer gender, carer age</t>
  </si>
  <si>
    <t>3C</t>
  </si>
  <si>
    <t xml:space="preserve">The proportion of carers who report that they have been included or consulted in discussion about the person they care for </t>
  </si>
  <si>
    <t>carer inclusion, carer gender, carer age</t>
  </si>
  <si>
    <t>3D(1)</t>
  </si>
  <si>
    <t>The proportion of people who use services who find it easy to find information about support</t>
  </si>
  <si>
    <t>information for users</t>
  </si>
  <si>
    <t>3D(2)</t>
  </si>
  <si>
    <t>The proportion of carers who find it easy to find information about support</t>
  </si>
  <si>
    <t>information for carers, carer gender, carer age</t>
  </si>
  <si>
    <t>Safeguarding adults whose circumstances make them vulnerable and protecting from avoidable harm</t>
  </si>
  <si>
    <t>4A</t>
  </si>
  <si>
    <t xml:space="preserve">Proportion of people who use services who feel safe </t>
  </si>
  <si>
    <t>users feeling safe</t>
  </si>
  <si>
    <t>4B</t>
  </si>
  <si>
    <t xml:space="preserve">Proportion of people who use services who say that those services have made them feel safe and secure </t>
  </si>
  <si>
    <t>users feeling safe due to services</t>
  </si>
  <si>
    <t>Mapped (TR 13/3)</t>
  </si>
  <si>
    <t>Short Term Support</t>
  </si>
  <si>
    <t>STS001</t>
  </si>
  <si>
    <t>Short Term Support: Numbers of requests for support received from NEW CLIENTS, broken down by the different sequels to that request</t>
  </si>
  <si>
    <t>https://digital.nhs.uk/binaries/content/assets/website-assets/data-collections/social-care-collections-2018/salt-return-2018-19.xlsx</t>
  </si>
  <si>
    <t>new requests, sequel, access route, repeat requests</t>
  </si>
  <si>
    <t>STS002a</t>
  </si>
  <si>
    <t>Short Term Support: Of NEW clients where the sequel to a request for support was ‘Short Term Support to Maximise Independence’ a breakdown of what followed the period of short term support</t>
  </si>
  <si>
    <t>new sequels to ST-max, access route, repeat requests, carer support</t>
  </si>
  <si>
    <t>Yes (10)</t>
  </si>
  <si>
    <t>STS002b</t>
  </si>
  <si>
    <t>Short Term Support: Of EXISTING clients who have received ‘Short Term Support to Maximise Independence’ a breakdown of what followed the period of short term support</t>
  </si>
  <si>
    <t>existing user sequels to ST-max, access route, repeat requests, carer support</t>
  </si>
  <si>
    <t>STS004</t>
  </si>
  <si>
    <t>Short Term Support: Proportion of older people (aged 65 and over) who were still at home 91 days after discharge from hospital into reablement / rehabilitation services</t>
  </si>
  <si>
    <t>reablement services, reablement stayed home</t>
  </si>
  <si>
    <t>Long Term Support</t>
  </si>
  <si>
    <t>LTS001a</t>
  </si>
  <si>
    <t>Long Term Support: The number of people accessing long term support during the year to 31st March</t>
  </si>
  <si>
    <t>users accessing</t>
  </si>
  <si>
    <t>LTS001b</t>
  </si>
  <si>
    <t>Long Term Support: Of the clients in LTS001a, the number of people accessing long term support at the year-end (31st March)</t>
  </si>
  <si>
    <t>LTS001c</t>
  </si>
  <si>
    <t>Long Term Support: Of the clients in LTS001b, the number of people who have been accessing long term support for more than 12 months at the year end (31st March)</t>
  </si>
  <si>
    <t>LTS002a</t>
  </si>
  <si>
    <t>Long Term Support: Those clients receiving long term support recorded in LTS001a who received an Unplanned review during the year PLUS planned reviews for those clients that led to a care home admission</t>
  </si>
  <si>
    <t>reviews, sequels</t>
  </si>
  <si>
    <t>LTS002b</t>
  </si>
  <si>
    <t>Long Term Support: Those clients receiving long term support for more than 12 months at the year-end (LTS001c), for whom an unplanned or planned review of care needs took place during the year and the sequel to that review</t>
  </si>
  <si>
    <t>LTS003</t>
  </si>
  <si>
    <t>Long Term Support: Carer Support provided during the year, broken down by the age of the carer, Primary Support Reason of the client and the type of support provided</t>
  </si>
  <si>
    <t>carer support, carer age, carer support type, review method</t>
  </si>
  <si>
    <t>LTS004</t>
  </si>
  <si>
    <t>Long Term Support: Accommodation and employment status of working age clients with a Primary Support Reason of Learning Disability</t>
  </si>
  <si>
    <t>LD employment, LD accomodation</t>
  </si>
  <si>
    <t>FR001</t>
  </si>
  <si>
    <t>Long Term Support: Expenditure, income and capital charges/overheads, by support reason, setting and age group.</t>
  </si>
  <si>
    <t>https://digital.nhs.uk/binaries/content/assets/legacy/excel/p/m/asc-fr_proforma_2018-19.xls</t>
  </si>
  <si>
    <t>expenditure, income, capital charges</t>
  </si>
  <si>
    <t>FR002</t>
  </si>
  <si>
    <t>Short Term Support: Expenditure, income and capital charges/overheads, by support reason, setting and age group.</t>
  </si>
  <si>
    <t>Non-SALT</t>
  </si>
  <si>
    <t>FR003</t>
  </si>
  <si>
    <t>Social Support (substance misuse, asylum, carers, isolation): expenditure, income and capital charges/overheads.</t>
  </si>
  <si>
    <t>FR004</t>
  </si>
  <si>
    <t>Assistive Equipment and Technology: expenditure, income and capital charges/overheads</t>
  </si>
  <si>
    <t>FR005</t>
  </si>
  <si>
    <t>Social Care Activities: expenditure, income and capital charges/overheads</t>
  </si>
  <si>
    <t>FR006</t>
  </si>
  <si>
    <t>Information and Early Intervention: expenditure, income and capital charges/overheads</t>
  </si>
  <si>
    <t>FR007</t>
  </si>
  <si>
    <t>Commissioning and Service Delivery: expenditure, income and capital charges/overheads</t>
  </si>
  <si>
    <t>Not required (interim calcs to get to unit cost)</t>
  </si>
  <si>
    <t>Activity</t>
  </si>
  <si>
    <t>Number of care weeks and hours</t>
  </si>
  <si>
    <t>care hours, care weeks</t>
  </si>
  <si>
    <t>Costs per week/hour</t>
  </si>
  <si>
    <t>cost per week, cost per hour</t>
  </si>
  <si>
    <t>Applications</t>
  </si>
  <si>
    <t>Table 1</t>
  </si>
  <si>
    <t>Applications received by urgent / standard status and CQC Service Type</t>
  </si>
  <si>
    <t>https://files.digital.nhs.uk/00/035F45/dols-eng-applications-2018-19.xlsx</t>
  </si>
  <si>
    <t>DoLS applications,urgency, CQC service type</t>
  </si>
  <si>
    <t>Table 2</t>
  </si>
  <si>
    <t>Applications received per individual</t>
  </si>
  <si>
    <t>DoLS applications per individual</t>
  </si>
  <si>
    <t>Table 3</t>
  </si>
  <si>
    <t>Applications received per 100,000 adults by age group and age standardised rate</t>
  </si>
  <si>
    <t>DoLS applications</t>
  </si>
  <si>
    <t>Table 4</t>
  </si>
  <si>
    <t>Applications completed during 2018-19 by application outcome, urgent / standard status and CQC service type</t>
  </si>
  <si>
    <t>DOLS applications granted/not granted, urgency</t>
  </si>
  <si>
    <t>Table 5</t>
  </si>
  <si>
    <t>Applications completed and not granted during 2018-19 by reason not granted</t>
  </si>
  <si>
    <t>DOLs applications, reasons not granted</t>
  </si>
  <si>
    <t>Table 6</t>
  </si>
  <si>
    <t>Applications completed and not granted during 2018-19 due to one assessment criteria not being met by assessment criteria</t>
  </si>
  <si>
    <t>DOLs applications, assessment criteria not met</t>
  </si>
  <si>
    <t>Table 7</t>
  </si>
  <si>
    <t>Applications completed during 2018-19 per individual</t>
  </si>
  <si>
    <t>DoLS applications completed per individual</t>
  </si>
  <si>
    <t>Table 8</t>
  </si>
  <si>
    <t>Applications completed during 2018-19 per 100,000 adults by age group and age standardised rate</t>
  </si>
  <si>
    <t>DoLS applications completed</t>
  </si>
  <si>
    <t>Table 9</t>
  </si>
  <si>
    <t>Applications not completed as at 1st April 2019 by duration of application, urgent/standard status and CQC service type</t>
  </si>
  <si>
    <t>DoLS applications not completed, urgency, duration</t>
  </si>
  <si>
    <t>Number of individuals that have had at least one application submitted and received by the council during 2018-19 by age group and gender, ethnicity and sexual orientation</t>
  </si>
  <si>
    <t>https://files.digital.nhs.uk/D8/DB95A9/dols-eng-demographics-2018-19.xlsx</t>
  </si>
  <si>
    <t>Individuals with at least one DoLS application</t>
  </si>
  <si>
    <t>Not required (Population norm)</t>
  </si>
  <si>
    <t>Number of individuals that have had at least one application submitted and received by the council during 2018-19 per 100,000 adults by age group and age standardised rate</t>
  </si>
  <si>
    <t>Timeframes</t>
  </si>
  <si>
    <t>Number of completed applications and the shortest, longest and mean duration (days) from receiving the application to completing</t>
  </si>
  <si>
    <t>https://files.digital.nhs.uk/EE/9264EB/dols-eng-timeframes-2018-19.xlsx</t>
  </si>
  <si>
    <t>DoLS applications completed, duration</t>
  </si>
  <si>
    <t>Number of completed applications and the mean duration (days) from receiving the application to completing for granted and not granted applications by urgent / standard status, and not granted applications by reason not granted</t>
  </si>
  <si>
    <t>DoLS applications completed, duration, reason not granted</t>
  </si>
  <si>
    <t>Number of completed and granted applications and number of applications by duration (days) from application completion to the start of the authorisation</t>
  </si>
  <si>
    <t>Authorisations which ended during the year and authorisations which ended earlier than planned</t>
  </si>
  <si>
    <t>DoLS applications authorised early</t>
  </si>
  <si>
    <t>Authorisations active during the year, where at least one review took place during the authorisation, and outcome of most recent review</t>
  </si>
  <si>
    <t>DoLS application authorisation reviews</t>
  </si>
  <si>
    <t>Authorisations active at year end</t>
  </si>
  <si>
    <t>DoLS authorisations active</t>
  </si>
  <si>
    <t>Cases</t>
  </si>
  <si>
    <t>Cases of Guardianship under the Mental Health Act 1983 by year, Section and relationship of guardian, 2003-04 to 2017-18 England</t>
  </si>
  <si>
    <t>https://files.digital.nhs.uk/4A/FCC61C/guar-unde-ment-heal-act-1983-eng-1618-annex%20A-ref-tab%20Final.xlsx</t>
  </si>
  <si>
    <t>guardianship cases</t>
  </si>
  <si>
    <t>Cases of Guardianship under the Mental Health Act 1983 by gender, Section, and relationship of guardian, 2016-17 and 2017-18 England</t>
  </si>
  <si>
    <t>Cases of Guardianship under the Mental Health Act 1983 by local authority region, 2016-17 and 2017-18</t>
  </si>
  <si>
    <t>Duration of continuing cases of Guardianship under the Mental Health Act 1983 by local authority region, 2007-08 and 2017-18</t>
  </si>
  <si>
    <t>guardianship duration continuing cases</t>
  </si>
  <si>
    <t>Duration of closed cases of Guardianship under the Mental Health Act 1983 by local authority region, 2016-17 and 2017-18</t>
  </si>
  <si>
    <t>guardianship duration closed cases</t>
  </si>
  <si>
    <t>Cases of guardianship under the Mental Health Act 1983 by region and local authority, 2016-17 and 2017-18 (including duration of closed cases)</t>
  </si>
  <si>
    <t>guardianship cases new/continuing/closed</t>
  </si>
  <si>
    <t>Total counts</t>
  </si>
  <si>
    <t>Commissioners by submission status and revised patient counts and flow calculated using all submissions</t>
  </si>
  <si>
    <t>https://files.digital.nhs.uk/AE/2F82A7/ldsm-jan-20-ref-tables.xlsx</t>
  </si>
  <si>
    <t>commissioners</t>
  </si>
  <si>
    <t>Patient profile</t>
  </si>
  <si>
    <t>Patients by age, gender, ethnicity, diagnoses of learning disability/autism and main diagnostic category on admission.</t>
  </si>
  <si>
    <t>patients, admission type, respite</t>
  </si>
  <si>
    <t>Profile of services provided</t>
  </si>
  <si>
    <t>Patients by inpatient setting, ward security level, CQC compliance, source of admission and legal status.</t>
  </si>
  <si>
    <t>patients, inpatient setting, security, compliance, source, legal status</t>
  </si>
  <si>
    <t>Care coordinator and review</t>
  </si>
  <si>
    <t>Patients by named care coordinator and time since last review.</t>
  </si>
  <si>
    <t>patients, coordinator, review</t>
  </si>
  <si>
    <t>Transfer information</t>
  </si>
  <si>
    <t>Patients by planned transfer; time to planned transfer; local authority awareness; setting patient will transfer to; and agreements of transfer plan.</t>
  </si>
  <si>
    <t>patients, planned transfer, LA awareness</t>
  </si>
  <si>
    <t>Care plan and discharge status</t>
  </si>
  <si>
    <t>Patients by whether considered for discharge through CTO, care plan details, reasons for delayed discharge and family involvement.</t>
  </si>
  <si>
    <t>patients, discharge, care plan</t>
  </si>
  <si>
    <t>Mapped (TR 14/3)</t>
  </si>
  <si>
    <t>Use of independent advocacy</t>
  </si>
  <si>
    <t>Patients by use of independent advocacy, type of advocates used and reason why advocacy was not used.</t>
  </si>
  <si>
    <t>patients, advocacy</t>
  </si>
  <si>
    <t>Length of stay</t>
  </si>
  <si>
    <t>Patients by length of stay with current provider, total length of stay as part of continuous period of care.</t>
  </si>
  <si>
    <t>patients, length of stay</t>
  </si>
  <si>
    <t>Not required (data submission status by CCG)</t>
  </si>
  <si>
    <t>Submission Status</t>
  </si>
  <si>
    <t>CCGs and Specialist Hubs by data submission status at the end of the month</t>
  </si>
  <si>
    <t>CCG, submission status</t>
  </si>
  <si>
    <t>CCG</t>
  </si>
  <si>
    <t>Originating CCG</t>
  </si>
  <si>
    <t>Table 10a</t>
  </si>
  <si>
    <t>Patients by TCP and originating CCG cross referenced by CCG and Hub</t>
  </si>
  <si>
    <t>patients</t>
  </si>
  <si>
    <t>CCG, TCP</t>
  </si>
  <si>
    <t>Adult inpatient rate by TCP</t>
  </si>
  <si>
    <t>Table 10b</t>
  </si>
  <si>
    <t>Adult only Learning Disabilities Inpatient Rate by Transforming Care Partnership</t>
  </si>
  <si>
    <t>TCP</t>
  </si>
  <si>
    <t>Provider</t>
  </si>
  <si>
    <t>Table 11</t>
  </si>
  <si>
    <t>Patients by provider</t>
  </si>
  <si>
    <t>Trust</t>
  </si>
  <si>
    <t>Admission information &amp; CTR</t>
  </si>
  <si>
    <t>Table 12</t>
  </si>
  <si>
    <t>Patient admissions within the month by admissions status; Care and Treatment Review on admission</t>
  </si>
  <si>
    <t>patient admissions, status, review</t>
  </si>
  <si>
    <t>Discharge information</t>
  </si>
  <si>
    <t>Table 13</t>
  </si>
  <si>
    <t>Discharges within the month by planned discharge destination and estimated length of stay for patients leaving inpatient care</t>
  </si>
  <si>
    <t>patient discharge, destination, length of stay</t>
  </si>
  <si>
    <t>CTR for open episodes</t>
  </si>
  <si>
    <t>Table 14</t>
  </si>
  <si>
    <t>Patients by most recent and next scheduled Care and Treatment Review</t>
  </si>
  <si>
    <t>patients, review</t>
  </si>
  <si>
    <t>Total length of stay crosstab</t>
  </si>
  <si>
    <t>Table 15</t>
  </si>
  <si>
    <t>Patients by total length of stay, ward security and legal status</t>
  </si>
  <si>
    <t>patients, length of stay, security, legal status</t>
  </si>
  <si>
    <t>Legal status crosstab</t>
  </si>
  <si>
    <t>Table 16</t>
  </si>
  <si>
    <t>Patients by legal status, age and ward security</t>
  </si>
  <si>
    <t>patients, security, legal status</t>
  </si>
  <si>
    <t>Patients by age, gender and ward security</t>
  </si>
  <si>
    <t>Table 17</t>
  </si>
  <si>
    <t>patients, security</t>
  </si>
  <si>
    <t>Ward security Regional Teams</t>
  </si>
  <si>
    <t>Table 18</t>
  </si>
  <si>
    <t>Ward security by NHS England Regional Teams</t>
  </si>
  <si>
    <t>ward security</t>
  </si>
  <si>
    <t xml:space="preserve">Care plan by time to review </t>
  </si>
  <si>
    <t>Table 19</t>
  </si>
  <si>
    <t>Care plan outcome by time to review</t>
  </si>
  <si>
    <t>care plan outcome, time to review</t>
  </si>
  <si>
    <t>Learning disability or autism status crosstab</t>
  </si>
  <si>
    <t>Table 20</t>
  </si>
  <si>
    <t>Admissions and discharges by learning disability or autism status</t>
  </si>
  <si>
    <t>admissions, discharges, LD/Autism</t>
  </si>
  <si>
    <t>Learning disability or autism status by TCP</t>
  </si>
  <si>
    <t>Table 21</t>
  </si>
  <si>
    <t>Patients breakdown by Transforming Care Partnerships and learning disability or autism status</t>
  </si>
  <si>
    <t>patients, LD/Autism</t>
  </si>
  <si>
    <t>Learning disability or autism by age crosstab</t>
  </si>
  <si>
    <t>Table 22</t>
  </si>
  <si>
    <t>Patients by planned transfer date where the local authority is aware by age and learning disability or autism status</t>
  </si>
  <si>
    <t>patients, LD/Autism, planned transfer, LA aware</t>
  </si>
  <si>
    <t>Learning disability or autism by family involvement</t>
  </si>
  <si>
    <t>Table 23</t>
  </si>
  <si>
    <t>Patients by family involvement by age and learning disability or autism status</t>
  </si>
  <si>
    <t>patients, LD/Autism, family involved</t>
  </si>
  <si>
    <t>Learning disability or autism by care needs</t>
  </si>
  <si>
    <t>Table 24</t>
  </si>
  <si>
    <t>Patients by care needs and inpatient setting by learning disability or autism status</t>
  </si>
  <si>
    <t>patients, LD/Autism, inpatient setting</t>
  </si>
  <si>
    <t>Learning disability or autism by total length of stay</t>
  </si>
  <si>
    <t>Table 25</t>
  </si>
  <si>
    <t>Patients by total length of stay and inpatient setting by learning disability or autism status</t>
  </si>
  <si>
    <t>patients, LD/Autism, inpatient setting, length of stay</t>
  </si>
  <si>
    <t>Answers by CASSR</t>
  </si>
  <si>
    <t>T1a</t>
  </si>
  <si>
    <t>Profile of answers for all questions by CASSR, CASSR type and region</t>
  </si>
  <si>
    <t>https://files.digital.nhs.uk/19/24F30B/PSS_SACE_Annex_Tables_2018-19_v2.xlsx</t>
  </si>
  <si>
    <t>satisfaction, respite, equipment, carer support, carer employment, carer QoL, carer safety, carer heath, carer finances, carer information, carer involvement, carer hours, carer disability, carer children</t>
  </si>
  <si>
    <t>Yes (9)</t>
  </si>
  <si>
    <t>Answers by Demographic</t>
  </si>
  <si>
    <t>T2a</t>
  </si>
  <si>
    <t>Profile of answers for all questions by demographic, at national level</t>
  </si>
  <si>
    <t>satisfaction, respite, equipment, carer support, carer employment, carer QoL, carer safety, carer heath, carer finances, carer information, carer involvement, carer hours, carer disability, carer children, carer age, carer gender, carer ethnicity, carer sexual orientation, carer religion</t>
  </si>
  <si>
    <t>Yes (6)</t>
  </si>
  <si>
    <t>Not required (cross-tab of previous measure)</t>
  </si>
  <si>
    <t>Answers by Response</t>
  </si>
  <si>
    <t>T3a</t>
  </si>
  <si>
    <t>Cross tabulation of responses to each question, at national level</t>
  </si>
  <si>
    <t>Not required (weighting of previous measure)</t>
  </si>
  <si>
    <t>Weighted respondents</t>
  </si>
  <si>
    <t>T1b</t>
  </si>
  <si>
    <t>Profile of the estimated number of weighted respondents for all questions by CASSR, CASSR type and region</t>
  </si>
  <si>
    <t>T2b</t>
  </si>
  <si>
    <t>Profile of the estimated number of weighted respondents for all questions by demographic, at national level</t>
  </si>
  <si>
    <t>T3b</t>
  </si>
  <si>
    <t>Cross tabulation of the estimated number of weighted respondents to each question, at national level</t>
  </si>
  <si>
    <t>Not required (weighting bases)</t>
  </si>
  <si>
    <t>A profile of the estimated numbers of respondents by demographic information of the carer</t>
  </si>
  <si>
    <t>carer age, carer gender, carer ethnicity, carer sexual orientation, carer religion, carer support, respite</t>
  </si>
  <si>
    <t>QoL</t>
  </si>
  <si>
    <t>Profile of Quality of Life scores by health condition of the cared-for person</t>
  </si>
  <si>
    <t>https://files.digital.nhs.uk/A1/C43D4E/QoL%20by%20health%20condition_2018-19.xlsx</t>
  </si>
  <si>
    <t>user QoL</t>
  </si>
  <si>
    <t>Answers by Council</t>
  </si>
  <si>
    <t>https://files.digital.nhs.uk/9A/C5DF49/pss-ascs-eng-1819-annex-tables.xlsx</t>
  </si>
  <si>
    <t>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t>
  </si>
  <si>
    <t xml:space="preserve">Weighted Respondents </t>
  </si>
  <si>
    <t>Weighted Respondents</t>
  </si>
  <si>
    <t>Response Rates</t>
  </si>
  <si>
    <t>Response rates for all questions by CASSR</t>
  </si>
  <si>
    <t>response rate</t>
  </si>
  <si>
    <t>Margin of Error</t>
  </si>
  <si>
    <t xml:space="preserve">The margin of error at a 95% confidence interval by survey question and CASSR. </t>
  </si>
  <si>
    <t>margin of error</t>
  </si>
  <si>
    <t>The estimated demographic profile of the eligible population</t>
  </si>
  <si>
    <t>respondent profile</t>
  </si>
  <si>
    <t>Summary of Adult Social Care Expenditure and Income by Service; Region Level, 2015/16</t>
  </si>
  <si>
    <t>https://files.digital.nhs.uk/publicationimport/pub22xxx/pub22240/pss-exp-eng-15-16-fin-ref.xls</t>
  </si>
  <si>
    <t>Gross Current Expenditure1 by Support Type; CASSR2 Level</t>
  </si>
  <si>
    <t>Total Income by Source; CASSR level</t>
  </si>
  <si>
    <t>Gross Current Expenditure on Short and Long Term Care by Support Type and Age band; CASSR Level</t>
  </si>
  <si>
    <t>Gross Current Expenditure on Short and Long Term Care by Primary Support Reason and Age band; CASSR Level</t>
  </si>
  <si>
    <t>Gross Current Expenditure on Short and Long Term Care by Primary Support Reason and Support Type; CASSR Level</t>
  </si>
  <si>
    <t>Gross Current Expenditure on Long Term Care by Support Setting, Age Band and Primary Support Reason; England Level</t>
  </si>
  <si>
    <t>Long Term Gross Current Expenditure by Support Setting; CASSR Level</t>
  </si>
  <si>
    <t>Gross Current Expenditure on Short Term Care by Purpose, Age Band and Primary Support Reason; England Level</t>
  </si>
  <si>
    <t>Table 10</t>
  </si>
  <si>
    <t>Gross Current Expenditure on Short Term Care by Purpose and Primary Support Reason; CASSR Level</t>
  </si>
  <si>
    <t>Gross Current Expenditure on Other Social Care costs; CASSR Level</t>
  </si>
  <si>
    <t>Not required (cash real terms calc)</t>
  </si>
  <si>
    <t>Gross Current Expenditure in Cash and Real terms, 2005-06 to 2015-16; England Level</t>
  </si>
  <si>
    <t>Total Unit costs1 by Support type and Primary Support Reason; CASSR level</t>
  </si>
  <si>
    <t>unit cost</t>
  </si>
  <si>
    <t>Long Term Unit Costs1 by Support Setting and Age Band; CASSR level</t>
  </si>
  <si>
    <t>Unit costs1 for Short Term Care to Maximise Independence2 by Age Group; CASSR level</t>
  </si>
  <si>
    <t>Hourly rates for Home Care by External1 and Internal2 Provision; CASSR level</t>
  </si>
  <si>
    <t>hourly rate</t>
  </si>
  <si>
    <t>Not required</t>
  </si>
  <si>
    <t>Other</t>
  </si>
  <si>
    <t>Experimental DPA statistics</t>
  </si>
  <si>
    <t>DPA</t>
  </si>
  <si>
    <t>Establishment / team, worker</t>
  </si>
  <si>
    <t>Number of adult social services jobs, whole time equivalent (WTE) jobs and headcount</t>
  </si>
  <si>
    <t>https://files.digital.nhs.uk/65/AA3FBC/ASC%20WDS%20Reference%20Tables%202019%20Final.xlsx</t>
  </si>
  <si>
    <t>ASC-WDS</t>
  </si>
  <si>
    <t>jobs, headcount</t>
  </si>
  <si>
    <t>Establishment / team</t>
  </si>
  <si>
    <t>Number of adult social services jobs by main service group and job role group</t>
  </si>
  <si>
    <t>jobs, role group</t>
  </si>
  <si>
    <t>Confirmation form, establishment / team</t>
  </si>
  <si>
    <t>Number of employees, starters and leavers by job role group</t>
  </si>
  <si>
    <t>employees, starters, leavers, role group</t>
  </si>
  <si>
    <t>Number of employees and vacancies by job role group</t>
  </si>
  <si>
    <t>employees, vacancies, role group</t>
  </si>
  <si>
    <t>Number of adult social services jobs by job role group and employment status</t>
  </si>
  <si>
    <t>jobs, employment status, role group</t>
  </si>
  <si>
    <t>Number of adult social services jobs by main service group and employment status</t>
  </si>
  <si>
    <t>jobs, employment status</t>
  </si>
  <si>
    <t>Number of establishments / teams with capacity, the capacity of services and the utilisation of services</t>
  </si>
  <si>
    <t>establishments/teams, capacity, utilisation</t>
  </si>
  <si>
    <t>Worker</t>
  </si>
  <si>
    <t>Number of adult social services jobs by gender and job role</t>
  </si>
  <si>
    <t>jobs, gender, role</t>
  </si>
  <si>
    <t>Number of adult social services jobs by gender and age group</t>
  </si>
  <si>
    <t>jobs, gender, age group</t>
  </si>
  <si>
    <t>Number of adult social services jobs by job role group and gender</t>
  </si>
  <si>
    <t>jobs, gender, role group</t>
  </si>
  <si>
    <t>Number of adult social services jobs by age group of worker and job role</t>
  </si>
  <si>
    <t>jobs, gender, age group, role</t>
  </si>
  <si>
    <t>Number of adult social services jobs by job role group and age group of worker</t>
  </si>
  <si>
    <t>jobs, role group, age group</t>
  </si>
  <si>
    <t>Number of adult social services jobs by ethnic group and job role</t>
  </si>
  <si>
    <t>jobs, role, ethnic group</t>
  </si>
  <si>
    <t>Number of adult social services jobs by job role group and ethnic group</t>
  </si>
  <si>
    <t>jobs, role group, ethnic group</t>
  </si>
  <si>
    <t>Number of adult social services jobs per 100,000 population by job role group and ethnic group</t>
  </si>
  <si>
    <t>Median whole time equivalent annual pay of adult social services jobs by region and job role</t>
  </si>
  <si>
    <t>pay, role</t>
  </si>
  <si>
    <t>Not required (cash terms)</t>
  </si>
  <si>
    <t>Median whole time equivalent annual pay of adult social services jobs in cash terms by year and job role</t>
  </si>
  <si>
    <t>Not required (real terms)</t>
  </si>
  <si>
    <t>Median whole time equivalent annual pay of adult social services jobs in real terms by year and job role</t>
  </si>
  <si>
    <t>Median and mean number of sickness days in adult social services jobs by job role group</t>
  </si>
  <si>
    <t>sickness days, role group</t>
  </si>
  <si>
    <t>Not required (time series)</t>
  </si>
  <si>
    <t>Mean number of sickness days and number of jobs in adult social services jobs by selected job roles, year and number of sickness days</t>
  </si>
  <si>
    <t>Number of adult social services jobs by if the worker holds any qualifications relevant to social care, and if so, the highest level relevant social care qualification the worker has achieved by job role group</t>
  </si>
  <si>
    <t>qualification, role group</t>
  </si>
  <si>
    <t>Number of adult social services jobs by if the worker holds any qualifications relevant to social care, and if so, the highest level relevant social care qualification the worker has achieved</t>
  </si>
  <si>
    <t>qualifications</t>
  </si>
  <si>
    <t>Number of adult social services jobs by zero hours contract status and employment status</t>
  </si>
  <si>
    <t>zero hours contracts</t>
  </si>
  <si>
    <t>Number of zero hour contract adult social services jobs</t>
  </si>
  <si>
    <t>zero hours contracts, role group</t>
  </si>
  <si>
    <t>Mapped (TR 15/3)</t>
  </si>
  <si>
    <t>Initiated and concluded enquiries</t>
  </si>
  <si>
    <t>Counts of safeguarding activity</t>
  </si>
  <si>
    <t>https://files.digital.nhs.uk/2D/B200DE/sac-eng-2018-19-data-tables.xlsx</t>
  </si>
  <si>
    <t>safeguarding activity</t>
  </si>
  <si>
    <t>Count of concluded Section 42 safeguarding enquiries by type, location and source of risk</t>
  </si>
  <si>
    <t>concluded safeguarding enquiries, risk type, risk location, risk source</t>
  </si>
  <si>
    <t>Count of concluded Section 42 safeguarding enquiries by risk assessment outcome and risk outcome</t>
  </si>
  <si>
    <t>concluded safeguarding enquiries, risk assessment outcome, risk outcome</t>
  </si>
  <si>
    <t>Individuals involved in Section 42 enquiries</t>
  </si>
  <si>
    <t>Individuals involved in Section 42 safeguarding enquiries per 100,000 adults by age group and age standardised rate</t>
  </si>
  <si>
    <t>individuals involved in safeguarding enquiries, age group</t>
  </si>
  <si>
    <t>Individuals involved in Section 42 safeguarding enquiries by gender and ethnic origin</t>
  </si>
  <si>
    <t>individuals involved in safeguarding enquiries, gender, ethnic group</t>
  </si>
  <si>
    <t>Individuals involved in Section 42 safeguarding enquiries by primary support reason and reported health condition</t>
  </si>
  <si>
    <t>individuals involved in safeguarding enquiries, LD type</t>
  </si>
  <si>
    <t>Mental capacity and Making Safeguarding Personal</t>
  </si>
  <si>
    <t>Mental capacity assessment outcomes for concluded Section 42 safeguarding enquiries</t>
  </si>
  <si>
    <t>mental capacity assessment outcomes</t>
  </si>
  <si>
    <t>Making Safeguarding Personal responses for concluded Section 42 safeguarding enquiries</t>
  </si>
  <si>
    <t>safeguarding personal responses</t>
  </si>
  <si>
    <t>Delayed Transfers of Care (DTOC) by who the delay is attributable to (NHS, Social Care or Both) and by the reasons for the delay.</t>
  </si>
  <si>
    <t>https://www.england.nhs.uk/statistics/wp-content/uploads/sites/2/2020/02/LA-Type-B-December-2019-9tun8.xls</t>
  </si>
  <si>
    <t>delayed days, NHS care type, attributable service, delay reason</t>
  </si>
  <si>
    <t>Local Authority</t>
  </si>
  <si>
    <t>Number of Delayed Days during the reporting period, Acute and Non-Acute, for NHS Organisations in England by the type of care that the patient receives, by Local Authority</t>
  </si>
  <si>
    <t>delayed days, people delayed, NHS care type</t>
  </si>
  <si>
    <t>Number of Delayed Days during the reporting period, Acute and Non-Acute, for NHS Organisations in England by the responsible organisation, by Local Authority</t>
  </si>
  <si>
    <t>delayed days, people delayed, NHS care type, attributable service</t>
  </si>
  <si>
    <t>Number of Delayed Days during the reporting period, Acute and Non-Acute, for NHS Organisations in England by reason for delay, by Local Authority</t>
  </si>
  <si>
    <t>delayed days, reason</t>
  </si>
  <si>
    <t>Number of Delayed Days during the reporting period, Acute and Non-Acute, for NHS Organisations in England by the type of care that the patient receives, by Trust</t>
  </si>
  <si>
    <t>https://www.england.nhs.uk/statistics/wp-content/uploads/sites/2/2020/03/Trust-Type-B-January-2020-17XGa.xls</t>
  </si>
  <si>
    <t>Number of Delayed Days during the reporting period, Acute and Non-Acute, for NHS Organisations in England by the responsible organisation, by Trust</t>
  </si>
  <si>
    <t>Number of Delayed Days during the reporting period, Acute and Non-Acute, for NHS Organisations in England by reason for delay, by Trust</t>
  </si>
  <si>
    <t>Snapshot</t>
  </si>
  <si>
    <t>Snaphot: Eligible (CHC-Standard,CHC-Fasttrack,FNC), Incomplete Referrals, Incomplete Review Requests), by CCG</t>
  </si>
  <si>
    <t>https://www.england.nhs.uk/statistics/wp-content/uploads/sites/2/2020/02/CHC-and-FNC-Quarterly-Data-Q3-2019-20_z5qnTp.xlsx</t>
  </si>
  <si>
    <t>number CHC eligible, CHC type, incomplete referrals, review requests</t>
  </si>
  <si>
    <t>YTD</t>
  </si>
  <si>
    <t>YTD: Eligible (CHC-Standard,CHC-Fasttrack,FNC), Previously Unassessed Periods of Care PUPoCs Agreed Eligible, by CCG</t>
  </si>
  <si>
    <t>number CHC eligible, previously unassesed periods of care</t>
  </si>
  <si>
    <t>In Quarter</t>
  </si>
  <si>
    <t>In Quarter: New Referrals (CHC-Standard,CHC-Fasttrack), numerous eligibility measures, by CCG</t>
  </si>
  <si>
    <t>CHC referrals, CHC assessments</t>
  </si>
  <si>
    <t>Inputs, output and productivity, England, financial year</t>
  </si>
  <si>
    <t>https://www.ons.gov.uk/file?uri=%2feconomy%2feconomicoutputandproductivity%2fpublicservicesproductivity%2fdatasets%2fpublicserviceproductivityadultsocialcare%2fcurrent/referencetableadultsocialcareproductivityenglandfye2019.xls</t>
  </si>
  <si>
    <t>input, output, productivity, input growth, output growth, productivity growth</t>
  </si>
  <si>
    <t>Inputs, output and productivity for directly measured activity only, England, financial year</t>
  </si>
  <si>
    <t>directly measured input, directly measured output, directly measured productivity, directly measured input growth, directly measured output growth, directly measured productivity growth</t>
  </si>
  <si>
    <t>Inputs, output and productivity for residential and nursing care only, England, financial year</t>
  </si>
  <si>
    <t>Inputs, output and productivity for community care only, England, financial year</t>
  </si>
  <si>
    <t>Inputs, output and productivity for referrals and assessments only, England, financial year</t>
  </si>
  <si>
    <t>Inputs, output and productivity for older adults' care only, England, financial year</t>
  </si>
  <si>
    <t>Inputs, output and productivity for working age adults' care only, England, financial year</t>
  </si>
  <si>
    <t>Adjustments</t>
  </si>
  <si>
    <t>Comparison of deflators, England, financial year</t>
  </si>
  <si>
    <t>deflator, deflator growth</t>
  </si>
  <si>
    <t>Quality adjustment components, growth rates, England, financial year</t>
  </si>
  <si>
    <t>quality adjustment growth</t>
  </si>
  <si>
    <t>Beds</t>
  </si>
  <si>
    <t>Care home beds per 100 people 75</t>
  </si>
  <si>
    <t>https://fingertips.phe.org.uk/profile/end-of-life/data#page/11/gid/1938133060/pat/15/par/E92000001/ati/6/are/E12000004/iid/92489/age/162/sex/4</t>
  </si>
  <si>
    <t>beds</t>
  </si>
  <si>
    <t>Nursing home beds per 100 people 75+</t>
  </si>
  <si>
    <t>Deaths</t>
  </si>
  <si>
    <t>Temporary Resident Care Home Deaths, Persons, All Ages (%)</t>
  </si>
  <si>
    <t>https://fingertips.phe.org.uk/profile/end-of-life/data#page/4/gid/1938133060/pat/6/par/E12000007/ati/202/are/E09000002/iid/92453/age/1/sex/4</t>
  </si>
  <si>
    <t>deaths</t>
  </si>
  <si>
    <t>Admissions</t>
  </si>
  <si>
    <t>Permanent admissions to residential and nursing care homes per 100,000 aged 65+</t>
  </si>
  <si>
    <t>https://fingertips.phe.org.uk/profile/end-of-life/data#page/4/gid/1938133060/pat/6/par/E12000007/ati/202/are/E09000002/iid/1194/age/27/sex/4</t>
  </si>
  <si>
    <t>admissions</t>
  </si>
  <si>
    <t>Workforce Estimates: Job Estimates</t>
  </si>
  <si>
    <t>Total number of adult social care jobs by sector, service type and job role group</t>
  </si>
  <si>
    <t>https://www.skillsforcare.org.uk/adult-social-care-workforce-data/Workforce-intelligence/documents/ASC-Workforce-Statistical-Appendix-2019.xlsx</t>
  </si>
  <si>
    <t>Population+Estimates+Survey</t>
  </si>
  <si>
    <t>Full returns for LA, 50% for independents</t>
  </si>
  <si>
    <t>Workforce Estimates: Employment overview</t>
  </si>
  <si>
    <t>Table 3.1</t>
  </si>
  <si>
    <t>Adult social care workforce by employment status</t>
  </si>
  <si>
    <t>jobs, sector, employment status, service, role</t>
  </si>
  <si>
    <t>Yes (28)</t>
  </si>
  <si>
    <t>Table 3.2</t>
  </si>
  <si>
    <t>Adult social care workforce by full-/part-time status</t>
  </si>
  <si>
    <t>jobs, sector, service, role</t>
  </si>
  <si>
    <t>Yes (24)</t>
  </si>
  <si>
    <t>Table 3.3</t>
  </si>
  <si>
    <t>Percentage of the adult social care workforce on zero-hours contracts</t>
  </si>
  <si>
    <t>zero hour contracts, sector, service, role</t>
  </si>
  <si>
    <t>Yes (14)</t>
  </si>
  <si>
    <t>Table 3.4</t>
  </si>
  <si>
    <t>Zero-hours contract trends</t>
  </si>
  <si>
    <t>zero hour contract trend, sector, role</t>
  </si>
  <si>
    <t>Table 3.5</t>
  </si>
  <si>
    <t>Category of nurse registration</t>
  </si>
  <si>
    <t>nurse registrations</t>
  </si>
  <si>
    <t>Table 3.6</t>
  </si>
  <si>
    <t>Nursing specialism</t>
  </si>
  <si>
    <t>nurse specialisms</t>
  </si>
  <si>
    <t>Workforce Estimates: Recruitment and retention</t>
  </si>
  <si>
    <t>Table 4.1</t>
  </si>
  <si>
    <t>Proportion of directly employed staff who started their role in the previous 12 months</t>
  </si>
  <si>
    <t>job starts, role group</t>
  </si>
  <si>
    <t>Table 4.2</t>
  </si>
  <si>
    <t>Starters in the past 12 months trends</t>
  </si>
  <si>
    <t>job start trends, role group</t>
  </si>
  <si>
    <t>Table 4.3</t>
  </si>
  <si>
    <t>Source of recruitment</t>
  </si>
  <si>
    <t>source of recruitment</t>
  </si>
  <si>
    <t>Yes (13)</t>
  </si>
  <si>
    <t>Table 4.4</t>
  </si>
  <si>
    <t>Age started in sector</t>
  </si>
  <si>
    <t>age started in ASC, role group, role</t>
  </si>
  <si>
    <t>Table 4.5</t>
  </si>
  <si>
    <t>Length of time worker has been in the sector</t>
  </si>
  <si>
    <t>tenure in sector, role group, role</t>
  </si>
  <si>
    <t>Table 4.6</t>
  </si>
  <si>
    <t>Experience in sector trends</t>
  </si>
  <si>
    <t>tenure in sector trend, role group</t>
  </si>
  <si>
    <t>Table 4.7</t>
  </si>
  <si>
    <t>Length of time worker has been in current role</t>
  </si>
  <si>
    <t>tenure in role, role</t>
  </si>
  <si>
    <t>Table 4.8</t>
  </si>
  <si>
    <t>Experience in role trends</t>
  </si>
  <si>
    <t>tenure in role trend, role</t>
  </si>
  <si>
    <t>Table 4.9</t>
  </si>
  <si>
    <t>Proportion of directly employed staff who left their role in the previous 12 months</t>
  </si>
  <si>
    <t>turnover, role group</t>
  </si>
  <si>
    <t>Table 4.10</t>
  </si>
  <si>
    <t>Turnover rate trend</t>
  </si>
  <si>
    <t>turnover trend, role group</t>
  </si>
  <si>
    <t>Table 4.11</t>
  </si>
  <si>
    <t>Reasons for leaving role</t>
  </si>
  <si>
    <t>reasons for leaving</t>
  </si>
  <si>
    <t>Table 4.12</t>
  </si>
  <si>
    <t>Destination of leavers</t>
  </si>
  <si>
    <t>leaver destination</t>
  </si>
  <si>
    <t>Table 4.13</t>
  </si>
  <si>
    <t>Estimated number of vacancies in the adult social care sector</t>
  </si>
  <si>
    <t>vacancy rate trend,role group</t>
  </si>
  <si>
    <t>Table 4.14</t>
  </si>
  <si>
    <t>Vacancy rate trend</t>
  </si>
  <si>
    <t>vacancy rate,role group</t>
  </si>
  <si>
    <t>Table 4.15</t>
  </si>
  <si>
    <t>Sickness rates and mean sickness days</t>
  </si>
  <si>
    <t>sickness rate</t>
  </si>
  <si>
    <t>Workforce Estimates: Workforce demographics</t>
  </si>
  <si>
    <t>Table 5.1</t>
  </si>
  <si>
    <t>Gender within the adult social care workforce</t>
  </si>
  <si>
    <t>jobs by gender, role</t>
  </si>
  <si>
    <t>Table 5.2</t>
  </si>
  <si>
    <t>Age within the adult social care workforce</t>
  </si>
  <si>
    <t>jobs by age group, role</t>
  </si>
  <si>
    <t>Table 5.3</t>
  </si>
  <si>
    <t>Age trends</t>
  </si>
  <si>
    <t>jobs age trends, role</t>
  </si>
  <si>
    <t>Table 5.4</t>
  </si>
  <si>
    <t>Disability within the adult social care workforce</t>
  </si>
  <si>
    <t>jobs by disability</t>
  </si>
  <si>
    <t>Table 5.5</t>
  </si>
  <si>
    <t>Ethnicity within the adult social care workforce</t>
  </si>
  <si>
    <t>jobs by ethnicity group, role</t>
  </si>
  <si>
    <t>Table 5.6</t>
  </si>
  <si>
    <t>Nationality within the adult social care workforce</t>
  </si>
  <si>
    <t>jobs by nationality group, role</t>
  </si>
  <si>
    <t>Table 5.7</t>
  </si>
  <si>
    <t>Nationality trends</t>
  </si>
  <si>
    <t>jobs by nationality group trend, role</t>
  </si>
  <si>
    <t>Table 5.8</t>
  </si>
  <si>
    <t>Top 5 Nationalities</t>
  </si>
  <si>
    <t>jobs by top nationality, role</t>
  </si>
  <si>
    <t>Table 5.9</t>
  </si>
  <si>
    <t>County of birth within the adult social care workforce</t>
  </si>
  <si>
    <t>jobs by country of birth,role</t>
  </si>
  <si>
    <t>Table 5.10</t>
  </si>
  <si>
    <t>Top 5 Countries of birth</t>
  </si>
  <si>
    <t>jobs by top country of birth, role</t>
  </si>
  <si>
    <t>Table 5.11</t>
  </si>
  <si>
    <t>Year of entry to the UK, if non-UK born</t>
  </si>
  <si>
    <t>jobs by UK entry year, role</t>
  </si>
  <si>
    <t>Workforce Estimates: Pay</t>
  </si>
  <si>
    <t>Table 6.1</t>
  </si>
  <si>
    <t>Full time equivalent (FTE) mean annual pay rate</t>
  </si>
  <si>
    <t>FTE mean annual pay trend, role</t>
  </si>
  <si>
    <t>Table 6.2</t>
  </si>
  <si>
    <t>Mean hourly pay rate</t>
  </si>
  <si>
    <t>mean hourly pay trends, role</t>
  </si>
  <si>
    <t>Table 6.3</t>
  </si>
  <si>
    <t>Full-time equivalent (FTE) mean annual pay trends</t>
  </si>
  <si>
    <t>Table 6.4</t>
  </si>
  <si>
    <t>Mean hourly pay trends</t>
  </si>
  <si>
    <t>Workforce Estimates: Qualifications and training</t>
  </si>
  <si>
    <t>Table 7.1</t>
  </si>
  <si>
    <t>Care certificate status</t>
  </si>
  <si>
    <t>care certificate status, role</t>
  </si>
  <si>
    <t>Table 7.2</t>
  </si>
  <si>
    <t>Highest social care qualification held by level</t>
  </si>
  <si>
    <t>highest qualification by level, role</t>
  </si>
  <si>
    <t>Table 7.3</t>
  </si>
  <si>
    <t>Summary of training by category and job role group</t>
  </si>
  <si>
    <t>training by role</t>
  </si>
  <si>
    <t>Query</t>
  </si>
  <si>
    <t>Long stay beds</t>
  </si>
  <si>
    <t>Worksheet 4</t>
  </si>
  <si>
    <t>Number of beds occupied by patients who have stays of 7, 14 or 21 days in hospital</t>
  </si>
  <si>
    <t>https://www.england.nhs.uk/statistics/wp-content/uploads/sites/2/2020/02/Winter-SitRep-Acute-Web-File-17-February-2020-23-February-2020-.xlsx</t>
  </si>
  <si>
    <t>TBC</t>
  </si>
  <si>
    <t>Mapped (FG 9/3-11/3)</t>
  </si>
  <si>
    <t>Location</t>
  </si>
  <si>
    <t>Location Worksheet</t>
  </si>
  <si>
    <t>Location ratings by domain (Overall, Caring, Effective, Response, Safe, Unspecified, Well-led)</t>
  </si>
  <si>
    <t>https://drive.google.com/drive/u/0/folders/0B1jvn_rdpdEzfm55Mm1nanQweHE4R3lFSWRqTWYxT056WjZiLVlDMzVGemhiS3RuSU1RUFU</t>
  </si>
  <si>
    <t>TBD</t>
  </si>
  <si>
    <t>ratings</t>
  </si>
  <si>
    <t>Disability prevalence by age group, 2017/18, United Kingdom</t>
  </si>
  <si>
    <t>https://assets.publishing.service.gov.uk/government/uploads/system/uploads/attachment_data/file/789336/frs-disability-data-tables-2017-18.xlsx</t>
  </si>
  <si>
    <t>37,885 in Great Britain</t>
  </si>
  <si>
    <t>disability prevalence</t>
  </si>
  <si>
    <t>UK</t>
  </si>
  <si>
    <t xml:space="preserve">Disability prevalence by gender, 2007/08 to 2017/18, United Kingdom </t>
  </si>
  <si>
    <t>Disability prevalence by age and gender, average of 2015/16, 2016/17 and 2017/18 United Kingdom</t>
  </si>
  <si>
    <t>Yes (17)</t>
  </si>
  <si>
    <t xml:space="preserve">Disability prevalence by region/ country, 2017/18, United Kingdom </t>
  </si>
  <si>
    <t>Impairment types reported by disabled people, 2015/16, 2016/17 and 2017/18 United Kingdom</t>
  </si>
  <si>
    <t>disability impairment type</t>
  </si>
  <si>
    <t>Impairment types reported by disabled people, by age group, 2017/18, United Kingdom</t>
  </si>
  <si>
    <t>Adults by disability status, of working age, by employment status and gender, 2017/18, United Kingdom</t>
  </si>
  <si>
    <t>adults, disability status, employment status</t>
  </si>
  <si>
    <t xml:space="preserve">Benefit units by disability status and benefit unit type, 2017/18, United Kingdom </t>
  </si>
  <si>
    <t>benefit units, type, disability status</t>
  </si>
  <si>
    <t xml:space="preserve">Benefit units by disability status and state support receipt, 2017/18, United Kingdom </t>
  </si>
  <si>
    <t>benefit units, type, disability status, state support receipt</t>
  </si>
  <si>
    <t>Care</t>
  </si>
  <si>
    <t>Percentage of people providing informal care by gender, 2007/08 to 2017/18, United Kingdom</t>
  </si>
  <si>
    <t>https://assets.publishing.service.gov.uk/government/uploads/system/uploads/attachment_data/file/789338/frs-carers-data-tables-2017-18.xlsx</t>
  </si>
  <si>
    <t>informal carers, carer gender</t>
  </si>
  <si>
    <t>Percentage of people providing informal care by age and gender, 2017/18, United Kingdom</t>
  </si>
  <si>
    <t>informal carers, carer, gender, carer age</t>
  </si>
  <si>
    <t>Adult informal carers by gender, age and number of hours per week providing care, 2017/18, United Kingdom</t>
  </si>
  <si>
    <t>adult informal carers, carer gender, carer age, hours worked</t>
  </si>
  <si>
    <t>Adult informal carers by employment status and gender, 2017/18, United Kingdom</t>
  </si>
  <si>
    <t>adult informal carers, carer gender, employment status</t>
  </si>
  <si>
    <t>Adult informal carers by main source of total weekly household income, hours caring and gender, 2017/18, United Kingdom</t>
  </si>
  <si>
    <t>adult informal carers, carer gender, employment status, source of income</t>
  </si>
  <si>
    <t>Adult informal carers by gender, age and net weekly income, 2017/18, United Kingdom</t>
  </si>
  <si>
    <t>adult informal carers, carer gender, carer age, employment status, source of income</t>
  </si>
  <si>
    <t xml:space="preserve">Who informal carers care for by gender, 2017/18, United Kingdom </t>
  </si>
  <si>
    <t>who cared for by informal carer, carer gender</t>
  </si>
  <si>
    <t>Percentage of people receiving care by age and gender, 2017/18, United Kingdom</t>
  </si>
  <si>
    <t>people receiving care</t>
  </si>
  <si>
    <t>People receiving care at least once a week by age and frequency of care, 2017/18, United Kingdom</t>
  </si>
  <si>
    <t>people receiving care, frequency of care</t>
  </si>
  <si>
    <t xml:space="preserve">People receiving care by main source of total weekly household income and gender, 2017/18, United Kingdom </t>
  </si>
  <si>
    <t>people receiving care, source of income</t>
  </si>
  <si>
    <t>Not required, time series</t>
  </si>
  <si>
    <t>Income and State Support</t>
  </si>
  <si>
    <t>Table 2.1</t>
  </si>
  <si>
    <t>Sources of total gross household income, 2007/08 to 2017/18, United Kingdom</t>
  </si>
  <si>
    <t>https://assets.publishing.service.gov.uk/government/uploads/system/uploads/attachment_data/file/789333/frs-income-and-state-support-data-tables-2017-18.xlsx</t>
  </si>
  <si>
    <t>income, source</t>
  </si>
  <si>
    <t>Mapped (TR 18/3)</t>
  </si>
  <si>
    <t>Table 2.2</t>
  </si>
  <si>
    <t>Sources of total gross household income by region/country, 2017/18, United Kingdom</t>
  </si>
  <si>
    <t>Table 2.3</t>
  </si>
  <si>
    <t>Sources of total gross household income by ethnic group of head, average of 2015/16, 2016/17 and 2017/18, United Kingdom</t>
  </si>
  <si>
    <t>Table 2.4</t>
  </si>
  <si>
    <t>Sources of total gross household income by age of head, 2017/18, United Kingdom</t>
  </si>
  <si>
    <t>income, age</t>
  </si>
  <si>
    <t>Table 2.5</t>
  </si>
  <si>
    <t>Households by composition and total gross weekly household income, 2017/18, United Kingdom</t>
  </si>
  <si>
    <t>households, income</t>
  </si>
  <si>
    <t>Not required, unrelatable to ASC</t>
  </si>
  <si>
    <t>Table 2.6</t>
  </si>
  <si>
    <t>Households by region/country and total gross weekly household income, 2017/18, United Kingdom</t>
  </si>
  <si>
    <t>Table 2.7</t>
  </si>
  <si>
    <t>Households by ethnic group of head and total gross weekly household income, average of 2015/16, 2016/17 and 2017/18, United Kingdom</t>
  </si>
  <si>
    <t>Table 2.8</t>
  </si>
  <si>
    <t>Benefit units by state support receipt and region/country, 2017/18, United Kingdom</t>
  </si>
  <si>
    <t>benefit units</t>
  </si>
  <si>
    <t>Table 2.9</t>
  </si>
  <si>
    <t>Benefit units by state support receipt and benefit unit type, 2017/18, United Kingdom</t>
  </si>
  <si>
    <t>benefit units, type</t>
  </si>
  <si>
    <t>Table 2.10</t>
  </si>
  <si>
    <t>Benefit units by state support receipt and ethnic group of head, average of 2015/16, 2016/17 and 2017/18, United Kingdom</t>
  </si>
  <si>
    <t>Table 2.11</t>
  </si>
  <si>
    <t>Benefit units by state support receipt and age of head, 2017/18, United Kingdom</t>
  </si>
  <si>
    <t>Table 2.12</t>
  </si>
  <si>
    <t>Benefit units by state support receipt and tenure, 2017/18, United Kingdom</t>
  </si>
  <si>
    <t>benefit units, tenure</t>
  </si>
  <si>
    <t>Table 2.13</t>
  </si>
  <si>
    <t>Benefit units by state support receipt and economic status, 2017/18, United Kingdom</t>
  </si>
  <si>
    <t>benefit units, economic status</t>
  </si>
  <si>
    <t>Table 2.14</t>
  </si>
  <si>
    <t>Benefit units by amount of annual state support received, 2015/16 to 2017/18, United Kingdom</t>
  </si>
  <si>
    <t>benefit units, support received</t>
  </si>
  <si>
    <t>Carers Allowance</t>
  </si>
  <si>
    <t>Cases in Payment</t>
  </si>
  <si>
    <t>Number of people in receipt of payment of an allowance, by gender, age, region, LA</t>
  </si>
  <si>
    <t>https://stat-xplore.dwp.gov.uk/webapi/jsf/dataCatalogueExplorer.xhtml</t>
  </si>
  <si>
    <t>carer cases, carer age, carer gender, claim duration, benefit amount</t>
  </si>
  <si>
    <t>Cases with Entitlement</t>
  </si>
  <si>
    <t>Number of people in receipt of an allowance and those with entitlement where the payment has been suspended (e.g. in hospital), by gender, age, region, LA</t>
  </si>
  <si>
    <t>Disability Allowance (to April 2013)</t>
  </si>
  <si>
    <t>DLA cases, claim duration, disability condition</t>
  </si>
  <si>
    <t>Yes (19)</t>
  </si>
  <si>
    <t>Personal Independence Payment (from April 2013)</t>
  </si>
  <si>
    <t>Number of cases by disability, age, gender, LA</t>
  </si>
  <si>
    <t>PIP cases, claim duration, disability category</t>
  </si>
  <si>
    <t>Registrations</t>
  </si>
  <si>
    <t>Number of registrations by gender, region, LA</t>
  </si>
  <si>
    <t>PIP registrations</t>
  </si>
  <si>
    <t>QOF prevalence, indicators and achievements</t>
  </si>
  <si>
    <t>Dementia</t>
  </si>
  <si>
    <t>dementia prevalence</t>
  </si>
  <si>
    <t>https://www.gpcontract.co.uk/browse/ENG/Dementia/19</t>
  </si>
  <si>
    <t>dementia prevalence, care plan reviews</t>
  </si>
  <si>
    <t>Mental Health</t>
  </si>
  <si>
    <t>mental health prevalence</t>
  </si>
  <si>
    <t>https://www.gpcontract.co.uk/browse/ENG/Mental%20Health/19</t>
  </si>
  <si>
    <t>mental health prevalence, documented care plan</t>
  </si>
  <si>
    <t>Parliamentary Written Question and Report</t>
  </si>
  <si>
    <t>Central Government and Total Funding for DFG</t>
  </si>
  <si>
    <t>https://researchbriefings.parliament.uk/ResearchBriefing/Summary/SN03011#fullreport</t>
  </si>
  <si>
    <t>DFG central funding, DFG total funding</t>
  </si>
  <si>
    <t>Planned impact on fees</t>
  </si>
  <si>
    <t>Table A</t>
  </si>
  <si>
    <t>Planned impact on fees paid to external home/residential/nursing care providers, by LA</t>
  </si>
  <si>
    <t>https://assets.publishing.service.gov.uk/government/uploads/system/uploads/attachment_data/file/865042/iBCF_LA_data_Q2_2019-20.xlsx</t>
  </si>
  <si>
    <t>amount paid to external providers</t>
  </si>
  <si>
    <t>Revenue Account Budget by LA</t>
  </si>
  <si>
    <t>Physical support - adults (18–64)</t>
  </si>
  <si>
    <t>https://assets.publishing.service.gov.uk/government/uploads/system/uploads/attachment_data/file/853005/RA_2019-20_data_by_LA_upd.xlsx</t>
  </si>
  <si>
    <t>Physical support - older people (65+)</t>
  </si>
  <si>
    <t>Sensory support - adults (18–64)</t>
  </si>
  <si>
    <t>Sensory support - older people (65+)</t>
  </si>
  <si>
    <t>Support with memory and cognition - adults (18–64)</t>
  </si>
  <si>
    <t>Support with memory and cognition - older people (65+)</t>
  </si>
  <si>
    <t>Learning disability support - adults (18–64)</t>
  </si>
  <si>
    <t>Learning disability support - older people (65+)</t>
  </si>
  <si>
    <t>Mental health support - adults (18–64)</t>
  </si>
  <si>
    <t>Mental health support - older people (65+)</t>
  </si>
  <si>
    <t>Social support: Substance misuse support</t>
  </si>
  <si>
    <t>Social support: Asylum seeker support</t>
  </si>
  <si>
    <t>Social support: Support for carer</t>
  </si>
  <si>
    <t>Social support: Social Isolation</t>
  </si>
  <si>
    <t>Assistive equipment and technology</t>
  </si>
  <si>
    <t>Social care activities</t>
  </si>
  <si>
    <t>Information and early intervention</t>
  </si>
  <si>
    <t>Commissioning and service delivery</t>
  </si>
  <si>
    <t>Specific and Special Revenue Grants Budget by LA</t>
  </si>
  <si>
    <t>Social Care Support Grant</t>
  </si>
  <si>
    <t>https://assets.publishing.service.gov.uk/government/uploads/system/uploads/attachment_data/file/812518/SG_2019-20_data_by_LA.xlsx</t>
  </si>
  <si>
    <t>Improved Better Care Fund</t>
  </si>
  <si>
    <t xml:space="preserve">Former Independent Living Fund recipient grant </t>
  </si>
  <si>
    <t>Social Care Services</t>
  </si>
  <si>
    <t>CareSat Worksheet</t>
  </si>
  <si>
    <t>How satisfied or dissatisfied are you with social care provided by local authorities for people who cannot look after themselves because of illness, disability or old age</t>
  </si>
  <si>
    <t>https://www.kingsfund.org.uk/sites/default/files/2019-03/BSA2018%20final%20datatables.xlsx</t>
  </si>
  <si>
    <t>for questions about satisfaction with other NHS services and social care services, the sample size was 973</t>
  </si>
  <si>
    <t>satisfaction</t>
  </si>
  <si>
    <t>GB</t>
  </si>
  <si>
    <t>c</t>
  </si>
  <si>
    <t>Neurology Patient by Region</t>
  </si>
  <si>
    <t>Q31</t>
  </si>
  <si>
    <t>Have you been asked about your mental wellbeing by a health or social care professional?</t>
  </si>
  <si>
    <t>https://2019survey.neural.org.uk/</t>
  </si>
  <si>
    <t>10,339 responses</t>
  </si>
  <si>
    <t>well-being enquiry</t>
  </si>
  <si>
    <t>STP</t>
  </si>
  <si>
    <t>Q36</t>
  </si>
  <si>
    <t>Do you receive care that you don't pay for from a friend or family member?</t>
  </si>
  <si>
    <t>informal care</t>
  </si>
  <si>
    <t>Q46a</t>
  </si>
  <si>
    <t>Do you feel fully involved in making choices about your social care?</t>
  </si>
  <si>
    <t>involvement in choices</t>
  </si>
  <si>
    <t>Q47a</t>
  </si>
  <si>
    <t xml:space="preserve">Have you experienced any problems or delays in accessing social care services to help manage your condition? </t>
  </si>
  <si>
    <t>issues in access</t>
  </si>
  <si>
    <t>Q49b</t>
  </si>
  <si>
    <t>Overall, the social care I have received meets my needs.</t>
  </si>
  <si>
    <t>meets needs</t>
  </si>
  <si>
    <t>Social care for older adults</t>
  </si>
  <si>
    <t>Ability to perform Activities of Daily Living (ADLs and IADLs) in the last month, by sex</t>
  </si>
  <si>
    <t>https://files.digital.nhs.uk/5A/CB2435/HSE18-Social-care-tab.xlsx</t>
  </si>
  <si>
    <t xml:space="preserve">8,178 adults </t>
  </si>
  <si>
    <t>ability to perform ADL</t>
  </si>
  <si>
    <t>Number of Activities of Daily Living (ADLs and IADLs) for which help was needed in the last month, by age and sex</t>
  </si>
  <si>
    <t>help to perform ADL</t>
  </si>
  <si>
    <t>Summary of Activities of Daily Living (ADLs and IADLs) for which help was needed and received in the last month, by age and sex</t>
  </si>
  <si>
    <t>help needed/received/unmet in performing ADL</t>
  </si>
  <si>
    <t>Summary of Activities of Daily Living (ADLs/IADLs) for which help was needed and received in the last month, 2011-2018, by age and sex</t>
  </si>
  <si>
    <t>Summary of need for and receipt of help with Activities of Daily Living (ADLs/IADLs) in the last month, by equivalised household income and sex</t>
  </si>
  <si>
    <t>help needed/received/unmet in performing ADL, household income</t>
  </si>
  <si>
    <t>Summary of need for and receipt of help with Activities of Daily Living (ADLs/IADLs) in the last month, by Index of Multiple Deprivation (IMD) and sex</t>
  </si>
  <si>
    <t>help needed/received/unmet in performing ADL, deprivation index</t>
  </si>
  <si>
    <t>Summary of Activities of Daily Living (ADLs/ IADLs) for which help was needed and received in the last month, by longstanding illness</t>
  </si>
  <si>
    <t>help needed/received/unmet in performing ADL, long standing illness</t>
  </si>
  <si>
    <t>Summary of Activities of Daily Living (ADLs/IADLs) for which help was needed and received in the last month, by EQ-5D</t>
  </si>
  <si>
    <t>help needed/received/unmet in performing ADL, EQ5D QoL</t>
  </si>
  <si>
    <t xml:space="preserve">Whether received local authority assessment of care needs in last 12 months, by age </t>
  </si>
  <si>
    <t>LA assessment of care needs</t>
  </si>
  <si>
    <t>Mapped (FG 18/3)</t>
  </si>
  <si>
    <t>Nat Conditions &amp; s75</t>
  </si>
  <si>
    <t>Agreement on BCF national conditions</t>
  </si>
  <si>
    <t>https://www.england.nhs.uk/wp-content/uploads/2018/11/bcf-q4-18-19-data-aggregation.xlsx</t>
  </si>
  <si>
    <t>national conditions, Section 75 budget</t>
  </si>
  <si>
    <t>LA/HWB</t>
  </si>
  <si>
    <t>Metrics</t>
  </si>
  <si>
    <t>All metrics self-assessed by HWBs</t>
  </si>
  <si>
    <t xml:space="preserve">performance against metrics on non-elective admissions, residential admissions, reablement and delayed transfers of care </t>
  </si>
  <si>
    <t>HICM</t>
  </si>
  <si>
    <t>High Impact Change Model self assessment by HWBs</t>
  </si>
  <si>
    <t>change implementation progress</t>
  </si>
  <si>
    <t>Income &amp; Expenditure</t>
  </si>
  <si>
    <t>Minimum income, planned additional income and actual additional income.</t>
  </si>
  <si>
    <t xml:space="preserve">Planned expenditure and additional expenditure. </t>
  </si>
  <si>
    <t>Year End Feedback</t>
  </si>
  <si>
    <t>Year End Feedback 1</t>
  </si>
  <si>
    <t>Agreement statements around the delivery of the Better Care Fund</t>
  </si>
  <si>
    <t>perception, integration</t>
  </si>
  <si>
    <t>Year End Feedback 2</t>
  </si>
  <si>
    <t>Successes and Challenges observed toward driving the enables for integration (SCIE's logical model)</t>
  </si>
  <si>
    <t>integration, successes, challenges</t>
  </si>
  <si>
    <t>Dashboard and Tables</t>
  </si>
  <si>
    <t>Adj NEA and DTOC trends</t>
  </si>
  <si>
    <t>Quarterly trends for adjusted Non-Elective Admissions and Delayed Transfers of Care rates</t>
  </si>
  <si>
    <t>non-elective admissions, delayed transfers of care</t>
  </si>
  <si>
    <t>Adjusted NEAs Performance</t>
  </si>
  <si>
    <t>Adj NEA Length of Stay</t>
  </si>
  <si>
    <t>Adjusted NEA figures for 0 Length of Stay, 1+ Length Stay and the total adjusted NEA figures.</t>
  </si>
  <si>
    <t>non-elective admissions, length of stay</t>
  </si>
  <si>
    <t>Adj NEA Performance</t>
  </si>
  <si>
    <t>Adjusted NEA performance, the adjusted baseline (17/18) and plan figures</t>
  </si>
  <si>
    <t>non-elective admissions</t>
  </si>
  <si>
    <t>Adj NEA Performance (Rate)</t>
  </si>
  <si>
    <t>Adjusted Non-Elective Admissions performance rate</t>
  </si>
  <si>
    <t>NEAs Performance</t>
  </si>
  <si>
    <t>NEA Length of Stay</t>
  </si>
  <si>
    <t>NEA figures for 0 Length of Stay, 1+ Length Stay and the total NEA figures.</t>
  </si>
  <si>
    <t>NEA Performance</t>
  </si>
  <si>
    <t>NEA performance, the baseline (17/18) and plan figures</t>
  </si>
  <si>
    <t>NEA Performance (Rate)</t>
  </si>
  <si>
    <t>Non-Elective Admissions performance rate</t>
  </si>
  <si>
    <t>DTOC Performance</t>
  </si>
  <si>
    <t>DTOC (monthly) performance, the baseline (17/18) and target figures</t>
  </si>
  <si>
    <t>delayed transfers of care</t>
  </si>
  <si>
    <t>DTOC Performance (Rate)</t>
  </si>
  <si>
    <t>Delayed Transfers of Care (monthly) performance rate</t>
  </si>
  <si>
    <t>Res and Reablement</t>
  </si>
  <si>
    <t>Res Adm Performance</t>
  </si>
  <si>
    <t>2017/18 Residential Admissions performance, the baseline (16/17) and target figures</t>
  </si>
  <si>
    <t>ASCOF</t>
  </si>
  <si>
    <t>residential admissions</t>
  </si>
  <si>
    <t>Reablement Performance</t>
  </si>
  <si>
    <t>2017/18 Reablement performance, the baseline (16/17) and target figures</t>
  </si>
  <si>
    <t>reablement</t>
  </si>
  <si>
    <t>CCG- HWB mapping</t>
  </si>
  <si>
    <t>CCG -HWB mapping</t>
  </si>
  <si>
    <t>CCG to Health and Wellbeing Board mapping</t>
  </si>
  <si>
    <t>health system mapping</t>
  </si>
  <si>
    <t>Funding allocation</t>
  </si>
  <si>
    <t>Distribution of 2018-19 additional iBCF funding across the three purposes for which it was intended, Health and Wellbeing Board returns (Quarter 4 / Year-End 2018-19)</t>
  </si>
  <si>
    <t>https://assets.publishing.service.gov.uk/government/uploads/system/uploads/attachment_data/file/836599/iBCF_LA_data_1819.xlsx</t>
  </si>
  <si>
    <t>funding allocation</t>
  </si>
  <si>
    <t>Costs</t>
  </si>
  <si>
    <t>Table B</t>
  </si>
  <si>
    <t>Planned impact on fees paid to external care providers, Health and Wellbeing Board returns (Quarter 2 2018-19)</t>
  </si>
  <si>
    <t>unit cost, home care, care homes, nurisng homes</t>
  </si>
  <si>
    <t>Care packages</t>
  </si>
  <si>
    <t>Table C</t>
  </si>
  <si>
    <t>Additional home care packages, hours of home care and care home placements provided as a direct result of the additional iBCF funding allocation for 2018-19, Health and Wellbeing Board returns (Quarter 4/Year-End 2018-19)</t>
  </si>
  <si>
    <t>care packages, hours of care, care home placements</t>
  </si>
  <si>
    <t>Projects</t>
  </si>
  <si>
    <t>Table D</t>
  </si>
  <si>
    <t>Projects supported by additional iBCF funding, Health and Wellbeing Board returns (Quarter 4/Year-End 2018-19)</t>
  </si>
  <si>
    <t>funded projects</t>
  </si>
  <si>
    <t>Feedback</t>
  </si>
  <si>
    <t>Table E</t>
  </si>
  <si>
    <t>Locally used metrics being used to assess progress, Health and Wellbeing Board returns (Quarter 4/Year-End 2018-19)</t>
  </si>
  <si>
    <t>local progress metrics</t>
  </si>
  <si>
    <t>Table F</t>
  </si>
  <si>
    <t>Successes and challenges experienced in relation to the additional iBCF funding received, Health and Wellbeing Board returns (Quarter 4 / Year-End 2018-19)</t>
  </si>
  <si>
    <t>Deferred Payment Agreements</t>
  </si>
  <si>
    <t>Number of deferred payment agreements (DPAs), 2018-19</t>
  </si>
  <si>
    <t>https://files.digital.nhs.uk/E5/457EE4/DPA%20Reference%20Tables%202018-19.xlsx</t>
  </si>
  <si>
    <t>DPAs, status</t>
  </si>
  <si>
    <t>Value of deferred payment agreements (DPAs), 2018-19</t>
  </si>
  <si>
    <t>DPA value</t>
  </si>
  <si>
    <t>Number of new DPA requests, by the sequel to that request, 2018-19</t>
  </si>
  <si>
    <t>DPA requests, sequel</t>
  </si>
  <si>
    <t>Number of new DPAs agreed during the year, by reason for the request, planned use of the property during the DPA and security provided for the DPA, 2018-19</t>
  </si>
  <si>
    <t>DPA requests, reason, property use, security</t>
  </si>
  <si>
    <t>Number of outstanding DPAs at 31 March 2018, by contributions to DPA, 2018-19</t>
  </si>
  <si>
    <t>DPA outstanding, contribution status, weekly value</t>
  </si>
  <si>
    <t>Number of recovered DPAs during the year, by the reason for the end of the DPA, 2018-19</t>
  </si>
  <si>
    <t>DPAs concluded, reason</t>
  </si>
  <si>
    <t>Number of recovered DPAs during the year, by the reason for the end of the DPA and the length of time the DPA was in place, 2018-19</t>
  </si>
  <si>
    <t>DPAs recovered, reason, duration</t>
  </si>
  <si>
    <t>Economics domain</t>
  </si>
  <si>
    <t>Table E1a</t>
  </si>
  <si>
    <t>Mean unequivalised net weekly family income (£), by age and family type: wave 8</t>
  </si>
  <si>
    <t>https://www.ifs.org.uk/uploads/ELSA_Wave_8_report.pdf</t>
  </si>
  <si>
    <t>8,445 adults aged 50 or over (wave 8)</t>
  </si>
  <si>
    <t>income, age, family type</t>
  </si>
  <si>
    <t xml:space="preserve">No </t>
  </si>
  <si>
    <t>Table E1b</t>
  </si>
  <si>
    <t>Mean equivalised net weekly family income (£), by age and gender: wave 8</t>
  </si>
  <si>
    <t>income, age, gender</t>
  </si>
  <si>
    <t>Table E2a</t>
  </si>
  <si>
    <t>Table E2b</t>
  </si>
  <si>
    <t>Distribution of total net weekly equivalised family income (£), by age and gender: wave 8</t>
  </si>
  <si>
    <t>Table E3</t>
  </si>
  <si>
    <t>Mean and median wealth, by age and family type: wave 8</t>
  </si>
  <si>
    <t>wealth, age, family type</t>
  </si>
  <si>
    <t>Table E4</t>
  </si>
  <si>
    <t>Distribution of total net non-pension wealth, by age and family type: wave 8</t>
  </si>
  <si>
    <t>Table E5a</t>
  </si>
  <si>
    <t>Private pension membership, by age and gender (workers and non-workers below the SPA): wave 8</t>
  </si>
  <si>
    <t>private pension, age, gender</t>
  </si>
  <si>
    <t>Table E5b</t>
  </si>
  <si>
    <t>Private pension membership, by age and gender (workers below the SPA): wave 8</t>
  </si>
  <si>
    <t>Table E6</t>
  </si>
  <si>
    <t>Mean equivalised weekly household spending (£), by age and family type: wave 8</t>
  </si>
  <si>
    <t>spending, age, family type</t>
  </si>
  <si>
    <t>Table E7</t>
  </si>
  <si>
    <t>Mean self-reported chances (%) of having insufficient resources to meet needs at some point in the future, by age, gender and income group: wave 8</t>
  </si>
  <si>
    <t>insufficient resources, age, gender, income group</t>
  </si>
  <si>
    <t>Table E8</t>
  </si>
  <si>
    <t>labour market participation, age, gender, wage group</t>
  </si>
  <si>
    <t>Table E8N</t>
  </si>
  <si>
    <t>Sample sizes for Table E8: wave 8</t>
  </si>
  <si>
    <t>sample size</t>
  </si>
  <si>
    <t>Table E9</t>
  </si>
  <si>
    <t>Mean self-reported chances (%) of working at future target ages, by age, gender and wealth: wave 8</t>
  </si>
  <si>
    <t>working, age, gender, wealth</t>
  </si>
  <si>
    <t>Table E9N</t>
  </si>
  <si>
    <t>Sample sizes for Table E9: wave 8</t>
  </si>
  <si>
    <t>Mapped (FG 19/3)</t>
  </si>
  <si>
    <t>Table E10</t>
  </si>
  <si>
    <t>Whether health limits kind or amount of work, by age, gender and wealth: wave 8</t>
  </si>
  <si>
    <t>health limiting work</t>
  </si>
  <si>
    <t>Yes (25)</t>
  </si>
  <si>
    <t>Table E11</t>
  </si>
  <si>
    <t>Mean self-reported chances (%) of health limiting ability to work at age 65 (workers aged below 65 only), by age, gender and wealth group: wave 8</t>
  </si>
  <si>
    <t>Table E11N</t>
  </si>
  <si>
    <t>Sample sizes for Table E11: wave 8</t>
  </si>
  <si>
    <t>Table EL1a</t>
  </si>
  <si>
    <t>Mean equivalised weekly family TOTAL income (£), by baseline (wave 4) age and family type</t>
  </si>
  <si>
    <t>Table EL1b</t>
  </si>
  <si>
    <t>Mean equivalised weekly family EARNINGS (£), by baseline (wave 4) age and family type</t>
  </si>
  <si>
    <t>Table EL1c</t>
  </si>
  <si>
    <t>Mean equivalised weekly family PRIVATE PENSION income (£), by baseline (wave 4) age and family type</t>
  </si>
  <si>
    <t>Table EL1d</t>
  </si>
  <si>
    <t>Mean equivalised weekly family STATE PENSION AND BENEFIT income (£), by baseline (wave 4) age and family type</t>
  </si>
  <si>
    <t>Table EL1e</t>
  </si>
  <si>
    <t>Mean equivalised weekly family ASSET AND OTHER income (£), by baseline (wave 4) age and family type</t>
  </si>
  <si>
    <t>Table EL2a</t>
  </si>
  <si>
    <t>Mean equivalised weekly family TOTAL income (£), by baseline (wave 4) age and education</t>
  </si>
  <si>
    <t>Table EL2b</t>
  </si>
  <si>
    <t>Mean equivalised weekly family EARNINGS (£), by baseline (wave 4) age and education</t>
  </si>
  <si>
    <t>Table EL2c</t>
  </si>
  <si>
    <t>Mean equivalised weekly family PRIVATE PENSION income (£), by baseline (wave 4) age and education</t>
  </si>
  <si>
    <t>Table EL2d</t>
  </si>
  <si>
    <t>Mean equivalised weekly family STATE PENSION AND BENEFIT income (£), by baseline (wave 4) age and education</t>
  </si>
  <si>
    <t>Table EL2e</t>
  </si>
  <si>
    <t>Mean equivalised weekly family ASSET AND OTHER income (£), by baseline (wave 4) age and education</t>
  </si>
  <si>
    <t>Table EL3</t>
  </si>
  <si>
    <t>Interquartile ratio (p75/p25) of total equivalised net family income, by baseline (wave 4) age and family type</t>
  </si>
  <si>
    <t>Table EL4a</t>
  </si>
  <si>
    <t>Persistency of making pension contributions in waves when observed to be below SPA, by age, gender and wealth group: aged below SPA and employed or self- employed at baseline only</t>
  </si>
  <si>
    <t>pension</t>
  </si>
  <si>
    <t>Table EL4b</t>
  </si>
  <si>
    <t>Persistency of making pension contributions in waves when observed to be below SPA, by age, gender and wealth group: employed or self-employed in all waves observed below SPA</t>
  </si>
  <si>
    <t>Table EL4c</t>
  </si>
  <si>
    <t>Persistence of self-reported financial difficulties and persistence of managing very well financially, by age and family type</t>
  </si>
  <si>
    <t>financial difficulties</t>
  </si>
  <si>
    <t>Table EL6a</t>
  </si>
  <si>
    <t>Persistence of having too little money to do three or more items of the material deprivation index (waves 4–8), by education and family type: aged 50–SPA</t>
  </si>
  <si>
    <t>Table EL6b</t>
  </si>
  <si>
    <t>Persistence of having too little money to do three or more items of the material deprivation index (waves 4–8), by education and family type: aged SPA–74</t>
  </si>
  <si>
    <t>Table EL6c</t>
  </si>
  <si>
    <t>Persistence of having too little money to do three or more items of the material deprivation index (waves 4–8), by education and family type: aged 75+</t>
  </si>
  <si>
    <t>Table EL7a</t>
  </si>
  <si>
    <t>Percentage of men employed or self-employed at baseline (wave 4) and, of those, percentage still in employment or self-employment at waves 5–8, by wealth group and age</t>
  </si>
  <si>
    <t>employment</t>
  </si>
  <si>
    <t>Table EL7b</t>
  </si>
  <si>
    <t>Percentage of women employed or self-employed at baseline (wave 4) and, of those, percentage still in employment or self-employment at waves 5–8, by wealth group and age</t>
  </si>
  <si>
    <t>Table EL8</t>
  </si>
  <si>
    <t>Percentage not employed or self-employed at baseline (wave 4) and, of those, percentage in employment or self-employment at waves 4–8, by age and gender</t>
  </si>
  <si>
    <t>Table EL9a</t>
  </si>
  <si>
    <t>Persistency of health problem limiting ability to work in waves 4–8, by wealth group and age: men aged below 74 at baseline only</t>
  </si>
  <si>
    <t>Table EL9b</t>
  </si>
  <si>
    <t>Persistency of health problem limiting ability to work in waves 4–8, by wealth group and age: women aged below 74 at baseline only</t>
  </si>
  <si>
    <t>Social domain</t>
  </si>
  <si>
    <t>Table S1a</t>
  </si>
  <si>
    <t>Marital status (%), by age and gender: wave 8</t>
  </si>
  <si>
    <t>marital status</t>
  </si>
  <si>
    <t>Table S1b</t>
  </si>
  <si>
    <t>Marital status (%), by wealth group and gender: wave 8</t>
  </si>
  <si>
    <t>Table S2a</t>
  </si>
  <si>
    <t>Ethnicity (%), by age and gender: wave 8</t>
  </si>
  <si>
    <t>ethnicity</t>
  </si>
  <si>
    <t>Table S2b</t>
  </si>
  <si>
    <t>Ethnicity (%), by wealth group and gender: wave 8</t>
  </si>
  <si>
    <t>Table S3a</t>
  </si>
  <si>
    <t>Use internet and/or email (%), by age and gender: wave 8 Age</t>
  </si>
  <si>
    <t>internet use</t>
  </si>
  <si>
    <t>Table S3b</t>
  </si>
  <si>
    <t>Use internet and/or email (%), by wealth group and gender: wave 8</t>
  </si>
  <si>
    <t>Table S4a</t>
  </si>
  <si>
    <t>Taken holiday (in UK or abroad) in the last 12 months (%), by age and gender: wave 8</t>
  </si>
  <si>
    <t>holiday</t>
  </si>
  <si>
    <t>Table S4b</t>
  </si>
  <si>
    <t>Taken holiday (in UK or abroad) in the last 12 months (%), by wealth group and gender: wave 8</t>
  </si>
  <si>
    <t>Table S5a</t>
  </si>
  <si>
    <t>Use of public transport (%), by age and gender: wave 8</t>
  </si>
  <si>
    <t>transport</t>
  </si>
  <si>
    <t>Table S5b</t>
  </si>
  <si>
    <t>Use of public transport (%), by wealth group and gender: wave 8</t>
  </si>
  <si>
    <t>Table S6a</t>
  </si>
  <si>
    <t>Use of private transport (%), by age and gender: wave 8</t>
  </si>
  <si>
    <t>Table S6b</t>
  </si>
  <si>
    <t>Use of private transport (%), by wealth group and gender: wave 8</t>
  </si>
  <si>
    <t>Table S7a</t>
  </si>
  <si>
    <t>Voluntary work frequency (%), by age and gender: wave 8</t>
  </si>
  <si>
    <t>voluntary work</t>
  </si>
  <si>
    <t>Table S7b</t>
  </si>
  <si>
    <t>Voluntary work frequency (%), by wealth group and gender: wave 8</t>
  </si>
  <si>
    <t>Table S8a</t>
  </si>
  <si>
    <t>Cared for someone in the last month (%), by age and gender: wave 8</t>
  </si>
  <si>
    <t>caring responsibilities</t>
  </si>
  <si>
    <t>Table S8b</t>
  </si>
  <si>
    <t>Cared for someone in the last month (%), by wealth group and gender: wave 8</t>
  </si>
  <si>
    <t>Table S9a</t>
  </si>
  <si>
    <t>Receives help with mobility (%), by age and gender: wave 8</t>
  </si>
  <si>
    <t>mobility</t>
  </si>
  <si>
    <t>Table S9b</t>
  </si>
  <si>
    <t>Receives help with mobility (%), by wealth group and gender: wave 8</t>
  </si>
  <si>
    <t>Table S10a</t>
  </si>
  <si>
    <t>Mean number of close relationships with children, family and friends, by age and gender: wave 8</t>
  </si>
  <si>
    <t>relationships</t>
  </si>
  <si>
    <t>Table S10b</t>
  </si>
  <si>
    <t>Mean number of close relationships with children, family and friends, by wealth group and gender: wave 8</t>
  </si>
  <si>
    <t>Table S11a</t>
  </si>
  <si>
    <t>Self-perceived social status in society (%), by age and gender: wave 8</t>
  </si>
  <si>
    <t>social status</t>
  </si>
  <si>
    <t>Table S11b</t>
  </si>
  <si>
    <t>Self-perceived social status in society (%), by wealth group and gender: wave 8</t>
  </si>
  <si>
    <t>Table S12a</t>
  </si>
  <si>
    <t>Mean self-perceived chance (%) of living to 85, by age and gender: wave 8</t>
  </si>
  <si>
    <t>expected life expectancy</t>
  </si>
  <si>
    <t>Table S12b</t>
  </si>
  <si>
    <t>Mean self-perceived chance (%) of living to 85, by wealth group and gender: wave 8</t>
  </si>
  <si>
    <t>Table SL1a</t>
  </si>
  <si>
    <t>Percentage married or remarried at baseline (wave 4) and, of those, percentage still married at waves 5–8, by age and gender</t>
  </si>
  <si>
    <t>Table SL1b</t>
  </si>
  <si>
    <t>Percentage married or remarried at baseline (wave 4) and, of those, percentage still married at waves 5–8, by wealth group and gender</t>
  </si>
  <si>
    <t>Table SL2a</t>
  </si>
  <si>
    <t>Percentage using internet and/or email at baseline (wave 4) and, of those, percentage still using internet and/or email at waves 5–8, by age and gender</t>
  </si>
  <si>
    <t>Table SL2b</t>
  </si>
  <si>
    <t>Percentage using internet and/or email at baseline (wave 4) and, of those, percentage still using internet and/or email at waves 5–8, by wealth group and gender</t>
  </si>
  <si>
    <t>Table SL2c</t>
  </si>
  <si>
    <t>Percentage not using internet and/or email at baseline (wave 4) and, of those, percentage using internet and/or email at waves 5–8, by age and gender</t>
  </si>
  <si>
    <t>Table SL2d</t>
  </si>
  <si>
    <t>Percentage not using internet and/or email at baseline (wave 4) and, of those, percentage using internet and/or email at waves 5–8, by wealth group and gender</t>
  </si>
  <si>
    <t>Table SL3a</t>
  </si>
  <si>
    <t>Percentage been on holiday in the last year at baseline (wave 4) and, of those, percentage still been on holiday in the last year at waves 5–8, by age and gender</t>
  </si>
  <si>
    <t>Table SL3b</t>
  </si>
  <si>
    <t>Percentage been on holiday in the last year at baseline (wave 4) and, of those, percentage still been on holiday in the last year at waves 5–8, by wealth group and gender</t>
  </si>
  <si>
    <t>Table SL4a</t>
  </si>
  <si>
    <t>Percentage using public transport at baseline (wave 4) and, of those, percentage still using public transport at waves 5–8, by age and gender</t>
  </si>
  <si>
    <t>Table SL4b</t>
  </si>
  <si>
    <t>Percentage using public transport at baseline (wave 4) and, of those, percentage still using public transport at waves 5–8, by wealth group and gender</t>
  </si>
  <si>
    <t>Table SL4c</t>
  </si>
  <si>
    <t>Percentage not using public transport at baseline (wave 4) and, of those, percentage using public transport at waves 5–8, by age and gender</t>
  </si>
  <si>
    <t>Table SL4d</t>
  </si>
  <si>
    <t>Percentage not using public transport at baseline (wave 4) and, of those, percentage using public transport at waves 5–8, by wealth group and gender</t>
  </si>
  <si>
    <t>Table SL5a</t>
  </si>
  <si>
    <t>Percentage with access to a car or van at baseline (wave 4) and, of those, percentage still with access to a car or van at waves 5–8, by age and gender</t>
  </si>
  <si>
    <t>Table SL5b</t>
  </si>
  <si>
    <t>Percentage with access to a car or van at baseline (wave 4) and, of those, percentage still with access to a car or van at waves 5–8, by wealth group and gender</t>
  </si>
  <si>
    <t>Table SL6a</t>
  </si>
  <si>
    <t>Percentage volunteering at baseline (wave 4) and, of those, percentage still volunteering at waves 5–8, by age and gender</t>
  </si>
  <si>
    <t>Table SL6b</t>
  </si>
  <si>
    <t>Percentage volunteering at baseline (wave 4) and, of those, percentage still volunteering at waves 5–8, by wealth group and gender</t>
  </si>
  <si>
    <t>Table SL6c</t>
  </si>
  <si>
    <t>Percentage not volunteering at baseline (wave 4) and, of those, percentage volunteering at waves 5–8, by age and gender</t>
  </si>
  <si>
    <t>Table SL6d</t>
  </si>
  <si>
    <t>Percentage not volunteering at baseline (wave 4) and, of those, percentage volunteering at waves 5–8, by wealth group and gender</t>
  </si>
  <si>
    <t>Table SL7a</t>
  </si>
  <si>
    <t>Percentage not caring for someone at baseline (wave 4) and, of those, percentage caring for someone at waves 5–8, by age and gender</t>
  </si>
  <si>
    <t>Table SL7b</t>
  </si>
  <si>
    <t>Percentage not caring for someone at baseline (wave 4) and, of those, percentage caring for someone at waves 5–8, by wealth group and gender</t>
  </si>
  <si>
    <t>Health domain</t>
  </si>
  <si>
    <t>Table H1a</t>
  </si>
  <si>
    <t>Self-rated health (%), by age group and gender: wav</t>
  </si>
  <si>
    <t>health</t>
  </si>
  <si>
    <t>Table H1b</t>
  </si>
  <si>
    <t>Self-rated health (%), by gender and wealth group: wave 8</t>
  </si>
  <si>
    <t>Table H2a</t>
  </si>
  <si>
    <t>Limiting long-standing illness (%), by age group and gender: wave 8</t>
  </si>
  <si>
    <t>health conditions</t>
  </si>
  <si>
    <t>Table H2b</t>
  </si>
  <si>
    <t>Limiting long-standing illness (%), by gender and wealth group: wave 8</t>
  </si>
  <si>
    <t>Table H3a</t>
  </si>
  <si>
    <t>Diagnosed health conditions (%), by age group and gender: wave 8</t>
  </si>
  <si>
    <t>Table H3b</t>
  </si>
  <si>
    <t>Diagnosed health conditions (%), by gender and wealth group: wave 8</t>
  </si>
  <si>
    <t>Table H4a</t>
  </si>
  <si>
    <t>Self-rated sensory impairment (%), by age group and gender: wave 8</t>
  </si>
  <si>
    <t>sensory impairment</t>
  </si>
  <si>
    <t>Table H4b</t>
  </si>
  <si>
    <t>Self-rated sensory impairment (%), by gender and wealth group: wave 8</t>
  </si>
  <si>
    <t>Table H5a</t>
  </si>
  <si>
    <t>Mean walking speed (m/s), by age group and gender: wave 8</t>
  </si>
  <si>
    <t>walking speed</t>
  </si>
  <si>
    <t>Table H5b</t>
  </si>
  <si>
    <t>Mean walking speed (m/s), by gender and wealth group: wave 8</t>
  </si>
  <si>
    <t>Table H6a</t>
  </si>
  <si>
    <t>Limitations with one or more ADLs and IADLs (%), by age group and gender: wave 8</t>
  </si>
  <si>
    <t>activities of daily living</t>
  </si>
  <si>
    <t>Table H6b</t>
  </si>
  <si>
    <t>Limitations with one or more ADLs and IADLs (%), by gender and wealth group: wave 8</t>
  </si>
  <si>
    <t>Table H7a</t>
  </si>
  <si>
    <t>Mean cognitive function, by age group and gender: wave 8</t>
  </si>
  <si>
    <t>cognitive function</t>
  </si>
  <si>
    <t>Table H7b</t>
  </si>
  <si>
    <t>Mean cognitive function, by age group and wealth group: wave 8</t>
  </si>
  <si>
    <t>Table H8a</t>
  </si>
  <si>
    <t>Health behaviours (%) by age group and gender: wave 8</t>
  </si>
  <si>
    <t>health behaviours</t>
  </si>
  <si>
    <t>Table H8b</t>
  </si>
  <si>
    <t>Health behaviours (%) by gender and wealth group: wave 8</t>
  </si>
  <si>
    <t>Table HL1a</t>
  </si>
  <si>
    <t>Fair or poor self-rated health (%), by age and gender: waves 4 to 8</t>
  </si>
  <si>
    <t>Table HL1b</t>
  </si>
  <si>
    <t>Fair or poor self-rated health (%), by gender and wealth: waves 4 to 8</t>
  </si>
  <si>
    <t>Table HL2a</t>
  </si>
  <si>
    <t>Diagnosed CHD (%), by age and gender: waves 4 to 8</t>
  </si>
  <si>
    <t>CHD</t>
  </si>
  <si>
    <t>Table HL2b</t>
  </si>
  <si>
    <t>Diagnosed CHD (%), by gender and wealth: waves 4 to 8</t>
  </si>
  <si>
    <t>Table HL3a</t>
  </si>
  <si>
    <t>Diagnosed diabetes (%), by age and gender: waves 4 to 8</t>
  </si>
  <si>
    <t>diabetes</t>
  </si>
  <si>
    <t>Table HL3b</t>
  </si>
  <si>
    <t>Diagnosed diabetes (%), by gender and wealth: waves 4 to 8</t>
  </si>
  <si>
    <t>Table HL4a</t>
  </si>
  <si>
    <t>Diagnosed cancer (%), by age and gender: waves 4 to 8</t>
  </si>
  <si>
    <t>cancer</t>
  </si>
  <si>
    <t>Table HL4b</t>
  </si>
  <si>
    <t>Diagnosed cancer (%), by gender and wealth: waves 4 to 8</t>
  </si>
  <si>
    <t>Table HL5a</t>
  </si>
  <si>
    <t>Diagnosed depression (%), by age and gender: waves 4 to 8</t>
  </si>
  <si>
    <t>depression</t>
  </si>
  <si>
    <t>Table HL5b</t>
  </si>
  <si>
    <t>Diagnosed depression (%), by gender and wealth: waves 4 to 8</t>
  </si>
  <si>
    <t>Table HL6a</t>
  </si>
  <si>
    <t>Walking speed (mean, m/s), by age and gender: waves 4 to 8</t>
  </si>
  <si>
    <t>Table HL6b</t>
  </si>
  <si>
    <t>Walking speed (mean, m/s), by gender and wealth: waves 4 to 8</t>
  </si>
  <si>
    <t>Table HL7a</t>
  </si>
  <si>
    <t>At least one difficulty with ADL (%), by age and gender: waves 4 to 8</t>
  </si>
  <si>
    <t>Table HL7b</t>
  </si>
  <si>
    <t>At least one difficulty with ADL (%), by gender and wealth: waves 4 to 8</t>
  </si>
  <si>
    <t>Table HL8a</t>
  </si>
  <si>
    <t>Mean memory score, by age and gender: waves 4 to 8</t>
  </si>
  <si>
    <t>Table HL8b</t>
  </si>
  <si>
    <t>Mean memory score, by gender and wealth: waves 4 to 8</t>
  </si>
  <si>
    <t>Table HL9a</t>
  </si>
  <si>
    <t>Current smoker (%), by age and gender: waves 4 to 8</t>
  </si>
  <si>
    <t>smoking</t>
  </si>
  <si>
    <t>Table HL9b</t>
  </si>
  <si>
    <t>Current smoker (%), by gender and wealth: waves 4 to 8</t>
  </si>
  <si>
    <t>Table HL10a</t>
  </si>
  <si>
    <t>Daily alcohol consumer (%), by age and gender: waves 4 to 8</t>
  </si>
  <si>
    <t>alcohol consumption</t>
  </si>
  <si>
    <t>Table HL10b</t>
  </si>
  <si>
    <t>Daily alcohol consumer (%), by wealth and gender: waves 4 to 8</t>
  </si>
  <si>
    <t>Table HL11a</t>
  </si>
  <si>
    <t>Physical inactivity (%), by age and gender: waves 4 to 8</t>
  </si>
  <si>
    <t>physical inactivity</t>
  </si>
  <si>
    <t>Table HL11b</t>
  </si>
  <si>
    <t>Physical inactivity (%), by wealth and gender: waves 4 to 8</t>
  </si>
  <si>
    <t>Table N1a</t>
  </si>
  <si>
    <t>Mean body mass index (kg/m2), by age and gender: wave 8 Age</t>
  </si>
  <si>
    <t>BMI</t>
  </si>
  <si>
    <t>Table N1b</t>
  </si>
  <si>
    <t>Body mass index categories (%), by age and gender: wave 8</t>
  </si>
  <si>
    <t>Table N1c</t>
  </si>
  <si>
    <t>Body mass index (kg/m2) means, by wealth group and gender: wave 8</t>
  </si>
  <si>
    <t>Table N1d</t>
  </si>
  <si>
    <t>Body mass index categories (%), by wealth group and gender: wave 8 Wealth</t>
  </si>
  <si>
    <t>Table N2a</t>
  </si>
  <si>
    <t>Means of systolic and diastolic blood pressure (mmHg), by age and gender: wave 8</t>
  </si>
  <si>
    <t>blood pressure</t>
  </si>
  <si>
    <t>Table N2b</t>
  </si>
  <si>
    <t>Means of systolic and diastolic blood pressure (mmHg), by wealth group and gender: wave 8</t>
  </si>
  <si>
    <t>Table N3a</t>
  </si>
  <si>
    <t>Lipid profile (mmol/l), by age and gender: wave 8</t>
  </si>
  <si>
    <t>lipid profile</t>
  </si>
  <si>
    <t>Table N3b</t>
  </si>
  <si>
    <t>Lipid profile (mmol/l), by wealth group and gender: wave 8</t>
  </si>
  <si>
    <t>Table N4a</t>
  </si>
  <si>
    <t>Fibrinogen (g/l) and C-reactive protein (mg/l) means, by age and gender: wave 8</t>
  </si>
  <si>
    <t>fibrinogen</t>
  </si>
  <si>
    <t>Table N4b</t>
  </si>
  <si>
    <t>Fibrinogen (g/l) and C-reactive protein (mg/l) means, by wealth group and gender: wave 8</t>
  </si>
  <si>
    <t>Table N5a</t>
  </si>
  <si>
    <t>Glycated haemoglobin (%) means, by gender and age: wave 8 Age</t>
  </si>
  <si>
    <t>HbA1C</t>
  </si>
  <si>
    <t>Table N5b</t>
  </si>
  <si>
    <t>Glycated haemoglobin (%) means, by wealth group and gender: wave 8 Wealth</t>
  </si>
  <si>
    <t>Table N6a</t>
  </si>
  <si>
    <t>Mean haemoglobin (g/dl) and anaemia (%), by age and gender: wave 8</t>
  </si>
  <si>
    <t>haemoglobin</t>
  </si>
  <si>
    <t>Table N6b</t>
  </si>
  <si>
    <t>Mean haemoglobin (g/dl) and anaemia prevalence, by wealth group and gender: wave 8</t>
  </si>
  <si>
    <t>Table N7a</t>
  </si>
  <si>
    <t>Mean levels of IGF-1 (nmol/l), by gender and age: wave 8</t>
  </si>
  <si>
    <t>IGF-1</t>
  </si>
  <si>
    <t>Table N7b</t>
  </si>
  <si>
    <t>Mean levels of IGF-1 (nmol/l), by wealth group and gender: wave 8</t>
  </si>
  <si>
    <t>Table N8a</t>
  </si>
  <si>
    <t>Mean levels of vitamin D (nmol/l), by gender and age: wave 8</t>
  </si>
  <si>
    <t>vitamin D</t>
  </si>
  <si>
    <t>Table N8b</t>
  </si>
  <si>
    <t>Mean levels of vitamin D (nmol/l), by wealth group and gender: wave 8</t>
  </si>
  <si>
    <t>Table N9a</t>
  </si>
  <si>
    <t>Mean grip strength (kilograms), by gender and age: wave 8</t>
  </si>
  <si>
    <t>grip strength</t>
  </si>
  <si>
    <t>Table N9b</t>
  </si>
  <si>
    <t>Mean grip strength (kilograms), by wealth group and gender: wave 8</t>
  </si>
  <si>
    <t>source</t>
  </si>
  <si>
    <t>org</t>
  </si>
  <si>
    <t>url_source</t>
  </si>
  <si>
    <t>year_first_published</t>
  </si>
  <si>
    <t>year_last_published</t>
  </si>
  <si>
    <t>discontinuity</t>
  </si>
  <si>
    <t>publication_frequency</t>
  </si>
  <si>
    <t>publication_lag_months</t>
  </si>
  <si>
    <t>geo_coverage</t>
  </si>
  <si>
    <t>data_providers</t>
  </si>
  <si>
    <t>trace_from</t>
  </si>
  <si>
    <t>statistic_class</t>
  </si>
  <si>
    <t>methodology_link</t>
  </si>
  <si>
    <t>data_collection_incentive</t>
  </si>
  <si>
    <t>quality_issues</t>
  </si>
  <si>
    <t>prep_notes_source</t>
  </si>
  <si>
    <t>NHS Digital</t>
  </si>
  <si>
    <t>Adult Social Care Activity and Finance Report</t>
  </si>
  <si>
    <t>https://digital.nhs.uk/data-and-information/publications/statistical/adult-social-care-activity-and-finance-report/2018-19</t>
  </si>
  <si>
    <t>None</t>
  </si>
  <si>
    <t>Annual</t>
  </si>
  <si>
    <t>SALT,ASC-FR</t>
  </si>
  <si>
    <t>National (ASC-FR) + Official (SALT)</t>
  </si>
  <si>
    <t>https://digital.nhs.uk/data-and-information/publications/statistical/adult-social-care-activity-and-finance-report/2018-19/data-quality-statement</t>
  </si>
  <si>
    <t>https://digital.nhs.uk/data-and-information/publications/statistical/adult-social-care-activity-and-finance-report/2018-19/data-quality-statement#accuracy-and-reliability</t>
  </si>
  <si>
    <t>TR: Previously Community Care Statistics</t>
  </si>
  <si>
    <t>https://digital.nhs.uk/data-and-information/publications/statistical/adult-social-care-outcomes-framework-ascof</t>
  </si>
  <si>
    <t>At least one measure impact each year since 2012</t>
  </si>
  <si>
    <t>See trace</t>
  </si>
  <si>
    <t>ASCS,SALT,SACE,MHSDS,ONS,HES,NHS England</t>
  </si>
  <si>
    <t>Official</t>
  </si>
  <si>
    <t>https://files.digital.nhs.uk/19/C45DF7/meas-from-asc-of-eng-1819-Appendices.pdf</t>
  </si>
  <si>
    <t>TR: Aggregation of measures from other sources.</t>
  </si>
  <si>
    <t>https://digital.nhs.uk/data-and-information/data-collections-and-data-sets/data-collections/social-care-collections#short-and-long-term-support-salt-</t>
  </si>
  <si>
    <t>2014 (RAP, ASC-CAR), 2016 (PSS-EX1)</t>
  </si>
  <si>
    <t>TR: Have not yet found actual data, only the returns template.</t>
  </si>
  <si>
    <t>ASC-FR</t>
  </si>
  <si>
    <t>https://digital.nhs.uk/data-and-information/data-collections-and-data-sets/data-collections/social-care-collection-materials-2019#adult-social-care-finance-return-asc-fr-</t>
  </si>
  <si>
    <t>http://www.cipfastats.net/sercop/</t>
  </si>
  <si>
    <t>https://digital.nhs.uk/binaries/content/assets/website-assets/data-and-information/data-collections/social-care-collections-2019/asc-fr-guidance-2018-19-v1.2-final.pdf</t>
  </si>
  <si>
    <t>Deprivation of Liberty Safeguards</t>
  </si>
  <si>
    <t>https://digital.nhs.uk/data-and-information/publications/statistical/mental-capacity-act-2005-deprivation-of-liberty-safeguards-assessments</t>
  </si>
  <si>
    <t>https://digital.nhs.uk/data-and-information/publications/statistical/mental-capacity-act-2005-deprivation-of-liberty-safeguards-assessments/england-2018-19/data-quality-statement</t>
  </si>
  <si>
    <t>Guardianship under the Mental Health Act</t>
  </si>
  <si>
    <t>https://digital.nhs.uk/data-and-information/publications/statistical/guardianship-under-the-mental-health-act-1983</t>
  </si>
  <si>
    <t>2014, 2015</t>
  </si>
  <si>
    <t>Biennial</t>
  </si>
  <si>
    <t>National</t>
  </si>
  <si>
    <t>https://files.digital.nhs.uk/E2/38AA0F/guar-unde-ment-heal-act-1983-eng-1618-annex-B-data-qual.pdf</t>
  </si>
  <si>
    <t>Learning Disability Services Statistics</t>
  </si>
  <si>
    <t>https://digital.nhs.uk/data-and-information/publications/statistical/learning-disability-services-statistics</t>
  </si>
  <si>
    <t>Monthly</t>
  </si>
  <si>
    <t>Assuring Transformation, MHSDS</t>
  </si>
  <si>
    <t>Experimental</t>
  </si>
  <si>
    <t>https://files.digital.nhs.uk/37/CA1829/ldsm-jan-20-main-report.pdf</t>
  </si>
  <si>
    <t>TR: Did not include measures from the highly overlapping measures from the MHSDS https://files.digital.nhs.uk/9F/98697F/MHSDS%20Monthly%20LDA%20Nov%202019%20Reference%20Tables.xlsx</t>
  </si>
  <si>
    <t>Personal Social Services (SACE) Survey of Adult Carers in England</t>
  </si>
  <si>
    <t>https://digital.nhs.uk/data-and-information/publications/statistical/personal-social-services-survey-of-adult-carers/england-2018-19</t>
  </si>
  <si>
    <t>https://files.digital.nhs.uk/2C/7E21D3/PSS_SACE_Methodology_and_Further_Information_2018-19.pdf</t>
  </si>
  <si>
    <t>https://files.digital.nhs.uk/C2/BA9328/PSS_SACE_Data_Quality_Statement_2018-19.pdf</t>
  </si>
  <si>
    <t xml:space="preserve">Personal Social Services: (ASCS) Adult Social Care Survey, England </t>
  </si>
  <si>
    <t>https://digital.nhs.uk/data-and-information/publications/statistical/personal-social-services-adult-social-care-survey</t>
  </si>
  <si>
    <t>https://files.digital.nhs.uk/BD/6D7209/pss-ascs-eng-1819-Methodology_report.pdf</t>
  </si>
  <si>
    <t>https://files.digital.nhs.uk/0E/5F058D/pss-ascs-eng-1819_Data_Quality_report.pdf</t>
  </si>
  <si>
    <t>Personal Social Services: Expenditure and Unit Costs</t>
  </si>
  <si>
    <t>https://digital.nhs.uk/data-and-information/publications/statistical/personal-social-services-expenditure-and-unit-costs</t>
  </si>
  <si>
    <t>https://files.digital.nhs.uk/publicationimport/pub22xxx/pub22240/pss-exp-eng-15-16-fin-dq.pdf</t>
  </si>
  <si>
    <t>TR: superseded by ASC-FR and Activity &amp; Finance</t>
  </si>
  <si>
    <t>Personal Social Services: Staff of Social Services Departments</t>
  </si>
  <si>
    <t>https://digital.nhs.uk/data-and-information/publications/statistical/personal-social-services-staff-of-social-services-departments</t>
  </si>
  <si>
    <t>Skills for Care, LA</t>
  </si>
  <si>
    <t>https://digital.nhs.uk/data-and-information/publications/statistical/personal-social-services-staff-of-social-services-departments/england-2019/data-quality-statement</t>
  </si>
  <si>
    <t>Safeguarding Adults</t>
  </si>
  <si>
    <t>https://digital.nhs.uk/data-and-information/publications/statistical/safeguarding-adults</t>
  </si>
  <si>
    <t>https://digital.nhs.uk/data-and-information/publications/statistical/safeguarding-adults/annual-report-2018-19-england/data-quality-statement</t>
  </si>
  <si>
    <t>NHS England</t>
  </si>
  <si>
    <t>Delayed Transfers of Care</t>
  </si>
  <si>
    <t>https://www.england.nhs.uk/statistics/statistical-work-areas/delayed-transfers-of-care/</t>
  </si>
  <si>
    <t>https://www.england.nhs.uk/statistics/wp-content/uploads/sites/2/2018/11/Monthly-Delayed-Transfers-of-Care-Situation-Report-Principles-Definitions-and-Guidance.pdf</t>
  </si>
  <si>
    <t>NHS Continuing Healthcare and NHS-funded Nursing Care</t>
  </si>
  <si>
    <t>https://www.england.nhs.uk/statistics/statistical-work-areas/nhs-chc-fnc/</t>
  </si>
  <si>
    <t>Quarterly</t>
  </si>
  <si>
    <t>https://www.england.nhs.uk/statistics/wp-content/uploads/sites/2/2020/02/CHC-and-FNC-Statistical-Release-Q3-2019-20.pdf</t>
  </si>
  <si>
    <t>https://www.england.nhs.uk/statistics/wp-content/uploads/sites/2/2020/02/CHC-and-FNC-Report-Q3-2019-20_z5qnTp.pdf</t>
  </si>
  <si>
    <t>ONS</t>
  </si>
  <si>
    <t>Public service productivity, adult social care, England</t>
  </si>
  <si>
    <t>https://www.ons.gov.uk/releases/publicserviceproductivityadultsocialcareenglandfinancialyearending2019</t>
  </si>
  <si>
    <t>Indirect</t>
  </si>
  <si>
    <t>ASCS, NMDS-SC</t>
  </si>
  <si>
    <t>https://www.ons.gov.uk/economy/economicoutputandproductivity/publicservicesproductivity/articles/publicserviceproductivityadultsocialcareengland/financialyearending2019#quality-and-methodology</t>
  </si>
  <si>
    <t>PHE</t>
  </si>
  <si>
    <t>Palliative and End of Life Care Profiles - Care Homes and Community</t>
  </si>
  <si>
    <t>https://fingertips.phe.org.uk/profile/end-of-life/data#page/4/gid/1938133060/pat/6/par/E12000004/ati/102/are/E06000015/iid/92490/age/162/sex/4</t>
  </si>
  <si>
    <t>CQC, ONS, ASCOF</t>
  </si>
  <si>
    <t>https://fingertips.phe.org.uk/profile/end-of-life/data#page/6/gid/1938133060/pat/6/par/E12000007/ati/202/are/E09000002/iid/1194/age/27/sex/4</t>
  </si>
  <si>
    <t>Skills for Care</t>
  </si>
  <si>
    <t>State of the ASC sector and workforce</t>
  </si>
  <si>
    <t>https://www.skillsforcare.org.uk/adult-social-care-workforce-data/Workforce-intelligence/publications/national-information/The-state-of-the-adult-social-care-sector-and-workforce-in-England.aspx</t>
  </si>
  <si>
    <t>LA,Independents</t>
  </si>
  <si>
    <t>ASC-WDS (previously NMDS-SC)</t>
  </si>
  <si>
    <t>https://www.skillsforcare.org.uk/adult-social-care-workforce-data/Workforce-intelligence/Our-work/Our-data.aspx</t>
  </si>
  <si>
    <t>Winter Daily SitRep</t>
  </si>
  <si>
    <t>https://www.england.nhs.uk/statistics/statistical-work-areas/winter-daily-sitreps/winter-daily-sitrep-2019-20-data/</t>
  </si>
  <si>
    <t>Weekly, during winter only</t>
  </si>
  <si>
    <t>Trusts</t>
  </si>
  <si>
    <t>https://improvement.nhs.uk/resources/how-to-complete-daily-sitreps/</t>
  </si>
  <si>
    <t>FG: this data contains the number of beds occupied by long-stay patients in acute hopsital trusts.</t>
  </si>
  <si>
    <t>CQC</t>
  </si>
  <si>
    <t>State of Care Ratings Data</t>
  </si>
  <si>
    <t>https://www.cqc.org.uk/publications/major-report/state-care</t>
  </si>
  <si>
    <t>DWP</t>
  </si>
  <si>
    <t>Family Resources Survey</t>
  </si>
  <si>
    <t>https://www.gov.uk/government/collections/family-resources-survey--2</t>
  </si>
  <si>
    <t>https://assets.publishing.service.gov.uk/government/uploads/system/uploads/attachment_data/file/789455/family-resources-survey-2017-18-background-note-methodology.pdf</t>
  </si>
  <si>
    <t>TR: See disabilities and carers data tables for meaures which could be useful but high geo levels.</t>
  </si>
  <si>
    <t>Stat-Xplore</t>
  </si>
  <si>
    <t>https://www.gov.uk/government/organisations/department-for-work-pensions/about/statistics</t>
  </si>
  <si>
    <t>GP Contract</t>
  </si>
  <si>
    <t>Quality and Outcomes Framework (QOF) database</t>
  </si>
  <si>
    <t>https://www.gpcontract.co.uk/browse/ENG/19</t>
  </si>
  <si>
    <t>England, NI, Wales</t>
  </si>
  <si>
    <t>GP</t>
  </si>
  <si>
    <t>TR: Have assumed framework areas of Dementia and Mental Health indicate potential need for ASC, but could argue same for others.</t>
  </si>
  <si>
    <t>Ministry of Housing, Communities &amp; Local Government</t>
  </si>
  <si>
    <t>Disabled Facilities Grant and other adaptations: external review</t>
  </si>
  <si>
    <t>https://www.gov.uk/government/publications/disabled-facilities-grant-and-other-adaptations-external-review</t>
  </si>
  <si>
    <t>One-off</t>
  </si>
  <si>
    <t>University of the West of England</t>
  </si>
  <si>
    <t>TR: Referenced by KF but not sure a one-off review is useful to us, other than as a cross-check for missed sources.</t>
  </si>
  <si>
    <t>https://www.gov.uk/government/publications/improved-better-care-fund-2018-19-quarterly-and-year-end-reporting</t>
  </si>
  <si>
    <t>Management Information</t>
  </si>
  <si>
    <t>https://assets.publishing.service.gov.uk/government/uploads/system/uploads/attachment_data/file/836598/iBCF_End_of_year_report_1819.pdf</t>
  </si>
  <si>
    <t>LA revenue expenditure and financing</t>
  </si>
  <si>
    <t>https://www.gov.uk/government/collections/local-authority-revenue-expenditure-and-financing</t>
  </si>
  <si>
    <t>https://assets.publishing.service.gov.uk/government/uploads/system/uploads/attachment_data/file/812505/Local_Authority_Revenue_Expenditure_and_Financing_2019-20_Budget__England.pdf</t>
  </si>
  <si>
    <t>TR: Appears to be very high level (total ASC budget/expenditure at national level)</t>
  </si>
  <si>
    <t>NatCen Social Research</t>
  </si>
  <si>
    <t>British Social Attitudes (BSA) survey</t>
  </si>
  <si>
    <t>https://www.kingsfund.org.uk/publications/public-satisfaction-nhs-social-care-2018</t>
  </si>
  <si>
    <t>2006, 2011</t>
  </si>
  <si>
    <t>Great Britain</t>
  </si>
  <si>
    <t>https://www.kingsfund.org.uk/publications/public-satisfaction-nhs-social-care-2018#</t>
  </si>
  <si>
    <t>https://www.kingsfund.org.uk/sites/default/files/2019-03/Public_satisfaction_with_NHS_social_care_in_2018.pdf</t>
  </si>
  <si>
    <t>Neurological Alliance</t>
  </si>
  <si>
    <t>Patient experience survey</t>
  </si>
  <si>
    <t>https://www.neural.org.uk/patient-experience-survey/</t>
  </si>
  <si>
    <t>Patients of The Neurological Alliance’s member organisations</t>
  </si>
  <si>
    <t>https://www.neural.org.uk/wp-content/uploads/2019/07/Neuro-Patience-Technical-Report.pdf</t>
  </si>
  <si>
    <t>TR: Broader than ASC but summary states " It also found failings in the social care and welfare system"</t>
  </si>
  <si>
    <t>Health Survey for England</t>
  </si>
  <si>
    <t>https://digital.nhs.uk/data-and-information/publications/statistical/health-survey-for-england</t>
  </si>
  <si>
    <t>NatCen</t>
  </si>
  <si>
    <t>https://files.digital.nhs.uk/CA/2393EF/HSE18-Methods-rep.pdf</t>
  </si>
  <si>
    <t>https://files.digital.nhs.uk/84/15B76C/HSE18-Data-Quality-v3.pdf</t>
  </si>
  <si>
    <t>Better Care Fund: Data Collection and Performance Report</t>
  </si>
  <si>
    <t>https://www.england.nhs.uk/publication/better-care-fund-quarterly-performance-report-2018-19/</t>
  </si>
  <si>
    <t>DHSC, MHCLG, NHS England, LGA, NHS Digital</t>
  </si>
  <si>
    <t>Improved Better Care Fund (iBCF): Quarterly and year-end reporting</t>
  </si>
  <si>
    <t>https://digital.nhs.uk/data-and-information/publications/statistical/deferred-payment-agreements</t>
  </si>
  <si>
    <t>https://digital.nhs.uk/data-and-information/publications/statistical/deferred-payment-agreements/2018-19/data-quality-statement</t>
  </si>
  <si>
    <t>https://digital.nhs.uk/data-and-information/publications/statistical/deferred-payment-agreements/2018-19/data-quality-issues-to-note</t>
  </si>
  <si>
    <t xml:space="preserve">NIH National Institute of Ageing </t>
  </si>
  <si>
    <t>English Longitudinal Study of Ageing</t>
  </si>
  <si>
    <t>UCL, IFS, Manchester University, NatCen, UEA</t>
  </si>
  <si>
    <r>
      <t xml:space="preserve">measure_source_report_map
</t>
    </r>
    <r>
      <rPr>
        <sz val="9"/>
        <color theme="0"/>
        <rFont val="Calibri"/>
        <family val="2"/>
        <scheme val="minor"/>
      </rPr>
      <t>Cross reference from measures/sources to reports. Ok for one of A and B to be blank. Just for audit. Will not be visualised. Not ideal data modelling, but simpler to have one xref table.
This is just for audit trail of how we came up with the sources.</t>
    </r>
  </si>
  <si>
    <t>org_report</t>
  </si>
  <si>
    <t>report_notes</t>
  </si>
  <si>
    <t>preparation_notes</t>
  </si>
  <si>
    <t>NHS Digital:Adult Social Care Activity and Finance Report</t>
  </si>
  <si>
    <t>HF:Annex to YASC report draft</t>
  </si>
  <si>
    <t>System Context;
Annual publication on adult social care finances and activity, submitted by local authorities;
Limitations 
•Break in time series means that cannot compare activity and finance data prior to 2014/15 when looking at younger adults, older people, activity in different settings (e.g. residential or domiciliary care) 
•Challenging to interpret as a number of different measures of spending 
•Annual publication with six month lag, e.g. financial year 2018/19 which ends March 2019, is published in October 2019</t>
  </si>
  <si>
    <t>NHS Digital:Personal Social Services: Expenditure and Unit Costs</t>
  </si>
  <si>
    <t>NHS Digital:SALT</t>
  </si>
  <si>
    <t>TR: Source to ASCOF so possibly can be excluded. Annex actually refers to Community Care Statistics which were superseded by SALT.</t>
  </si>
  <si>
    <t>Ministry of Housing, Communities &amp; Local Government:LA revenue expenditure and financing</t>
  </si>
  <si>
    <t xml:space="preserve">System Context; Annual publication on overall local government finances, including budgeting and expenditure data. Includes some social care data;
Limitations
•Limited information about social care and information that is published duplicates NHS Digital publications, but published at different points in the year </t>
  </si>
  <si>
    <t>CQC:Locations Regulated</t>
  </si>
  <si>
    <t>System Context;Detail on the active locations that CQC regulates, including the different types of services provided and target services users</t>
  </si>
  <si>
    <t>NHS Digital:ASCOF</t>
  </si>
  <si>
    <t>System Context, Outcomes;
ASCOF is a collection of social care outcomes performance indicators published by NHS Digital, providing information on a range of social services by local authority and on people receiving funding from a local authority to use these services. This report includes data from five measures.
Measure 2A(1): Long-term support needs of younger adults (aged 18-64) met by admission to residential and nursing care homes, per 100,000 population
Measure 1E: Proportion of adults (aged 18-64) with a learning disability in paid employment. 
Measure 1F: Proportion of adults (aged 18-69) in contact with secondary mental health services in paid employment
Measure 1G: Proportion of adults (aged 18-64) with a learning disability who live in their own home or with their family
Measure IH: Proportion of adults (aged 18-69) in contact with secondary mental health services who live independently, with or without support
Limitations
For measures 1E and 1G, changes to the eligible population preclude comparison over time. For 2010/11-2013/14, data covered ‘working-age learning disabled service users known to CASSRs’ and for 2014/15-2018/19, data covered ‘working age (18-64) service users who received long-term support during the year with a primary support reason of learning disability support.’
For measures 1F and 1H, several changes to the collection methodology preclude comparison over time. From 2010/11-2013/14, the measures consider adults receiving secondary mental health services and who were on the Care Programme Approach at any point in the financial year. From 2013/14, the measures consider adults receiving secondary mental health services and on the Care Programme Approach at the end of the month. Further issues are detailed in the ASCOF time series annex.</t>
  </si>
  <si>
    <t>NHS Digital:Personal Social Services (SACE) Survey of Adult Carers in England</t>
  </si>
  <si>
    <t xml:space="preserve">System Context, System Performance, Outcomes;
Biennial survey of informal, unpaid adult carers caring for a person aged 18 or over, carried out by Councils with Adult Social Services Responsibilities in England (CASSRs) using random sampling. Carers in active dispute with a CASSR are not included.
From 2016/17, the eligible population includes carers who have not had a formal review in the previous 12 months. Due this change, there is a break in series between 2014-15 and 2016-17 so comparisons over time are not recommended. Context, System performance, Outcomes;
</t>
  </si>
  <si>
    <t>Skills for Care:State of the ASC sector and workforce</t>
  </si>
  <si>
    <t>System Context;
Overview and detailed information on the adult social care workforce including data back to 2012
Limitations
•No data published prior to 2012
•Data is a non-mandatory return based on around 0.5 million employees. This data is then used to estimate the size and characteristics of the social care workforce
•Little data on specific workforce caring for younger adults 
See page 16 and 17 
https://www.skillsforcare.org.uk/adult-social-care-workforce-data/Workforce-intelligence/documents/State-of-the-adult-social-care-sector/State-of-Report-2019.pdf</t>
  </si>
  <si>
    <t>DWP:Family Resources Survey</t>
  </si>
  <si>
    <t>Care Needs;
The Family Resources Survey (FRS) is a continuous household survey which collects information on a representative sample of private households in the United Kingdom. These annual publications provide statistics and commentary on:
•income from all sources
•housing tenure
•caring needs and responsibilities
•disability
•pension participation
Limitations
•Household survey which likely under samples people in residential and nursing care with the most severe care needs 
•Reduced sample size over time</t>
  </si>
  <si>
    <t>GP Contract:Quality and Outcomes Framework (QOF) database</t>
  </si>
  <si>
    <t xml:space="preserve">Care Needs;
Data extracted from GP databases including GP performance against Quality and Outcomes Framework (QOF) performance measures </t>
  </si>
  <si>
    <t xml:space="preserve">NHS Digital:Personal Social Services: (ASCS) Adult Social Care Survey, England </t>
  </si>
  <si>
    <t>System performance, Outcomes;
Provides information on social care user experiences, quality of life and impact of services on this. 
Annual survey carried out by Councils with Adult Social Services Responsibilities (CASSRs) in England using stratified random sampling. Survey population covers adults (aged 18 and over) receiving long-term support services funded or managed by the council (provided or commissioned by the council or an NHS health partner). 
The response rate has fallen in recent years and was 31.8% in 2018/19.</t>
  </si>
  <si>
    <t>NHS Digital:Learning Disability Services Statistics</t>
  </si>
  <si>
    <t>Outcomes;
Data relating to patients with learning disabilities and autism receiving inpatient care commissioned by the NHS in England, published on a monthly and quarterly basis. Used to measure progress against Transforming Care targets to reduce inpatient provision of care for people with learning disabilities and autism. 
Data covers inpatients of all ages in CQC-registered mental or behavioural healthcare facilities in England, operated by NHS or independent sector providers. Data provided by English commissioners, includes some data on care commissioned in England but provided elsewhere in the UK.
Data collection held ‘experimental’ status until April 2017. Due to a lag in commissioners reporting into collection, data are provisional and change over time: for like-on-like comparison this report has used figures as first published.
There are discrepancies between the total number of inpatients recorded in Assuring Transformation data compared with the Mental Health Services Data Set (MHSDS), which is currently undergoing evaluation.</t>
  </si>
  <si>
    <t>New demand (KF)</t>
  </si>
  <si>
    <t>The Kings Fund:Social care 360</t>
  </si>
  <si>
    <t>Service users (KF)</t>
  </si>
  <si>
    <t>Need (Disability) (KF)</t>
  </si>
  <si>
    <t>Disability benefits (KF)</t>
  </si>
  <si>
    <t>DWP:Stat-Xplore</t>
  </si>
  <si>
    <t>Local authority expenditure - own (KF)</t>
  </si>
  <si>
    <t>Local authority expenditure - income (KF)</t>
  </si>
  <si>
    <t>Cost of buying care (nursing/residential) (KF)</t>
  </si>
  <si>
    <t>Cost of buying care (home) (KF)</t>
  </si>
  <si>
    <t>Number of care and nursing home beds (KF)</t>
  </si>
  <si>
    <t>PHE:Palliative and End of Life Care Profiles - Care Homes and Community</t>
  </si>
  <si>
    <t>Jobs (KF)</t>
  </si>
  <si>
    <t>Vacancies (KF)</t>
  </si>
  <si>
    <t>Carers Support (KF)</t>
  </si>
  <si>
    <t>Carers Allowance (KF)</t>
  </si>
  <si>
    <t>Care quality (KF)</t>
  </si>
  <si>
    <t>CQC:State of Care Ratings Data</t>
  </si>
  <si>
    <t>User satisfaction (KF)</t>
  </si>
  <si>
    <t>Public satisfaction (KF)</t>
  </si>
  <si>
    <t>NatCen Social Research:British Social Attitudes (BSA) survey</t>
  </si>
  <si>
    <t>Direct payments (KF)</t>
  </si>
  <si>
    <t>Care home admissions (KF)</t>
  </si>
  <si>
    <t>Delayed transfers of care (KF)</t>
  </si>
  <si>
    <t>NHS England:Delayed Transfers of Care</t>
  </si>
  <si>
    <t>Reablement (KF)</t>
  </si>
  <si>
    <t>CHC (KF)</t>
  </si>
  <si>
    <t>NHS England:NHS Continuing Healthcare and NHS-funded Nursing Care</t>
  </si>
  <si>
    <t>Disabled facilities grants by authority (KF)</t>
  </si>
  <si>
    <t>Ministry of Housing, Communities &amp; Local Government:Disabled Facilities Grant and other adaptations: external review</t>
  </si>
  <si>
    <t>Disabled facilities grants government funding (KF)</t>
  </si>
  <si>
    <t>OSR:ASC Statistics in England</t>
  </si>
  <si>
    <t>Ministry of Housing, Communities &amp; Local Government:Improved Better Care Fund</t>
  </si>
  <si>
    <t>NHS Digital:Personal Social Services: Staff of Social Services Departments</t>
  </si>
  <si>
    <t>NHS Digital:Safeguarding Adults</t>
  </si>
  <si>
    <t>NHS Digital:Guardianship under the Mental Health Act</t>
  </si>
  <si>
    <t>NHS Digital:Deprivation of Liberty Safeguards</t>
  </si>
  <si>
    <t>ONS:Public service productivity, adult social care, England</t>
  </si>
  <si>
    <t>NICE:People's experience in ASC services</t>
  </si>
  <si>
    <t>Neurological Alliance:Patient experience survey</t>
  </si>
  <si>
    <t>CQC:State of Health Care and ASC</t>
  </si>
  <si>
    <t>CQC:Provider information return data</t>
  </si>
  <si>
    <r>
      <t xml:space="preserve">report
</t>
    </r>
    <r>
      <rPr>
        <sz val="9"/>
        <color theme="0"/>
        <rFont val="Calibri"/>
        <family val="2"/>
        <scheme val="minor"/>
      </rPr>
      <t>Which reports have we reviewed for data sources and measures. Just for audit, won't be used in visualisation.</t>
    </r>
  </si>
  <si>
    <t>report</t>
  </si>
  <si>
    <t>date</t>
  </si>
  <si>
    <t>url</t>
  </si>
  <si>
    <t>The Kings Fund</t>
  </si>
  <si>
    <t>Social care 360</t>
  </si>
  <si>
    <t>https://www.kingsfund.org.uk/sites/default/files/2019-05/social-care-360-pdf.pdf?utm_source=website&amp;utm_medium=social&amp;utm_term=thekingsfund&amp;utm_content=pdfreport&amp;utm_campaign=socialcare360</t>
  </si>
  <si>
    <t>HF</t>
  </si>
  <si>
    <t>Annex to YASC report draft</t>
  </si>
  <si>
    <t>From Fiona</t>
  </si>
  <si>
    <t>OSR</t>
  </si>
  <si>
    <t>ASC Statistics in England</t>
  </si>
  <si>
    <t>TR: Office for Statistics Regulation</t>
  </si>
  <si>
    <t>NICE</t>
  </si>
  <si>
    <t>People's experience in ASC services</t>
  </si>
  <si>
    <t>https://www.nice.org.uk/guidance/NG86/uptake</t>
  </si>
  <si>
    <t>TR: Not really a report, but useful cross-reference of measures against NICE pathway recommendations.</t>
  </si>
  <si>
    <t>State of Health Care and ASC</t>
  </si>
  <si>
    <t>TR: A bit tricky to split out pure ASC data. Filtered all "source:" footnotes to graphs.</t>
  </si>
  <si>
    <t>src_org</t>
  </si>
  <si>
    <t>src_name</t>
  </si>
  <si>
    <t>src_url</t>
  </si>
  <si>
    <t>src_year_first_published</t>
  </si>
  <si>
    <t>src_year_last_published</t>
  </si>
  <si>
    <t>src_discontinuity</t>
  </si>
  <si>
    <t>src_pub_frequency</t>
  </si>
  <si>
    <t>src_pub_lag_months</t>
  </si>
  <si>
    <t>src_data_provider</t>
  </si>
  <si>
    <t>src_statistic_class</t>
  </si>
  <si>
    <t>src_methodology_url</t>
  </si>
  <si>
    <t>src_quality_url</t>
  </si>
  <si>
    <t>msr_section</t>
  </si>
  <si>
    <t>msr_table</t>
  </si>
  <si>
    <t>msr_name</t>
  </si>
  <si>
    <t>msr_data_url</t>
  </si>
  <si>
    <t>msr_population_or_survey</t>
  </si>
  <si>
    <t>msr_survey size</t>
  </si>
  <si>
    <t>msr_min_geo_resolution</t>
  </si>
  <si>
    <t>msr_id</t>
  </si>
  <si>
    <t>Points awarded for quality attributes of sources and measures</t>
  </si>
  <si>
    <t>points</t>
  </si>
  <si>
    <t>e.g. care home</t>
  </si>
  <si>
    <t>Can't find distinction between official and national</t>
  </si>
  <si>
    <t>Formula on measure sheet. One point for 10 years up to 2019</t>
  </si>
  <si>
    <t>Formula on measure sheet. 0 points for any discontinuity, else 1 point.</t>
  </si>
  <si>
    <t>Formula on measure sheet. 1 point for a link else 0.</t>
  </si>
  <si>
    <t>str_msr_population_or_survey</t>
  </si>
  <si>
    <t>str_msr_min_geo_resolution</t>
  </si>
  <si>
    <t>str_src_discontinuity</t>
  </si>
  <si>
    <t>str_src_pub_frequency</t>
  </si>
  <si>
    <t>str_src_pub_lag_months</t>
  </si>
  <si>
    <t>str_src_statistic_class</t>
  </si>
  <si>
    <t>str_src_methodology_url</t>
  </si>
  <si>
    <t>str_src_quality_url</t>
  </si>
  <si>
    <t>not pertetly mathematical but good enough for now. Better implemented in formula</t>
  </si>
  <si>
    <t>msr_strength</t>
  </si>
  <si>
    <t>str_years_published</t>
  </si>
  <si>
    <t>first</t>
  </si>
  <si>
    <t>last</t>
  </si>
  <si>
    <t>test ======&gt;</t>
  </si>
  <si>
    <t>years_1</t>
  </si>
  <si>
    <t>years_2</t>
  </si>
  <si>
    <t>years_3</t>
  </si>
  <si>
    <t>final</t>
  </si>
  <si>
    <t>final2</t>
  </si>
  <si>
    <t>Measure</t>
  </si>
  <si>
    <t>Weighting</t>
  </si>
  <si>
    <t>sum</t>
  </si>
  <si>
    <t>Stength</t>
  </si>
  <si>
    <t>Count &lt;</t>
  </si>
  <si>
    <t>Count bin</t>
  </si>
  <si>
    <t>dm_id</t>
  </si>
  <si>
    <t>dm_phase</t>
  </si>
  <si>
    <t>dm_l1_name</t>
  </si>
  <si>
    <t>dm_l2_name</t>
  </si>
  <si>
    <t>dm_l3_name</t>
  </si>
  <si>
    <t>domain_seq</t>
  </si>
  <si>
    <t>req_seq</t>
  </si>
  <si>
    <t>dm_seq</t>
  </si>
  <si>
    <t>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</si>
</sst>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9"/>
      <color theme="1"/>
      <name val="Calibri"/>
      <family val="2"/>
      <scheme val="minor"/>
    </font>
    <font>
      <sz val="9"/>
      <color theme="0"/>
      <name val="Calibri"/>
      <family val="2"/>
      <scheme val="minor"/>
    </font>
    <font>
      <b/>
      <sz val="9"/>
      <color theme="0"/>
      <name val="Calibri"/>
      <family val="2"/>
      <scheme val="minor"/>
    </font>
    <font>
      <b/>
      <sz val="9"/>
      <color theme="1"/>
      <name val="Calibri"/>
      <family val="2"/>
      <scheme val="minor"/>
    </font>
    <font>
      <i/>
      <sz val="9"/>
      <color theme="1"/>
      <name val="Calibri"/>
      <family val="2"/>
      <scheme val="minor"/>
    </font>
    <font>
      <u/>
      <sz val="11"/>
      <color theme="10"/>
      <name val="Calibri"/>
      <family val="2"/>
      <scheme val="minor"/>
    </font>
    <font>
      <u/>
      <sz val="9"/>
      <color theme="10"/>
      <name val="Calibri"/>
      <family val="2"/>
      <scheme val="minor"/>
    </font>
    <font>
      <sz val="9"/>
      <name val="Calibri"/>
      <family val="2"/>
      <scheme val="minor"/>
    </font>
    <font>
      <sz val="9"/>
      <color rgb="FFFF0000"/>
      <name val="Calibri"/>
      <family val="2"/>
      <scheme val="minor"/>
    </font>
    <font>
      <b/>
      <sz val="9"/>
      <color rgb="FFFFFFFF"/>
      <name val="Calibri"/>
      <family val="2"/>
      <scheme val="minor"/>
    </font>
    <font>
      <sz val="9"/>
      <color rgb="FFBF8F00"/>
      <name val="Calibri"/>
      <family val="2"/>
      <scheme val="minor"/>
    </font>
    <font>
      <sz val="9"/>
      <color rgb="FF000000"/>
      <name val="Calibri"/>
      <family val="2"/>
      <scheme val="minor"/>
    </font>
    <font>
      <u/>
      <sz val="9"/>
      <color rgb="FF000000"/>
      <name val="Calibri"/>
      <family val="2"/>
      <scheme val="minor"/>
    </font>
    <font>
      <sz val="9"/>
      <color rgb="FFFFFFFF"/>
      <name val="Calibri"/>
      <family val="2"/>
      <scheme val="minor"/>
    </font>
    <font>
      <sz val="8"/>
      <name val="Calibri"/>
      <family val="2"/>
      <scheme val="minor"/>
    </font>
    <font>
      <b/>
      <sz val="9"/>
      <name val="Calibri"/>
      <family val="2"/>
      <scheme val="minor"/>
    </font>
    <font>
      <sz val="9"/>
      <color rgb="FFC00000"/>
      <name val="Calibri"/>
      <family val="2"/>
      <scheme val="minor"/>
    </font>
    <font>
      <b/>
      <sz val="9"/>
      <color rgb="FFC00000"/>
      <name val="Calibri"/>
      <family val="2"/>
      <scheme val="minor"/>
    </font>
    <font>
      <sz val="9"/>
      <color rgb="FF000000"/>
      <name val="Tahoma"/>
      <family val="2"/>
    </font>
  </fonts>
  <fills count="16">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rgb="FFC00000"/>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rgb="FFA6A6A6"/>
        <bgColor indexed="64"/>
      </patternFill>
    </fill>
    <fill>
      <patternFill patternType="solid">
        <fgColor rgb="FF808080"/>
        <bgColor indexed="64"/>
      </patternFill>
    </fill>
    <fill>
      <patternFill patternType="solid">
        <fgColor theme="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1" tint="0.49998474074526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theme="1"/>
      </top>
      <bottom/>
      <diagonal/>
    </border>
  </borders>
  <cellStyleXfs count="2">
    <xf numFmtId="0" fontId="0" fillId="0" borderId="0"/>
    <xf numFmtId="0" fontId="6" fillId="0" borderId="0" applyNumberFormat="0" applyFill="0" applyBorder="0" applyAlignment="0" applyProtection="0"/>
  </cellStyleXfs>
  <cellXfs count="101">
    <xf numFmtId="0" fontId="0" fillId="0" borderId="0" xfId="0"/>
    <xf numFmtId="0" fontId="1" fillId="0" borderId="0" xfId="0" applyFont="1"/>
    <xf numFmtId="0" fontId="3" fillId="2" borderId="0" xfId="0" applyFont="1" applyFill="1"/>
    <xf numFmtId="0" fontId="1" fillId="0" borderId="0" xfId="0" applyFont="1" applyAlignment="1">
      <alignment horizontal="center"/>
    </xf>
    <xf numFmtId="0" fontId="1" fillId="4" borderId="0" xfId="0" applyFont="1" applyFill="1"/>
    <xf numFmtId="0" fontId="1" fillId="0" borderId="0" xfId="0" applyFont="1" applyFill="1"/>
    <xf numFmtId="0" fontId="1" fillId="5" borderId="0" xfId="0" applyFont="1" applyFill="1"/>
    <xf numFmtId="0" fontId="4" fillId="0" borderId="0" xfId="0" applyFont="1"/>
    <xf numFmtId="0" fontId="1" fillId="0" borderId="0" xfId="0" applyFont="1" applyAlignment="1">
      <alignment horizontal="left" indent="1"/>
    </xf>
    <xf numFmtId="0" fontId="5" fillId="0" borderId="0" xfId="0" applyFont="1"/>
    <xf numFmtId="0" fontId="4" fillId="3" borderId="0" xfId="0" applyFont="1" applyFill="1" applyAlignment="1">
      <alignment horizontal="center"/>
    </xf>
    <xf numFmtId="16" fontId="4" fillId="3" borderId="0" xfId="0" applyNumberFormat="1" applyFont="1" applyFill="1" applyAlignment="1">
      <alignment horizontal="left"/>
    </xf>
    <xf numFmtId="0" fontId="1" fillId="0" borderId="0" xfId="0" applyFont="1" applyAlignment="1">
      <alignment vertical="center"/>
    </xf>
    <xf numFmtId="0" fontId="7" fillId="0" borderId="0" xfId="1" applyFont="1"/>
    <xf numFmtId="17" fontId="1" fillId="0" borderId="0" xfId="0" applyNumberFormat="1" applyFont="1" applyAlignment="1">
      <alignment horizontal="left"/>
    </xf>
    <xf numFmtId="0" fontId="1" fillId="0" borderId="0" xfId="0" applyFont="1" applyAlignment="1">
      <alignment vertical="top"/>
    </xf>
    <xf numFmtId="0" fontId="1" fillId="0" borderId="0" xfId="0" applyFont="1" applyAlignment="1"/>
    <xf numFmtId="0" fontId="1" fillId="6" borderId="0" xfId="0" applyFont="1" applyFill="1"/>
    <xf numFmtId="0" fontId="1" fillId="0" borderId="1" xfId="0" applyFont="1" applyBorder="1"/>
    <xf numFmtId="0" fontId="1" fillId="0" borderId="2" xfId="0" applyFont="1" applyBorder="1"/>
    <xf numFmtId="0" fontId="1" fillId="0" borderId="3" xfId="0" applyFont="1" applyBorder="1"/>
    <xf numFmtId="0" fontId="1" fillId="0" borderId="4" xfId="0" applyFont="1" applyBorder="1" applyAlignment="1">
      <alignment horizontal="left" vertical="top" wrapText="1"/>
    </xf>
    <xf numFmtId="0" fontId="1" fillId="0" borderId="0" xfId="0" applyNumberFormat="1" applyFont="1"/>
    <xf numFmtId="0" fontId="9" fillId="0" borderId="0" xfId="0" applyFont="1"/>
    <xf numFmtId="0" fontId="1" fillId="0" borderId="0" xfId="0" applyFont="1" applyAlignment="1">
      <alignment vertical="top" wrapText="1"/>
    </xf>
    <xf numFmtId="0" fontId="1" fillId="0" borderId="0" xfId="0" applyNumberFormat="1" applyFont="1" applyAlignment="1">
      <alignment vertical="top"/>
    </xf>
    <xf numFmtId="0" fontId="3" fillId="2" borderId="0" xfId="0" applyFont="1" applyFill="1" applyAlignment="1">
      <alignment vertical="top"/>
    </xf>
    <xf numFmtId="16" fontId="1" fillId="0" borderId="0" xfId="0" applyNumberFormat="1" applyFont="1" applyAlignment="1">
      <alignment vertical="top"/>
    </xf>
    <xf numFmtId="0" fontId="11" fillId="0" borderId="0" xfId="0" applyFont="1" applyAlignment="1">
      <alignment vertical="top"/>
    </xf>
    <xf numFmtId="0" fontId="7" fillId="0" borderId="0" xfId="1" applyFont="1" applyAlignment="1">
      <alignment vertical="top"/>
    </xf>
    <xf numFmtId="0" fontId="12" fillId="0" borderId="0" xfId="0" applyFont="1" applyAlignment="1">
      <alignment vertical="top"/>
    </xf>
    <xf numFmtId="0" fontId="13" fillId="0" borderId="0" xfId="1" applyFont="1" applyAlignment="1">
      <alignment vertical="top"/>
    </xf>
    <xf numFmtId="0" fontId="12" fillId="0" borderId="0" xfId="0" applyNumberFormat="1" applyFont="1" applyAlignment="1">
      <alignment vertical="top"/>
    </xf>
    <xf numFmtId="0" fontId="11" fillId="0" borderId="0" xfId="0" applyNumberFormat="1" applyFont="1" applyAlignment="1">
      <alignment vertical="top"/>
    </xf>
    <xf numFmtId="0" fontId="9" fillId="0" borderId="0" xfId="0" applyFont="1" applyAlignment="1">
      <alignment vertical="top"/>
    </xf>
    <xf numFmtId="0" fontId="1" fillId="0" borderId="0" xfId="0" applyFont="1" applyFill="1" applyAlignment="1">
      <alignment horizontal="center"/>
    </xf>
    <xf numFmtId="0" fontId="1" fillId="0" borderId="0" xfId="0" applyNumberFormat="1" applyFont="1" applyFill="1"/>
    <xf numFmtId="0" fontId="7" fillId="0" borderId="0" xfId="1" applyNumberFormat="1" applyFont="1" applyAlignment="1">
      <alignment vertical="top"/>
    </xf>
    <xf numFmtId="0" fontId="1" fillId="0" borderId="0" xfId="0" applyFont="1" applyFill="1" applyAlignment="1">
      <alignment vertical="top"/>
    </xf>
    <xf numFmtId="0" fontId="12" fillId="0" borderId="0" xfId="0" applyFont="1" applyFill="1" applyAlignment="1">
      <alignment vertical="top"/>
    </xf>
    <xf numFmtId="0" fontId="1" fillId="10" borderId="0" xfId="0" applyFont="1" applyFill="1"/>
    <xf numFmtId="0" fontId="12" fillId="10" borderId="0" xfId="0" applyFont="1" applyFill="1" applyAlignment="1">
      <alignment vertical="top"/>
    </xf>
    <xf numFmtId="0" fontId="12" fillId="10" borderId="0" xfId="0" applyNumberFormat="1" applyFont="1" applyFill="1" applyAlignment="1">
      <alignment vertical="top"/>
    </xf>
    <xf numFmtId="0" fontId="1" fillId="0" borderId="0" xfId="0" quotePrefix="1" applyFont="1" applyAlignment="1">
      <alignment vertical="top"/>
    </xf>
    <xf numFmtId="0" fontId="8" fillId="0" borderId="0" xfId="0" applyFont="1" applyFill="1"/>
    <xf numFmtId="0" fontId="14" fillId="5" borderId="0" xfId="0" applyFont="1" applyFill="1" applyAlignment="1">
      <alignment horizontal="center" vertical="center" wrapText="1"/>
    </xf>
    <xf numFmtId="0" fontId="8" fillId="0" borderId="0" xfId="0" applyFont="1"/>
    <xf numFmtId="0" fontId="8" fillId="0" borderId="0" xfId="0" applyFont="1" applyAlignment="1">
      <alignment horizontal="left"/>
    </xf>
    <xf numFmtId="0" fontId="1" fillId="0" borderId="0" xfId="0" applyNumberFormat="1" applyFont="1" applyAlignment="1">
      <alignment horizontal="center" vertical="center"/>
    </xf>
    <xf numFmtId="0" fontId="1" fillId="0" borderId="0" xfId="0" applyFont="1" applyAlignment="1">
      <alignment horizontal="center" vertical="center"/>
    </xf>
    <xf numFmtId="0" fontId="14" fillId="5" borderId="0" xfId="0" applyFont="1" applyFill="1" applyAlignment="1">
      <alignment horizontal="left" vertical="center"/>
    </xf>
    <xf numFmtId="0" fontId="12" fillId="2" borderId="0" xfId="0" applyFont="1" applyFill="1" applyAlignment="1">
      <alignment vertical="center"/>
    </xf>
    <xf numFmtId="0" fontId="1" fillId="0" borderId="0" xfId="0" applyFont="1" applyFill="1" applyBorder="1"/>
    <xf numFmtId="0" fontId="8" fillId="0" borderId="0" xfId="0" applyFont="1" applyFill="1" applyBorder="1"/>
    <xf numFmtId="0" fontId="8" fillId="0" borderId="0" xfId="0" applyFont="1" applyFill="1" applyAlignment="1"/>
    <xf numFmtId="0" fontId="8" fillId="11" borderId="0" xfId="0" applyFont="1" applyFill="1"/>
    <xf numFmtId="0" fontId="8" fillId="11" borderId="0" xfId="0" applyFont="1" applyFill="1" applyAlignment="1"/>
    <xf numFmtId="0" fontId="7" fillId="0" borderId="0" xfId="1" applyFont="1" applyAlignment="1"/>
    <xf numFmtId="0" fontId="8" fillId="0" borderId="0" xfId="0" applyFont="1" applyAlignment="1">
      <alignment vertical="top"/>
    </xf>
    <xf numFmtId="0" fontId="1" fillId="11" borderId="0" xfId="0" applyFont="1" applyFill="1" applyAlignment="1"/>
    <xf numFmtId="0" fontId="8" fillId="11" borderId="0" xfId="0" applyFont="1" applyFill="1" applyAlignment="1">
      <alignment horizontal="left"/>
    </xf>
    <xf numFmtId="0" fontId="1" fillId="0" borderId="0" xfId="0" applyFont="1" applyAlignment="1">
      <alignment horizontal="left"/>
    </xf>
    <xf numFmtId="0" fontId="1" fillId="0" borderId="0" xfId="0" applyNumberFormat="1" applyFont="1" applyAlignment="1">
      <alignment horizontal="left"/>
    </xf>
    <xf numFmtId="0" fontId="17" fillId="0" borderId="0" xfId="0" applyFont="1" applyFill="1" applyAlignment="1"/>
    <xf numFmtId="0" fontId="1" fillId="0" borderId="8" xfId="0" applyFont="1" applyBorder="1"/>
    <xf numFmtId="0" fontId="1" fillId="0" borderId="8" xfId="0" applyFont="1" applyBorder="1" applyAlignment="1">
      <alignment vertical="top"/>
    </xf>
    <xf numFmtId="0" fontId="18" fillId="12" borderId="8" xfId="0" applyFont="1" applyFill="1" applyBorder="1" applyAlignment="1"/>
    <xf numFmtId="0" fontId="18" fillId="12" borderId="9" xfId="0" applyFont="1" applyFill="1" applyBorder="1" applyAlignment="1"/>
    <xf numFmtId="0" fontId="4" fillId="12" borderId="8" xfId="0" applyFont="1" applyFill="1" applyBorder="1" applyAlignment="1">
      <alignment horizontal="center"/>
    </xf>
    <xf numFmtId="0" fontId="1" fillId="0" borderId="8" xfId="0" applyFont="1" applyBorder="1" applyAlignment="1">
      <alignment horizontal="center"/>
    </xf>
    <xf numFmtId="0" fontId="4" fillId="12" borderId="1" xfId="0" applyFont="1" applyFill="1" applyBorder="1" applyAlignment="1">
      <alignment horizontal="center"/>
    </xf>
    <xf numFmtId="0" fontId="17" fillId="11" borderId="0" xfId="0" applyFont="1" applyFill="1" applyAlignment="1"/>
    <xf numFmtId="0" fontId="18" fillId="11" borderId="8" xfId="0" applyFont="1" applyFill="1" applyBorder="1" applyAlignment="1"/>
    <xf numFmtId="0" fontId="18" fillId="11" borderId="8" xfId="0" applyFont="1" applyFill="1" applyBorder="1" applyAlignment="1">
      <alignment horizontal="center"/>
    </xf>
    <xf numFmtId="0" fontId="18" fillId="11" borderId="9" xfId="0" applyFont="1" applyFill="1" applyBorder="1" applyAlignment="1"/>
    <xf numFmtId="0" fontId="16" fillId="11" borderId="8" xfId="0" applyFont="1" applyFill="1" applyBorder="1" applyAlignment="1"/>
    <xf numFmtId="0" fontId="2" fillId="2" borderId="0" xfId="0" applyFont="1" applyFill="1" applyAlignment="1">
      <alignment horizontal="center"/>
    </xf>
    <xf numFmtId="0" fontId="2" fillId="2" borderId="0" xfId="0" applyFont="1" applyFill="1"/>
    <xf numFmtId="0" fontId="8" fillId="13" borderId="0" xfId="0" applyFont="1" applyFill="1" applyAlignment="1"/>
    <xf numFmtId="0" fontId="17" fillId="13" borderId="0" xfId="0" applyFont="1" applyFill="1" applyAlignment="1"/>
    <xf numFmtId="0" fontId="1" fillId="0" borderId="0" xfId="0" quotePrefix="1" applyFont="1"/>
    <xf numFmtId="0" fontId="2" fillId="14" borderId="8" xfId="0" applyFont="1" applyFill="1" applyBorder="1"/>
    <xf numFmtId="0" fontId="8" fillId="15" borderId="8" xfId="0" applyFont="1" applyFill="1" applyBorder="1" applyAlignment="1"/>
    <xf numFmtId="0" fontId="4" fillId="0" borderId="0" xfId="0" applyFont="1" applyAlignment="1">
      <alignment horizontal="right"/>
    </xf>
    <xf numFmtId="0" fontId="4" fillId="3" borderId="8" xfId="0" applyFont="1" applyFill="1" applyBorder="1" applyAlignment="1">
      <alignment horizontal="center"/>
    </xf>
    <xf numFmtId="2" fontId="1" fillId="0" borderId="0" xfId="0" applyNumberFormat="1" applyFont="1" applyAlignment="1">
      <alignment vertical="top"/>
    </xf>
    <xf numFmtId="0" fontId="2" fillId="2" borderId="8" xfId="0" applyFont="1" applyFill="1" applyBorder="1" applyAlignment="1">
      <alignment horizontal="center"/>
    </xf>
    <xf numFmtId="0" fontId="17" fillId="0" borderId="0" xfId="0" applyFont="1" applyFill="1"/>
    <xf numFmtId="0" fontId="17" fillId="11" borderId="0" xfId="0" applyFont="1" applyFill="1"/>
    <xf numFmtId="0" fontId="1" fillId="0" borderId="1" xfId="0" applyFont="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xf>
    <xf numFmtId="0" fontId="3" fillId="2" borderId="0" xfId="0" applyFont="1" applyFill="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7" xfId="0" applyFont="1" applyFill="1" applyBorder="1" applyAlignment="1">
      <alignment horizontal="center"/>
    </xf>
    <xf numFmtId="0" fontId="3" fillId="2" borderId="0" xfId="0" applyFont="1" applyFill="1" applyAlignment="1">
      <alignment horizontal="left" vertical="center" wrapText="1"/>
    </xf>
    <xf numFmtId="0" fontId="3" fillId="2" borderId="0" xfId="0" applyFont="1" applyFill="1" applyAlignment="1">
      <alignment horizontal="left" vertical="center"/>
    </xf>
    <xf numFmtId="0" fontId="3" fillId="9" borderId="0" xfId="0" applyFont="1" applyFill="1" applyAlignment="1">
      <alignment horizontal="left" vertical="center" wrapText="1"/>
    </xf>
    <xf numFmtId="0" fontId="10" fillId="8" borderId="0" xfId="0" applyFont="1" applyFill="1" applyAlignment="1">
      <alignment horizontal="left" vertical="center"/>
    </xf>
  </cellXfs>
  <cellStyles count="2">
    <cellStyle name="Hyperlink" xfId="1" builtinId="8"/>
    <cellStyle name="Normal" xfId="0" builtinId="0"/>
  </cellStyles>
  <dxfs count="127">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ertAlign val="baseline"/>
        <sz val="9"/>
        <color theme="10"/>
        <name val="Calibri"/>
        <family val="2"/>
        <scheme val="minor"/>
      </font>
    </dxf>
    <dxf>
      <font>
        <b val="0"/>
        <i val="0"/>
        <strike val="0"/>
        <condense val="0"/>
        <extend val="0"/>
        <outline val="0"/>
        <shadow val="0"/>
        <u val="none"/>
        <vertAlign val="baseline"/>
        <sz val="9"/>
        <color theme="1"/>
        <name val="Calibri"/>
        <family val="2"/>
        <scheme val="minor"/>
      </font>
      <numFmt numFmtId="22" formatCode="mmm\-yy"/>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rgb="FFBF8F00"/>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rgb="FFBF8F00"/>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000000"/>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000000"/>
        <name val="Calibri"/>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9"/>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dxf>
    <dxf>
      <font>
        <b val="0"/>
        <i val="0"/>
        <strike val="0"/>
        <condense val="0"/>
        <extend val="0"/>
        <outline val="0"/>
        <shadow val="0"/>
        <u val="none"/>
        <vertAlign val="baseline"/>
        <sz val="9"/>
        <color theme="1"/>
        <name val="Calibri"/>
        <family val="2"/>
        <scheme val="minor"/>
      </font>
      <numFmt numFmtId="0" formatCode="General"/>
    </dxf>
    <dxf>
      <font>
        <b val="0"/>
        <i val="0"/>
        <strike val="0"/>
        <condense val="0"/>
        <extend val="0"/>
        <outline val="0"/>
        <shadow val="0"/>
        <u val="none"/>
        <vertAlign val="baseline"/>
        <sz val="9"/>
        <color theme="1"/>
        <name val="Calibri"/>
        <family val="2"/>
        <scheme val="minor"/>
      </font>
      <numFmt numFmtId="0" formatCode="General"/>
    </dxf>
    <dxf>
      <font>
        <b val="0"/>
        <i val="0"/>
        <strike val="0"/>
        <condense val="0"/>
        <extend val="0"/>
        <outline val="0"/>
        <shadow val="0"/>
        <u val="none"/>
        <vertAlign val="baseline"/>
        <sz val="9"/>
        <color theme="1"/>
        <name val="Calibri"/>
        <family val="2"/>
        <scheme val="minor"/>
      </font>
      <numFmt numFmtId="0" formatCode="General"/>
    </dxf>
    <dxf>
      <font>
        <b val="0"/>
        <i val="0"/>
        <strike val="0"/>
        <condense val="0"/>
        <extend val="0"/>
        <outline val="0"/>
        <shadow val="0"/>
        <u val="none"/>
        <vertAlign val="baseline"/>
        <sz val="9"/>
        <color theme="1"/>
        <name val="Calibri"/>
        <family val="2"/>
        <scheme val="minor"/>
      </font>
      <numFmt numFmtId="0" formatCode="General"/>
      <alignment horizontal="left" textRotation="0" indent="0" justifyLastLine="0" shrinkToFit="0" readingOrder="0"/>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0" formatCode="General"/>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auto="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alignment horizontal="center" indent="0"/>
    </dxf>
    <dxf>
      <font>
        <b val="0"/>
        <i val="0"/>
        <strike val="0"/>
        <condense val="0"/>
        <extend val="0"/>
        <outline val="0"/>
        <shadow val="0"/>
        <u val="none"/>
        <vertAlign val="baseline"/>
        <sz val="9"/>
        <color theme="1"/>
        <name val="Calibri"/>
        <family val="2"/>
        <scheme val="minor"/>
      </font>
      <alignment horizontal="center" indent="0"/>
    </dxf>
    <dxf>
      <font>
        <b val="0"/>
        <i val="0"/>
        <strike val="0"/>
        <condense val="0"/>
        <extend val="0"/>
        <outline val="0"/>
        <shadow val="0"/>
        <u val="none"/>
        <vertAlign val="baseline"/>
        <sz val="9"/>
        <color theme="1"/>
        <name val="Calibri"/>
        <family val="2"/>
        <scheme val="minor"/>
      </font>
      <alignment horizontal="center" indent="0"/>
    </dxf>
    <dxf>
      <font>
        <b val="0"/>
        <i val="0"/>
        <strike val="0"/>
        <condense val="0"/>
        <extend val="0"/>
        <outline val="0"/>
        <shadow val="0"/>
        <u val="none"/>
        <vertAlign val="baseline"/>
        <sz val="9"/>
        <color theme="1"/>
        <name val="Calibri"/>
        <family val="2"/>
        <scheme val="minor"/>
      </font>
      <alignment horizontal="center" indent="0"/>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center" indent="0"/>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auto="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dxf>
    <dxf>
      <font>
        <b val="0"/>
        <i val="0"/>
        <strike val="0"/>
        <condense val="0"/>
        <extend val="0"/>
        <outline val="0"/>
        <shadow val="0"/>
        <u val="none"/>
        <vertAlign val="baseline"/>
        <sz val="9"/>
        <color auto="1"/>
        <name val="Calibri"/>
        <family val="2"/>
        <scheme val="minor"/>
      </font>
      <fill>
        <patternFill patternType="none">
          <fgColor indexed="64"/>
          <bgColor auto="1"/>
        </patternFill>
      </fill>
    </dxf>
  </dxfs>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measure_strength_model!$C$74</c:f>
              <c:strCache>
                <c:ptCount val="1"/>
                <c:pt idx="0">
                  <c:v>Count bin</c:v>
                </c:pt>
              </c:strCache>
            </c:strRef>
          </c:tx>
          <c:spPr>
            <a:solidFill>
              <a:schemeClr val="accent1"/>
            </a:solidFill>
            <a:ln>
              <a:noFill/>
            </a:ln>
            <a:effectLst/>
          </c:spPr>
          <c:invertIfNegative val="0"/>
          <c:cat>
            <c:numRef>
              <c:f>measure_strength_model!$A$75:$A$84</c:f>
              <c:numCache>
                <c:formatCode>General</c:formatCode>
                <c:ptCount val="10"/>
                <c:pt idx="0">
                  <c:v>0.1</c:v>
                </c:pt>
                <c:pt idx="1">
                  <c:v>0.2</c:v>
                </c:pt>
                <c:pt idx="2">
                  <c:v>0.3</c:v>
                </c:pt>
                <c:pt idx="3">
                  <c:v>0.4</c:v>
                </c:pt>
                <c:pt idx="4">
                  <c:v>0.5</c:v>
                </c:pt>
                <c:pt idx="5">
                  <c:v>0.6</c:v>
                </c:pt>
                <c:pt idx="6">
                  <c:v>0.7</c:v>
                </c:pt>
                <c:pt idx="7">
                  <c:v>0.8</c:v>
                </c:pt>
                <c:pt idx="8">
                  <c:v>0.9</c:v>
                </c:pt>
                <c:pt idx="9">
                  <c:v>1</c:v>
                </c:pt>
              </c:numCache>
            </c:numRef>
          </c:cat>
          <c:val>
            <c:numRef>
              <c:f>measure_strength_model!$C$75:$C$84</c:f>
              <c:numCache>
                <c:formatCode>General</c:formatCode>
                <c:ptCount val="10"/>
                <c:pt idx="0">
                  <c:v>0</c:v>
                </c:pt>
                <c:pt idx="1">
                  <c:v>0</c:v>
                </c:pt>
                <c:pt idx="2">
                  <c:v>1</c:v>
                </c:pt>
                <c:pt idx="3">
                  <c:v>142</c:v>
                </c:pt>
                <c:pt idx="4">
                  <c:v>18</c:v>
                </c:pt>
                <c:pt idx="5">
                  <c:v>88</c:v>
                </c:pt>
                <c:pt idx="6">
                  <c:v>106</c:v>
                </c:pt>
                <c:pt idx="7">
                  <c:v>68</c:v>
                </c:pt>
                <c:pt idx="8">
                  <c:v>121</c:v>
                </c:pt>
                <c:pt idx="9">
                  <c:v>6</c:v>
                </c:pt>
              </c:numCache>
            </c:numRef>
          </c:val>
          <c:extLst>
            <c:ext xmlns:c16="http://schemas.microsoft.com/office/drawing/2014/chart" uri="{C3380CC4-5D6E-409C-BE32-E72D297353CC}">
              <c16:uniqueId val="{00000000-7D29-6940-BDAD-AA8EE12CD2DF}"/>
            </c:ext>
          </c:extLst>
        </c:ser>
        <c:dLbls>
          <c:showLegendKey val="0"/>
          <c:showVal val="0"/>
          <c:showCatName val="0"/>
          <c:showSerName val="0"/>
          <c:showPercent val="0"/>
          <c:showBubbleSize val="0"/>
        </c:dLbls>
        <c:gapWidth val="219"/>
        <c:overlap val="-27"/>
        <c:axId val="1747533247"/>
        <c:axId val="1747534879"/>
      </c:barChart>
      <c:catAx>
        <c:axId val="174753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534879"/>
        <c:crosses val="autoZero"/>
        <c:auto val="1"/>
        <c:lblAlgn val="ctr"/>
        <c:lblOffset val="100"/>
        <c:noMultiLvlLbl val="0"/>
      </c:catAx>
      <c:valAx>
        <c:axId val="1747534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5332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182880</xdr:colOff>
      <xdr:row>1</xdr:row>
      <xdr:rowOff>30479</xdr:rowOff>
    </xdr:from>
    <xdr:to>
      <xdr:col>1</xdr:col>
      <xdr:colOff>4972262</xdr:colOff>
      <xdr:row>35</xdr:row>
      <xdr:rowOff>76200</xdr:rowOff>
    </xdr:to>
    <xdr:pic>
      <xdr:nvPicPr>
        <xdr:cNvPr id="3" name="Picture 2">
          <a:extLst>
            <a:ext uri="{FF2B5EF4-FFF2-40B4-BE49-F238E27FC236}">
              <a16:creationId xmlns:a16="http://schemas.microsoft.com/office/drawing/2014/main" id="{C669EBF3-5064-4E12-B5CC-864849F3D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01440" y="213359"/>
          <a:ext cx="4789382" cy="85496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472440</xdr:colOff>
      <xdr:row>18</xdr:row>
      <xdr:rowOff>22860</xdr:rowOff>
    </xdr:from>
    <xdr:to>
      <xdr:col>3</xdr:col>
      <xdr:colOff>594360</xdr:colOff>
      <xdr:row>18</xdr:row>
      <xdr:rowOff>144780</xdr:rowOff>
    </xdr:to>
    <xdr:sp macro="" textlink="">
      <xdr:nvSpPr>
        <xdr:cNvPr id="2" name="Isosceles Triangle 1">
          <a:extLst>
            <a:ext uri="{FF2B5EF4-FFF2-40B4-BE49-F238E27FC236}">
              <a16:creationId xmlns:a16="http://schemas.microsoft.com/office/drawing/2014/main" id="{A5966F0A-0808-472A-A3A3-4DD20DD3FDF8}"/>
            </a:ext>
          </a:extLst>
        </xdr:cNvPr>
        <xdr:cNvSpPr/>
      </xdr:nvSpPr>
      <xdr:spPr>
        <a:xfrm>
          <a:off x="3909060" y="2385060"/>
          <a:ext cx="121920" cy="12192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472440</xdr:colOff>
      <xdr:row>18</xdr:row>
      <xdr:rowOff>22860</xdr:rowOff>
    </xdr:from>
    <xdr:to>
      <xdr:col>6</xdr:col>
      <xdr:colOff>594360</xdr:colOff>
      <xdr:row>18</xdr:row>
      <xdr:rowOff>144780</xdr:rowOff>
    </xdr:to>
    <xdr:sp macro="" textlink="">
      <xdr:nvSpPr>
        <xdr:cNvPr id="3" name="Isosceles Triangle 2">
          <a:extLst>
            <a:ext uri="{FF2B5EF4-FFF2-40B4-BE49-F238E27FC236}">
              <a16:creationId xmlns:a16="http://schemas.microsoft.com/office/drawing/2014/main" id="{67A74D2C-28E9-4D1F-B17E-60357890AA16}"/>
            </a:ext>
          </a:extLst>
        </xdr:cNvPr>
        <xdr:cNvSpPr/>
      </xdr:nvSpPr>
      <xdr:spPr>
        <a:xfrm>
          <a:off x="5737860" y="2385060"/>
          <a:ext cx="121920" cy="12192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457200</xdr:colOff>
      <xdr:row>18</xdr:row>
      <xdr:rowOff>22860</xdr:rowOff>
    </xdr:from>
    <xdr:to>
      <xdr:col>8</xdr:col>
      <xdr:colOff>579120</xdr:colOff>
      <xdr:row>18</xdr:row>
      <xdr:rowOff>144780</xdr:rowOff>
    </xdr:to>
    <xdr:sp macro="" textlink="">
      <xdr:nvSpPr>
        <xdr:cNvPr id="4" name="Isosceles Triangle 3">
          <a:extLst>
            <a:ext uri="{FF2B5EF4-FFF2-40B4-BE49-F238E27FC236}">
              <a16:creationId xmlns:a16="http://schemas.microsoft.com/office/drawing/2014/main" id="{83E7A9D8-6DBD-4A6D-ACF8-E9C860485C46}"/>
            </a:ext>
          </a:extLst>
        </xdr:cNvPr>
        <xdr:cNvSpPr/>
      </xdr:nvSpPr>
      <xdr:spPr>
        <a:xfrm>
          <a:off x="6941820" y="2385060"/>
          <a:ext cx="121920" cy="12192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38100</xdr:colOff>
      <xdr:row>18</xdr:row>
      <xdr:rowOff>15240</xdr:rowOff>
    </xdr:from>
    <xdr:to>
      <xdr:col>10</xdr:col>
      <xdr:colOff>160020</xdr:colOff>
      <xdr:row>18</xdr:row>
      <xdr:rowOff>137160</xdr:rowOff>
    </xdr:to>
    <xdr:sp macro="" textlink="">
      <xdr:nvSpPr>
        <xdr:cNvPr id="5" name="Isosceles Triangle 4">
          <a:extLst>
            <a:ext uri="{FF2B5EF4-FFF2-40B4-BE49-F238E27FC236}">
              <a16:creationId xmlns:a16="http://schemas.microsoft.com/office/drawing/2014/main" id="{A37CD678-FFF5-49F4-9F7B-1E7AD2448870}"/>
            </a:ext>
          </a:extLst>
        </xdr:cNvPr>
        <xdr:cNvSpPr/>
      </xdr:nvSpPr>
      <xdr:spPr>
        <a:xfrm>
          <a:off x="7741920" y="2377440"/>
          <a:ext cx="121920" cy="12192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176894</xdr:colOff>
      <xdr:row>73</xdr:row>
      <xdr:rowOff>2721</xdr:rowOff>
    </xdr:from>
    <xdr:to>
      <xdr:col>8</xdr:col>
      <xdr:colOff>621394</xdr:colOff>
      <xdr:row>90</xdr:row>
      <xdr:rowOff>124278</xdr:rowOff>
    </xdr:to>
    <xdr:graphicFrame macro="">
      <xdr:nvGraphicFramePr>
        <xdr:cNvPr id="2" name="Chart 1">
          <a:extLst>
            <a:ext uri="{FF2B5EF4-FFF2-40B4-BE49-F238E27FC236}">
              <a16:creationId xmlns:a16="http://schemas.microsoft.com/office/drawing/2014/main" id="{EFAAFDE6-9C1E-C347-91F6-FBD11FC4B6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namedSheetView name="View1" id="{1763837F-13AF-4B3B-8AEA-6E1F58EFF25A}">
    <nsvFilter filterId="{C8DEFE06-0738-4A97-BC02-CCB96146ADCB}" ref="A2:L1514" tableId="7">
      <columnFilter colId="2" id="{E658B187-287E-435B-8ED3-96C880F9EF2A}">
        <filter colId="2">
          <x:filters>
            <x:filter val="70"/>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namedSheetView name="View1" id="{DBBAE2EB-8DD9-4C69-B867-23FC21D07782}"/>
</namedSheetViews>
</file>

<file path=xl/persons/person.xml><?xml version="1.0" encoding="utf-8"?>
<personList xmlns="http://schemas.microsoft.com/office/spreadsheetml/2018/threadedcomments" xmlns:x="http://schemas.openxmlformats.org/spreadsheetml/2006/main">
  <person displayName="toby rubenstein" id="{F2AC1696-ECB4-4F6B-8FE1-4FA4CAAF445F}" userId="2c82d674fbcce8ed" providerId="Windows Live"/>
  <person displayName="toby_rubenstein@letterboxes.org" id="{ECCEE81E-F8DB-4284-AFDA-B3A7C87194FA}" userId="S::urn:spo:guest#toby_rubenstein@letterboxes.org::"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B592DA-FFCE-474E-9D00-CAAF72802929}" name="tblDomain" displayName="tblDomain" ref="A2:F36" totalsRowShown="0" headerRowDxfId="126" dataDxfId="125">
  <autoFilter ref="A2:F36" xr:uid="{377E12B7-C384-4BD9-85D0-E23E4F923CC9}"/>
  <sortState xmlns:xlrd2="http://schemas.microsoft.com/office/spreadsheetml/2017/richdata2" ref="A3:F36">
    <sortCondition ref="B3:B36"/>
  </sortState>
  <tableColumns count="6">
    <tableColumn id="6" xr3:uid="{1397FBE3-0472-4FC3-8ED2-78FF97410939}" name="Id_subdomain" dataDxfId="124"/>
    <tableColumn id="1" xr3:uid="{880735B8-1895-4255-AABC-472B88D320FC}" name="sequence_no" dataDxfId="123"/>
    <tableColumn id="2" xr3:uid="{32E909B7-CB51-48EB-85A5-6F04536F24DA}" name="domain" dataDxfId="122"/>
    <tableColumn id="3" xr3:uid="{64F3207C-CFE0-49B5-A4AD-FC500795020A}" name="sub_domain" dataDxfId="121"/>
    <tableColumn id="4" xr3:uid="{C648B0F9-B3FF-40CB-AF0E-2620E557D06C}" name="domain_sub_domain" dataDxfId="120">
      <calculatedColumnFormula>C3&amp;":"&amp;D3</calculatedColumnFormula>
    </tableColumn>
    <tableColumn id="5" xr3:uid="{9AEB33B1-B34C-4DF0-BB51-C9ED7BCDA0A6}" name="notes" dataDxfId="11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1D653-E89C-465F-8C8E-2001E4150605}" name="tblDataRequirement" displayName="tblDataRequirement" ref="A2:U102" totalsRowShown="0" headerRowDxfId="118" dataDxfId="117">
  <autoFilter ref="A2:U102" xr:uid="{8530530E-7AF1-4EFB-832C-7A5966DF9099}"/>
  <tableColumns count="21">
    <tableColumn id="11" xr3:uid="{E130515F-F8B2-4451-8670-821CA7A64C60}" name="dm_id" dataDxfId="116"/>
    <tableColumn id="14" xr3:uid="{1ADFBEBA-C9FA-49CD-8026-3F7B53EFA8F7}" name="id_subdomain" dataDxfId="115"/>
    <tableColumn id="1" xr3:uid="{EFF7ADA8-B201-47BE-B79B-A9794618F122}" name="domain_sub_domain" dataDxfId="114"/>
    <tableColumn id="2" xr3:uid="{08F32955-76AC-4D5E-B384-AAF0B52D90E8}" name="data_requirement" dataDxfId="113"/>
    <tableColumn id="6" xr3:uid="{013094B2-2259-4DD9-AC13-FE4F11DFD5F7}" name="domain_sub_requirement" dataDxfId="112">
      <calculatedColumnFormula>tblDataRequirement[[#This Row],[domain_sub_domain]]&amp;":"&amp;tblDataRequirement[[#This Row],[data_requirement]]</calculatedColumnFormula>
    </tableColumn>
    <tableColumn id="20" xr3:uid="{43B2E586-6863-7C42-BFFD-46AA1160E616}" name="dm_l1_name" dataDxfId="111">
      <calculatedColumnFormula>_xlfn.XLOOKUP(tblDataRequirement[[#This Row],[id_subdomain]],tblDomain[Id_subdomain],tblDomain[domain])</calculatedColumnFormula>
    </tableColumn>
    <tableColumn id="19" xr3:uid="{A8DCB796-743C-AB40-9B11-C0805BB08709}" name="dm_l2_name" dataDxfId="110">
      <calculatedColumnFormula>_xlfn.XLOOKUP(tblDataRequirement[[#This Row],[id_subdomain]],tblDomain[Id_subdomain],tblDomain[sub_domain])</calculatedColumnFormula>
    </tableColumn>
    <tableColumn id="18" xr3:uid="{60DBB4FA-C4DE-C34D-B11D-FAB17C1A8722}" name="dm_l3_name" dataDxfId="109">
      <calculatedColumnFormula>tblDataRequirement[[#This Row],[data_requirement]]</calculatedColumnFormula>
    </tableColumn>
    <tableColumn id="17" xr3:uid="{C3BA60E5-2937-8042-BA75-E2FD9FCB9B48}" name="domain_seq" dataDxfId="108">
      <calculatedColumnFormula>_xlfn.XLOOKUP(tblDataRequirement[[#This Row],[id_subdomain]],tblDomain[Id_subdomain],tblDomain[sequence_no])</calculatedColumnFormula>
    </tableColumn>
    <tableColumn id="22" xr3:uid="{81C1945E-8213-F04E-BE75-3B24F3345347}" name="req_seq" dataDxfId="107"/>
    <tableColumn id="21" xr3:uid="{E253B829-E061-CB4F-88FD-9D6E438154C1}" name="dm_seq" dataDxfId="106">
      <calculatedColumnFormula>tblDataRequirement[[#This Row],[domain_seq]]&amp;"."&amp;TEXT(tblDataRequirement[[#This Row],[req_seq]],"00")</calculatedColumnFormula>
    </tableColumn>
    <tableColumn id="16" xr3:uid="{59A12F6D-17D5-4D94-9C36-681C41040CE5}" name="dm_phase" dataDxfId="105"/>
    <tableColumn id="3" xr3:uid="{5D05E62C-A1C8-4FDE-A97F-E7FABB70B372}" name="description" dataDxfId="104"/>
    <tableColumn id="10" xr3:uid="{FAFE22CE-4367-43E3-A452-5B4C998669AA}" name="system_context" dataDxfId="103"/>
    <tableColumn id="7" xr3:uid="{F9CB4740-7989-420A-989F-E0318186C389}" name="system_performance" dataDxfId="102"/>
    <tableColumn id="8" xr3:uid="{2B59F025-8F74-41FE-BAC4-71BE8AD5FFA4}" name="care_needs" dataDxfId="101"/>
    <tableColumn id="9" xr3:uid="{5CB7B194-9982-4283-A438-EEE06FBDB627}" name="outcomes" dataDxfId="100"/>
    <tableColumn id="4" xr3:uid="{D6696BBA-FA7C-473B-897C-9B562A7BEEC0}" name="status" dataDxfId="99"/>
    <tableColumn id="12" xr3:uid="{19EF2C22-0D58-4376-97B4-97469E12A39A}" name="count_maps" dataDxfId="98">
      <calculatedColumnFormula>COUNTIF(requirement_measure_map!$C$3:$C$1514,data_requirement!A3)</calculatedColumnFormula>
    </tableColumn>
    <tableColumn id="5" xr3:uid="{A8190F20-07E4-4863-A732-DAC24AF158E9}" name="notes" dataDxfId="97"/>
    <tableColumn id="13" xr3:uid="{380F9572-7EB6-42C0-ADAA-24D3903C0F8B}" name="Uniq ID check" dataDxfId="96">
      <calculatedColumnFormula>COUNTIF($A$3:$A$102,A3)</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5EB3DE2-C3CB-4028-BED8-2585436D418C}" name="tblRequirementMeasureXref" displayName="tblRequirementMeasureXref" ref="A2:L1514" totalsRowShown="0" headerRowDxfId="95" dataDxfId="94">
  <autoFilter ref="A2:L1514" xr:uid="{C8DEFE06-0738-4A97-BC02-CCB96146ADCB}"/>
  <tableColumns count="12">
    <tableColumn id="1" xr3:uid="{05169241-3649-4441-BD15-80687DE31DC8}" name="domain_sub_requirement" dataDxfId="93">
      <calculatedColumnFormula>_xlfn.XLOOKUP(tblRequirementMeasureXref[[#This Row],[dm_id]],tblDataRequirement[dm_id],tblDataRequirement[domain_sub_requirement])</calculatedColumnFormula>
    </tableColumn>
    <tableColumn id="11" xr3:uid="{01033F34-A29C-ED40-9C90-EC5CC1610376}" name="phase" dataDxfId="92">
      <calculatedColumnFormula>_xlfn.XLOOKUP(tblRequirementMeasureXref[[#This Row],[dm_id]],tblDataRequirement[dm_id],tblDataRequirement[dm_phase])</calculatedColumnFormula>
    </tableColumn>
    <tableColumn id="6" xr3:uid="{E658B187-287E-435B-8ED3-96C880F9EF2A}" name="dm_id" dataDxfId="91"/>
    <tableColumn id="2" xr3:uid="{6C6053F3-119E-4ACF-B624-67E714D60F37}" name="msr_id" dataDxfId="90"/>
    <tableColumn id="3" xr3:uid="{BDA53CD2-D925-4BA5-9A22-7E8C139D5FF3}" name="logical_delete" dataDxfId="89"/>
    <tableColumn id="4" xr3:uid="{C3F77964-5157-42F1-9A39-C8D286C7FC7D}" name="status" dataDxfId="88"/>
    <tableColumn id="5" xr3:uid="{FB1E2727-B6F9-4F37-8AC9-BA836008CE7D}" name="notes" dataDxfId="87"/>
    <tableColumn id="7" xr3:uid="{631F1DF7-CD98-4470-86DB-F6EE3433F6A6}" name="table" dataDxfId="86">
      <calculatedColumnFormula>_xlfn.XLOOKUP(tblRequirementMeasureXref[[#This Row],[msr_id]],tblMeasure[msr_id],tblMeasure[msr_table])</calculatedColumnFormula>
    </tableColumn>
    <tableColumn id="22" xr3:uid="{B3726512-6367-4D4A-8FC5-A12F188BD3A2}" name="measure" dataDxfId="85">
      <calculatedColumnFormula>_xlfn.XLOOKUP(tblRequirementMeasureXref[[#This Row],[msr_id]],tblMeasure[msr_id],tblMeasure[msr_name])</calculatedColumnFormula>
    </tableColumn>
    <tableColumn id="8" xr3:uid="{406953D2-882F-45C9-B5B8-9062F4D1CD5C}" name="primary_dimensions" dataDxfId="84">
      <calculatedColumnFormula>_xlfn.XLOOKUP(tblRequirementMeasureXref[[#This Row],[msr_id]],tblMeasure[msr_id],tblMeasure[primary_dimensions])</calculatedColumnFormula>
    </tableColumn>
    <tableColumn id="10" xr3:uid="{82441F04-F263-4E30-8A93-F2CEA60C7306}" name="min_geo_res_measure" dataDxfId="83">
      <calculatedColumnFormula>_xlfn.XLOOKUP(tblRequirementMeasureXref[[#This Row],[msr_id]],tblMeasure[msr_id],tblMeasure[msr_min_geo_resolution])</calculatedColumnFormula>
    </tableColumn>
    <tableColumn id="9" xr3:uid="{0871F436-AFB1-4C88-AF9F-3E2EFED43251}" name="org_source" dataDxfId="82">
      <calculatedColumnFormula>_xlfn.XLOOKUP(tblRequirementMeasureXref[[#This Row],[msr_id]],tblMeasure[msr_id],tblMeasure[src_name])</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53A12AE-1424-4595-ACEE-170D8904570B}" name="tblMeasure" displayName="tblMeasure" ref="A2:AS552" totalsRowShown="0" headerRowDxfId="81" dataDxfId="80">
  <autoFilter ref="A2:AS552" xr:uid="{C68FCDD5-7ACD-48FC-8DB9-9435FD44C073}">
    <filterColumn colId="5">
      <filters>
        <filter val="Applications completed and not granted during 2018-19 by reason not granted"/>
        <filter val="Delayed Transfers of Care (DTOC) by who the delay is attributable to (NHS, Social Care or Both) and by the reasons for the delay."/>
        <filter val="Gross Current Expenditure on long and short term care combined, by age band and primary support reason, 2018-19"/>
        <filter val="Gross Current Expenditure on long and short term care for clients aged 18 to 64, by care type and primary support reason, 2018-19"/>
        <filter val="Gross Current Expenditure on long and short term care for clients aged 65 and over, by care type and primary support reason, 2018-19"/>
        <filter val="Gross Current Expenditure on Long Term Care by Support Setting, Age Band and Primary Support Reason; England Level"/>
        <filter val="Gross Current Expenditure on long term care, by support setting, age band and primary support reason, 2018-19"/>
        <filter val="Gross Current Expenditure on other (not long or short term) social care, by primary support reason, 2018-19"/>
        <filter val="Gross Current Expenditure on Short and Long Term Care by Primary Support Reason and Age band; CASSR Level"/>
        <filter val="Gross Current Expenditure on Short and Long Term Care by Primary Support Reason and Support Type; CASSR Level"/>
        <filter val="Gross Current Expenditure on Short Term Care by Purpose and Primary Support Reason; CASSR Level"/>
        <filter val="Gross Current Expenditure on Short Term Care by Purpose, Age Band and Primary Support Reason; England Level"/>
        <filter val="Gross Current Expenditure on short term care for clients aged 18 to 64, by purpose and primary support reason, 2018-19"/>
        <filter val="Gross Current Expenditure on short term care for clients aged 65 and over, by purpose and primary support reason, 2018-19"/>
        <filter val="Gross Current Expenditure on short term care, by purpose, age band and primary support reason, 2018-19"/>
        <filter val="Individuals involved in Section 42 safeguarding enquiries by primary support reason and reported health condition"/>
        <filter val="Long Term Support: Accommodation and employment status of working age clients with a Primary Support Reason of Learning Disability"/>
        <filter val="Long Term Support: Carer Support provided during the year, broken down by the age of the carer, Primary Support Reason of the client and the type of support provided"/>
        <filter val="Long Term Support: Expenditure, income and capital charges/overheads, by support reason, setting and age group."/>
        <filter val="Net Current Expenditure on long and short term care combined, by age band and primary support reason, 2018-19"/>
        <filter val="Net Current Expenditure on long and short term care for clients aged 18 to 64, by care type and primary support reason, 2018-19"/>
        <filter val="Net Current Expenditure on long and short term care for clients aged 65 and over, by care type and primary support reason, 2018-19"/>
        <filter val="Net Current Expenditure on long term care, by support setting, age band and primary support reason, 2018-19"/>
        <filter val="Net Current Expenditure on other (not long or short term) social care, by primary support reason, 2018-19"/>
        <filter val="Net Current Expenditure on short term care for clients aged 18 to 64, by purpose and primary support reason, 2018-19"/>
        <filter val="Net Current Expenditure on short term care for clients aged 65 and over, by purpose and primary support reason, 2018-19"/>
        <filter val="Net Current Expenditure on short term care, by purpose, age band and primary support reason, 2018-19"/>
        <filter val="Number of clients accessing long term support at the end of the year, by age band and primary support reason, 2018-19"/>
        <filter val="Number of clients accessing long term support at the end of the year, by support setting, age band and primary support reason, 2018-19"/>
        <filter val="Number of clients accessing long term support during the year, by primary support reason, age band and support setting, 2018-19"/>
        <filter val="Number of completed applications and the mean duration (days) from receiving the application to completing for granted and not granted applications by urgent / standard status, and not granted applications by reason not granted"/>
        <filter val="Number of completed episodes of ST-Max for existing clients aged 18 to 64, by primary support reason, 2018-19"/>
        <filter val="Number of completed episodes of ST-Max for existing clients aged 65 and over, by primary support reason, 2018-19"/>
        <filter val="Number of completed episodes of ST-Max for new clients, by primary support reason, age band and what happened next, 2018-19"/>
        <filter val="Number of Delayed Days during the reporting period, Acute and Non-Acute, for NHS Organisations in England by reason for delay, by Local Authority"/>
        <filter val="Number of Delayed Days during the reporting period, Acute and Non-Acute, for NHS Organisations in England by reason for delay, by Trust"/>
        <filter val="Number of new DPAs agreed during the year, by reason for the request, planned use of the property during the DPA and security provided for the DPA, 2018-19"/>
        <filter val="Number of recovered DPAs during the year, by the reason for the end of the DPA and the length of time the DPA was in place, 2018-19"/>
        <filter val="Number of recovered DPAs during the year, by the reason for the end of the DPA, 2018-19"/>
        <filter val="Patients by use of independent advocacy, type of advocates used and reason why advocacy was not used."/>
        <filter val="Patients by whether considered for discharge through CTO, care plan details, reasons for delayed discharge and family involvement."/>
        <filter val="Reasons for leaving role"/>
        <filter val="Short Term Support: Expenditure, income and capital charges/overheads, by support reason, setting and age group."/>
        <filter val="Total Unit costs1 by Support type and Primary Support Reason; CASSR level"/>
        <filter val="Unit costs for clients aged 18 to 64 accessing residential or nursing long term support, by support setting and primary support reason, 2018-19"/>
        <filter val="Unit costs for clients aged 65 and over accessing residential or nursing long term support, by support setting and primary support reason, 2018-19"/>
      </filters>
    </filterColumn>
  </autoFilter>
  <tableColumns count="45">
    <tableColumn id="3" xr3:uid="{F6AD9199-C9F8-4AFC-B133-94BC41BB5AB4}" name="msr_id" dataDxfId="79"/>
    <tableColumn id="5" xr3:uid="{51E99429-5088-4BCD-BBD8-F0C5A952050E}" name="count_map" dataDxfId="78">
      <calculatedColumnFormula>COUNTIF(requirement_measure_map!$D$3:$D$1514,measure!A3)</calculatedColumnFormula>
    </tableColumn>
    <tableColumn id="6" xr3:uid="{F1E973FE-8628-47B6-9C4F-A2A6DA006BEC}" name="status_map" dataDxfId="77"/>
    <tableColumn id="11" xr3:uid="{5B6C4BC4-E05B-4AD5-91FC-2887080FEAD0}" name="msr_section" dataDxfId="76"/>
    <tableColumn id="16" xr3:uid="{57654806-6EAE-483D-8D44-EB6E974FA57B}" name="msr_table" dataDxfId="75"/>
    <tableColumn id="1" xr3:uid="{D7D277C4-F8BC-43D6-BBC9-B0CB0D301ED1}" name="msr_name" dataDxfId="74"/>
    <tableColumn id="17" xr3:uid="{BC320341-6866-4CBC-AE65-4B1A262DAF61}" name="msr_data_url" dataDxfId="73"/>
    <tableColumn id="18" xr3:uid="{8B02843E-C75E-4667-8629-3B4CE22986DA}" name="trace_from2" dataDxfId="72"/>
    <tableColumn id="9" xr3:uid="{79F48FCD-8E0D-4027-A11D-85ADFEEA3001}" name="msr_population_or_survey" dataDxfId="71">
      <calculatedColumnFormula>#REF!</calculatedColumnFormula>
    </tableColumn>
    <tableColumn id="8" xr3:uid="{BDB304C9-6A07-4A9D-B611-065AC5255038}" name="msr_survey size" dataDxfId="70">
      <calculatedColumnFormula>#REF!</calculatedColumnFormula>
    </tableColumn>
    <tableColumn id="2" xr3:uid="{2E6A176C-8B98-442A-8095-EB75AE64D3C7}" name="primary_dimensions" dataDxfId="69"/>
    <tableColumn id="47" xr3:uid="{07BA145E-01D4-4D5A-AFA1-CE2B298FD228}" name="msr_min_geo_resolution" dataDxfId="68"/>
    <tableColumn id="46" xr3:uid="{6FF7D747-3934-474F-8725-8430BD822C07}" name="user_age_breakdown" dataDxfId="67"/>
    <tableColumn id="45" xr3:uid="{FBC3F2B5-B663-405C-B7D5-F94A46651BE0}" name="user_equality_breakdown" dataDxfId="66"/>
    <tableColumn id="44" xr3:uid="{4135915D-46D5-482C-9935-3826405AD068}" name="user_socioeconomic_breakdown" dataDxfId="65"/>
    <tableColumn id="43" xr3:uid="{E4F6872A-9025-4738-8DA2-4597FF5A7929}" name="user_support_reason_breakdown" dataDxfId="64"/>
    <tableColumn id="42" xr3:uid="{C00AA559-66B3-4C65-A5D2-BE7B0B7FCAC3}" name="funder_breakdown" dataDxfId="63"/>
    <tableColumn id="41" xr3:uid="{04C158E6-A15E-4705-9A69-283E7AD6E281}" name="provider_breakdown" dataDxfId="62"/>
    <tableColumn id="40" xr3:uid="{FE046189-018E-4E62-9C19-5B77B68657D2}" name="workforce_breakdown" dataDxfId="61"/>
    <tableColumn id="39" xr3:uid="{8233127B-B6A3-4C9A-B5F4-5076480C0FC7}" name="service_type_breakdown" dataDxfId="60"/>
    <tableColumn id="38" xr3:uid="{E3E90EF2-CC00-4A1E-A70A-3631FDB517B3}" name="service_setting_breakdown" dataDxfId="59"/>
    <tableColumn id="37" xr3:uid="{A64DBA58-5180-45F5-B01A-C5D1E3EADD19}" name="service_period_breakdown" dataDxfId="58"/>
    <tableColumn id="10" xr3:uid="{8575D053-368A-47E0-9CA6-0B01A8F44159}" name="id_src" dataDxfId="57"/>
    <tableColumn id="13" xr3:uid="{B93A7191-B651-4862-A219-678FF9384F31}" name="src_org" dataDxfId="56">
      <calculatedColumnFormula>_xlfn.XLOOKUP(tblMeasure[[#This Row],[id_src]],tblSource[id_src],tblSource[org])</calculatedColumnFormula>
    </tableColumn>
    <tableColumn id="15" xr3:uid="{AF47B35B-14F7-4732-B128-0CA48553465A}" name="src_name" dataDxfId="55">
      <calculatedColumnFormula>_xlfn.XLOOKUP(tblMeasure[[#This Row],[id_src]],tblSource[id_src],tblSource[source])</calculatedColumnFormula>
    </tableColumn>
    <tableColumn id="20" xr3:uid="{39570F40-3553-0045-A6FE-0BD2DE6C5299}" name="src_url" dataDxfId="54">
      <calculatedColumnFormula>_xlfn.XLOOKUP(tblMeasure[[#This Row],[id_src]],tblSource[id_src],tblSource[url_source])</calculatedColumnFormula>
    </tableColumn>
    <tableColumn id="19" xr3:uid="{BC21004C-A391-FB40-A8C4-F12183F586BD}" name="src_year_first_published" dataDxfId="53">
      <calculatedColumnFormula>_xlfn.XLOOKUP(tblMeasure[[#This Row],[id_src]],tblSource[id_src],tblSource[year_first_published])</calculatedColumnFormula>
    </tableColumn>
    <tableColumn id="14" xr3:uid="{9E23B6DB-FD9B-6544-A765-3BD96AF02230}" name="src_year_last_published" dataDxfId="52">
      <calculatedColumnFormula>_xlfn.XLOOKUP(tblMeasure[[#This Row],[id_src]],tblSource[id_src],tblSource[year_last_published])</calculatedColumnFormula>
    </tableColumn>
    <tableColumn id="7" xr3:uid="{3B4B04A4-AAE3-2948-B6EF-298145E4EBC8}" name="src_discontinuity" dataDxfId="51">
      <calculatedColumnFormula>_xlfn.XLOOKUP(tblMeasure[[#This Row],[id_src]],tblSource[id_src],tblSource[discontinuity])</calculatedColumnFormula>
    </tableColumn>
    <tableColumn id="4" xr3:uid="{1F697248-EC4F-174C-B307-EFAB69ECD562}" name="src_pub_frequency" dataDxfId="50">
      <calculatedColumnFormula>_xlfn.XLOOKUP(tblMeasure[[#This Row],[id_src]],tblSource[id_src],tblSource[publication_frequency])</calculatedColumnFormula>
    </tableColumn>
    <tableColumn id="12" xr3:uid="{EDDE0751-2E73-4240-A68B-ECFEB86A182D}" name="src_pub_lag_months" dataDxfId="49">
      <calculatedColumnFormula>_xlfn.XLOOKUP(tblMeasure[[#This Row],[id_src]],tblSource[id_src],tblSource[publication_lag_months])</calculatedColumnFormula>
    </tableColumn>
    <tableColumn id="21" xr3:uid="{E05F255D-06DA-9B48-AF10-E92FDFE71485}" name="src_data_provider" dataDxfId="48">
      <calculatedColumnFormula>_xlfn.XLOOKUP(tblMeasure[[#This Row],[id_src]],tblSource[id_src],tblSource[data_providers])</calculatedColumnFormula>
    </tableColumn>
    <tableColumn id="24" xr3:uid="{DE389EAD-C9DA-D74E-83A2-EAE6E8885718}" name="src_statistic_class" dataDxfId="47">
      <calculatedColumnFormula>_xlfn.XLOOKUP(tblMeasure[[#This Row],[id_src]],tblSource[id_src],tblSource[statistic_class])</calculatedColumnFormula>
    </tableColumn>
    <tableColumn id="25" xr3:uid="{494C0A38-1B2B-4744-AA42-0DEB854BBD70}" name="src_methodology_url" dataDxfId="46">
      <calculatedColumnFormula>_xlfn.XLOOKUP(tblMeasure[[#This Row],[id_src]],tblSource[id_src],tblSource[methodology_link])</calculatedColumnFormula>
    </tableColumn>
    <tableColumn id="27" xr3:uid="{1887B70E-9D67-464D-801B-EA931846EC23}" name="src_quality_url" dataDxfId="45">
      <calculatedColumnFormula>_xlfn.XLOOKUP(tblMeasure[[#This Row],[id_src]],tblSource[id_src],tblSource[quality_issues])</calculatedColumnFormula>
    </tableColumn>
    <tableColumn id="28" xr3:uid="{A7D947D2-FC46-F14A-894F-3ABC7200F6C0}" name="str_msr_population_or_survey" dataDxfId="44">
      <calculatedColumnFormula>VLOOKUP(tblMeasure[[#This Row],[msr_population_or_survey]],strlu_msr_population_or_survey,2,FALSE)</calculatedColumnFormula>
    </tableColumn>
    <tableColumn id="29" xr3:uid="{FE4285A9-2262-1A4D-8098-AF11523DDBF5}" name="str_msr_min_geo_resolution" dataDxfId="43">
      <calculatedColumnFormula>VLOOKUP(tblMeasure[[#This Row],[msr_min_geo_resolution]],strlu_msr_min_geo_resolution,2,FALSE)</calculatedColumnFormula>
    </tableColumn>
    <tableColumn id="30" xr3:uid="{1D735E3A-9694-AC40-8A0D-37080A932FD3}" name="str_years_published" dataDxfId="42">
      <calculatedColumnFormula>(MAX(tblMeasure[[#This Row],[src_year_last_published]]-2010+1,0)+MIN(2010-tblMeasure[[#This Row],[src_year_first_published]],0)-MAX(tblMeasure[[#This Row],[src_year_last_published]]-2019,0))/10</calculatedColumnFormula>
    </tableColumn>
    <tableColumn id="31" xr3:uid="{F0FAE575-67E0-AD46-8385-F54BA3FECD39}" name="str_src_discontinuity" dataDxfId="41">
      <calculatedColumnFormula>IF(OR(tblMeasure[[#This Row],[src_discontinuity]]="None",tblMeasure[[#This Row],[src_discontinuity]]=0),1,0)</calculatedColumnFormula>
    </tableColumn>
    <tableColumn id="32" xr3:uid="{580D95DD-D318-5D4A-B39C-39CA88C97F09}" name="str_src_pub_frequency" dataDxfId="40">
      <calculatedColumnFormula>VLOOKUP(tblMeasure[[#This Row],[src_pub_frequency]],strlu_src_pub_frequency,2,FALSE)</calculatedColumnFormula>
    </tableColumn>
    <tableColumn id="33" xr3:uid="{396A7F57-D7C7-5E49-ACCB-416FF591FBB5}" name="str_src_pub_lag_months" dataDxfId="39">
      <calculatedColumnFormula>VLOOKUP(tblMeasure[[#This Row],[src_pub_lag_months]],strlu_src_pub_lag_months,2,FALSE)</calculatedColumnFormula>
    </tableColumn>
    <tableColumn id="34" xr3:uid="{5802F4ED-58B4-8C4A-A874-378D01D55453}" name="str_src_statistic_class" dataDxfId="38">
      <calculatedColumnFormula>VLOOKUP(tblMeasure[[#This Row],[src_statistic_class]],strlu_src_statistic_class,2,FALSE)</calculatedColumnFormula>
    </tableColumn>
    <tableColumn id="35" xr3:uid="{DD9713BB-6CB2-BD4B-8CA1-3C5F412A2557}" name="str_src_methodology_url" dataDxfId="37">
      <calculatedColumnFormula>IF(tblMeasure[[#This Row],[src_methodology_url]]="TBD",0,1)</calculatedColumnFormula>
    </tableColumn>
    <tableColumn id="36" xr3:uid="{B64758B5-F349-9F44-9887-D2C7BAA951C0}" name="str_src_quality_url" dataDxfId="36">
      <calculatedColumnFormula>IF(tblMeasure[[#This Row],[src_quality_url]]="TBD",0,1)</calculatedColumnFormula>
    </tableColumn>
    <tableColumn id="48" xr3:uid="{FC414400-9A53-4344-9A86-AE073FF3ED9C}" name="msr_strength" dataDxfId="35">
      <calculatedColumnFormula array="1">SUMPRODUCT(TRANSPOSE(tblMeasure[[#This Row],[str_msr_population_or_survey]:[str_src_quality_url]]),str_weights)/str_weights_total</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5CA029-D6D5-4578-A9EA-3A1DC04A94BC}" name="tblSource" displayName="tblSource" ref="A2:R34" totalsRowShown="0" headerRowDxfId="34" dataDxfId="33">
  <autoFilter ref="A2:R34" xr:uid="{C68FCDD5-7ACD-48FC-8DB9-9435FD44C073}"/>
  <tableColumns count="18">
    <tableColumn id="7" xr3:uid="{96D21876-2415-4665-8D8D-CBCEBC382E4E}" name="id_src" dataDxfId="32"/>
    <tableColumn id="23" xr3:uid="{C68D12AC-0375-4F14-80E9-D09DACBC5AA2}" name="org" dataDxfId="31"/>
    <tableColumn id="24" xr3:uid="{73E8CB27-8594-48DA-8CF6-216BE1A51E15}" name="source" dataDxfId="30"/>
    <tableColumn id="21" xr3:uid="{3D6A9994-09AC-4017-AAE7-295B3708EF9C}" name="url_source" dataDxfId="29">
      <calculatedColumnFormula>VLOOKUP(B3&amp;":"&amp;C3,#REF!,2,FALSE)</calculatedColumnFormula>
    </tableColumn>
    <tableColumn id="26" xr3:uid="{15F2299C-EFA1-4A8E-8954-2DCC6034275D}" name="year_first_published" dataDxfId="28">
      <calculatedColumnFormula>VLOOKUP(B3&amp;":"&amp;C3,#REF!,3,FALSE)</calculatedColumnFormula>
    </tableColumn>
    <tableColumn id="34" xr3:uid="{9A9A9BB8-15EE-47CE-BFA6-B4D9F31E04DD}" name="year_last_published" dataDxfId="27">
      <calculatedColumnFormula>VLOOKUP(B3&amp;":"&amp;C3,#REF!,4,FALSE)</calculatedColumnFormula>
    </tableColumn>
    <tableColumn id="33" xr3:uid="{196BFC95-F289-4711-BA7F-A24D0D351E53}" name="discontinuity" dataDxfId="26"/>
    <tableColumn id="32" xr3:uid="{E43EB336-8848-4607-96BB-619805BCAC73}" name="publication_frequency" dataDxfId="25">
      <calculatedColumnFormula>VLOOKUP(B3&amp;":"&amp;C3,#REF!,5,FALSE)</calculatedColumnFormula>
    </tableColumn>
    <tableColumn id="31" xr3:uid="{6923F2BA-86B1-4534-A36B-B5B76329E567}" name="publication_lag_months" dataDxfId="24"/>
    <tableColumn id="35" xr3:uid="{D4AA5D36-F2E3-465C-A196-3CD6A5E5247E}" name="geo_coverage" dataDxfId="23"/>
    <tableColumn id="30" xr3:uid="{7486DFCF-F9DC-4E96-BD04-9B01CC263F2D}" name="data_providers" dataDxfId="22">
      <calculatedColumnFormula>VLOOKUP(B3&amp;":"&amp;C3,#REF!,6,FALSE)</calculatedColumnFormula>
    </tableColumn>
    <tableColumn id="4" xr3:uid="{50DF910A-0E71-469F-AD3A-7EE9C6C00E5D}" name="trace_from" dataDxfId="21"/>
    <tableColumn id="27" xr3:uid="{AB940F4C-E790-46B5-8B84-A3F15BBBFB96}" name="statistic_class" dataDxfId="20"/>
    <tableColumn id="25" xr3:uid="{69CCFAFE-5853-42B7-A42D-B31C30AC278F}" name="methodology_link" dataDxfId="19">
      <calculatedColumnFormula>VLOOKUP(B3&amp;":"&amp;C3,#REF!,9,FALSE)</calculatedColumnFormula>
    </tableColumn>
    <tableColumn id="22" xr3:uid="{E0C1D622-2A5E-4BE2-ABB5-FB54470DE693}" name="data_collection_incentive" dataDxfId="18"/>
    <tableColumn id="19" xr3:uid="{E3722364-91C8-497E-A7DA-BD92708F702A}" name="quality_issues" dataDxfId="17"/>
    <tableColumn id="11" xr3:uid="{FBC9C79D-A211-4DAA-B773-F05D8DD47A4C}" name="org_source" dataDxfId="16">
      <calculatedColumnFormula>tblSource[[#This Row],[org]]&amp;":"&amp;tblSource[[#This Row],[source]]</calculatedColumnFormula>
    </tableColumn>
    <tableColumn id="36" xr3:uid="{508991F2-FB68-4F80-B89D-8046FB16C92A}" name="prep_notes_source" dataDxfId="15">
      <calculatedColumnFormula>VLOOKUP(B3&amp;":"&amp;C3,#REF!,11,FALSE)</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5127B7-D972-4B37-91B5-7E3578833056}" name="tblMeasureSourceReportXref" displayName="tblMeasureSourceReportXref" ref="A2:E58" totalsRowShown="0" headerRowDxfId="14" dataDxfId="13">
  <autoFilter ref="A2:E58" xr:uid="{FDB8C346-95C7-4FF5-8C7D-46A0975BE0CF}"/>
  <tableColumns count="5">
    <tableColumn id="1" xr3:uid="{9C0B40A3-8490-4220-84F6-2428DC7DF6C2}" name="measure" dataDxfId="12"/>
    <tableColumn id="2" xr3:uid="{7D31D284-01CE-47C9-AE20-C383A25024E3}" name="org_source" dataDxfId="11"/>
    <tableColumn id="3" xr3:uid="{7B7AA3E0-16A5-4FF4-A14A-AC2AE44F51C0}" name="org_report" dataDxfId="10"/>
    <tableColumn id="5" xr3:uid="{45A738A9-788D-4952-94B2-1548766A805B}" name="report_notes" dataDxfId="9"/>
    <tableColumn id="4" xr3:uid="{3B496D82-94A7-482B-B5F9-3F7129B85C1F}" name="preparation_notes" dataDxfId="8"/>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BC4788-35ED-43C0-9B17-B7AD61D1FE18}" name="tblReport" displayName="tblReport" ref="A2:F7" totalsRowShown="0" headerRowDxfId="7" dataDxfId="6">
  <autoFilter ref="A2:F7" xr:uid="{5B9F3D55-5A75-455B-8F45-5877BCF0C0D1}"/>
  <tableColumns count="6">
    <tableColumn id="1" xr3:uid="{68EA9EFC-7005-4C3D-82F7-823E7C67F63C}" name="org" dataDxfId="5"/>
    <tableColumn id="2" xr3:uid="{5C76AF1F-EBF5-4F98-B66A-A3C4E6077351}" name="report" dataDxfId="4"/>
    <tableColumn id="3" xr3:uid="{5362FAC1-5BA5-40C1-BEE6-8C787C938292}" name="org_report" dataDxfId="3">
      <calculatedColumnFormula>A3&amp;":"&amp;B3</calculatedColumnFormula>
    </tableColumn>
    <tableColumn id="4" xr3:uid="{E2B5E387-AF0D-4100-8936-E057D4E458A2}" name="date" dataDxfId="2"/>
    <tableColumn id="5" xr3:uid="{6A66A401-81DC-4430-97D1-24B3716377D1}" name="url" dataDxfId="1" dataCellStyle="Hyperlink"/>
    <tableColumn id="6" xr3:uid="{6D262DC3-47F7-4AC1-BE71-68625FCBED25}" name="preparation_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0-02-20T16:31:17.57" personId="{F2AC1696-ECB4-4F6B-8FE1-4FA4CAAF445F}" id="{168020EE-13C0-4559-9DDB-6355855F319C}">
    <text>TR can do the easy quality attributes such as publication frequency. FG will need to take lead on the more subjective ones such as "confidence/accuracy"</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0-02-20T14:24:38.63" personId="{F2AC1696-ECB4-4F6B-8FE1-4FA4CAAF445F}" id="{F37C8DEB-73CE-4208-97F1-9FDC85A0FE59}">
    <text>Just a calculated concatenation for easier cross-reference in other tables.</text>
  </threadedComment>
  <threadedComment ref="F2" dT="2020-02-20T14:26:28.90" personId="{F2AC1696-ECB4-4F6B-8FE1-4FA4CAAF445F}" id="{786D7C56-5848-4DFB-BA28-6EBE2D769F98}">
    <text>Further domain/sub-domain description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D2" dT="2020-02-20T14:28:36.83" personId="{F2AC1696-ECB4-4F6B-8FE1-4FA4CAAF445F}" id="{B672D863-FF57-4EBE-ACC0-39F376BF542B}">
    <text>Keep values in this column succinct</text>
  </threadedComment>
  <threadedComment ref="E2" dT="2020-02-20T14:36:44.29" personId="{F2AC1696-ECB4-4F6B-8FE1-4FA4CAAF445F}" id="{A77E6A0E-4BA4-42C1-B911-3E49AE8BBED3}">
    <text>Just a calculated concatenation for easier cross-reference in other tables.</text>
  </threadedComment>
  <threadedComment ref="M2" dT="2020-02-20T14:29:19.72" personId="{F2AC1696-ECB4-4F6B-8FE1-4FA4CAAF445F}" id="{2F56D9D3-5D99-4BA3-B9C5-86F213CA8425}">
    <text>More wordy description of the data requirement.</text>
  </threadedComment>
  <threadedComment ref="R2" dT="2020-02-20T14:29:57.97" personId="{F2AC1696-ECB4-4F6B-8FE1-4FA4CAAF445F}" id="{A6635ECB-C63C-46BD-BE29-94DFF63BF883}">
    <text>Just a little bit of work flow to allow us to add suggestions. Approval can only be given by Fiona.</text>
  </threadedComment>
</ThreadedComments>
</file>

<file path=xl/threadedComments/threadedComment4.xml><?xml version="1.0" encoding="utf-8"?>
<ThreadedComments xmlns="http://schemas.microsoft.com/office/spreadsheetml/2018/threadedcomments" xmlns:x="http://schemas.openxmlformats.org/spreadsheetml/2006/main">
  <threadedComment ref="E2" dT="2020-02-20T15:28:33.88" personId="{F2AC1696-ECB4-4F6B-8FE1-4FA4CAAF445F}" id="{34D69915-A0F3-4DFD-8931-53BA481E313C}">
    <text>Does the available measure satisfy our data requirement?</text>
  </threadedComment>
  <threadedComment ref="F2" dT="2020-02-20T14:29:57.97" personId="{F2AC1696-ECB4-4F6B-8FE1-4FA4CAAF445F}" id="{68BBFD66-0041-468B-B1B3-6DB0DCC25C41}">
    <text>Just a little bit of work flow to allow us to add suggestions. Approval can only be given by Fiona.</text>
  </threadedComment>
</ThreadedComments>
</file>

<file path=xl/threadedComments/threadedComment5.xml><?xml version="1.0" encoding="utf-8"?>
<ThreadedComments xmlns="http://schemas.microsoft.com/office/spreadsheetml/2018/threadedcomments" xmlns:x="http://schemas.openxmlformats.org/spreadsheetml/2006/main">
  <threadedComment ref="F2" dT="2020-02-20T14:23:57.54" personId="{F2AC1696-ECB4-4F6B-8FE1-4FA4CAAF445F}" id="{2E85AF58-0B54-4513-BCEE-44F33CF3910E}">
    <text>Keep this succinct</text>
  </threadedComment>
</ThreadedComments>
</file>

<file path=xl/threadedComments/threadedComment6.xml><?xml version="1.0" encoding="utf-8"?>
<ThreadedComments xmlns="http://schemas.microsoft.com/office/spreadsheetml/2018/threadedcomments" xmlns:x="http://schemas.openxmlformats.org/spreadsheetml/2006/main">
  <threadedComment ref="D2" dT="2020-02-25T17:28:10.71" personId="{ECCEE81E-F8DB-4284-AFDA-B3A7C87194FA}" id="{E598F652-E4AF-4F5A-AD26-E745D9ACEDC1}">
    <text xml:space="preserve">New column to add context around the report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www.plantuml.com/plantuml/png/bPH1R-is3CVl_XJ4ksmDNfC10tRewJtixM70i0rRhm4CHg9jOhBaKLGAh-rtdsKvdPEc1NO8B58A_-IFeZv5HT7Kk-eRm6DW2uE4WwC-mWDh1-XRHnQCX8S83P5MyI_s0mhsuDYJZWD14Er2LP5NrX4-sD0Z-m-04ShoiGBOb6LUnNIeNwpRs-gvya49XDjEx-0BDUp9mc64dqpmeMSJGGdxxKe15MkXlnCBzPDprfhi8dInMKGkTIr58pmeXsn5HKtnBXS_X4XsXyRGe6Glaliz2UJui8fVIB47GjFj_QHoMrHoKWWsryDPP-z30sq85amuac1Bgv9M0UkUC2QXkiVXLDdiouwtIjmiVtgfTXqmed9icEmT-A2x0KKPdHjt3gMbwTkaoVeV77x5OM3VGcW0ZyWE3uvWoI3klGO8ISuWhKfTpisbBUl7rnMim4r6Jze56rnentmqNxixw53iBePchZ-9ovyu2PiSOoIKkc69MW_fu3XsP4zkXnVUUMqmYzLDJfkycNaaET9OH_w7pfEeLT370MKvQ89ls4u6rHEo96Z62sIVBpd1jxHjj_0RFO2b7hs59WX4aYCRYZVRlVyZeSl4K5Nua9GYe51k8UJpg476354x6lVUe8S30VkEX9McS19wk9zvhEZFW0hyULdO1sbNz787LapVGBcvpdBp5ipDEStDEpWtx_1qr6ISPGvBmdk_iFpv7hvmouhk8tosoUbKls5qy6C6Tp_htxowYNM9KWiDGVHbxFBkQYlxr_VqZDUc_BUGUpKhBwC1wEqkI4bxcHIX8zC3MIWXujJuhq40asM5uDsuQbuviZmAmxfpPMTv76XfthLq_Ymg_yaMTB-mRoDyJTv-F34pcTdtFtntSosZvObxUjfkdnxpf5VJxsIk7wngRJpd_ISu4Lo-iBWNcektnBhMXQgOyCw9AxwJocHMdyZRrBj_0G00"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5" Type="http://schemas.microsoft.com/office/2017/10/relationships/threadedComment" Target="../threadedComments/threadedComment3.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5.vml"/><Relationship Id="rId1" Type="http://schemas.openxmlformats.org/officeDocument/2006/relationships/printerSettings" Target="../printerSettings/printerSettings2.bin"/><Relationship Id="rId6" Type="http://schemas.microsoft.com/office/2019/04/relationships/namedSheetView" Target="../namedSheetViews/namedSheetView1.xml"/><Relationship Id="rId5" Type="http://schemas.microsoft.com/office/2017/10/relationships/threadedComment" Target="../threadedComments/threadedComment4.xm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skillsforcare.org.uk/adult-social-care-workforce-data/Workforce-intelligence/documents/ASC-Workforce-Statistical-Appendix-2019.xlsx" TargetMode="External"/><Relationship Id="rId21" Type="http://schemas.openxmlformats.org/officeDocument/2006/relationships/hyperlink" Target="https://files.digital.nhs.uk/C4/9FBB8A/ASCFR%20and%20SALT%20Reference%20Tables%202018-19.xlsx" TargetMode="External"/><Relationship Id="rId42" Type="http://schemas.openxmlformats.org/officeDocument/2006/relationships/hyperlink" Target="https://files.digital.nhs.uk/C4/9FBB8A/ASCFR%20and%20SALT%20Reference%20Tables%202018-19.xlsx" TargetMode="External"/><Relationship Id="rId63" Type="http://schemas.openxmlformats.org/officeDocument/2006/relationships/hyperlink" Target="https://files.digital.nhs.uk/AD/40A2F1/ASCFR%20%28NCE%29%20Reference%20Tables%202018-19.xlsx" TargetMode="External"/><Relationship Id="rId84" Type="http://schemas.openxmlformats.org/officeDocument/2006/relationships/hyperlink" Target="https://digital.nhs.uk/binaries/content/assets/legacy/excel/p/m/asc-fr_proforma_2018-19.xls" TargetMode="External"/><Relationship Id="rId138" Type="http://schemas.openxmlformats.org/officeDocument/2006/relationships/hyperlink" Target="https://assets.publishing.service.gov.uk/government/uploads/system/uploads/attachment_data/file/853005/RA_2019-20_data_by_LA_upd.xlsx" TargetMode="External"/><Relationship Id="rId159" Type="http://schemas.openxmlformats.org/officeDocument/2006/relationships/hyperlink" Target="https://www.england.nhs.uk/wp-content/uploads/2018/11/bcf-q4-18-19-data-aggregation.xlsx" TargetMode="External"/><Relationship Id="rId170" Type="http://schemas.openxmlformats.org/officeDocument/2006/relationships/hyperlink" Target="https://www.england.nhs.uk/wp-content/uploads/2018/11/bcf-q4-18-19-data-aggregation.xlsx" TargetMode="External"/><Relationship Id="rId191" Type="http://schemas.openxmlformats.org/officeDocument/2006/relationships/hyperlink" Target="https://www.ifs.org.uk/uploads/ELSA_Wave_8_report.pdf" TargetMode="External"/><Relationship Id="rId205" Type="http://schemas.microsoft.com/office/2017/10/relationships/threadedComment" Target="../threadedComments/threadedComment5.xml"/><Relationship Id="rId107" Type="http://schemas.openxmlformats.org/officeDocument/2006/relationships/hyperlink" Target="https://www.england.nhs.uk/statistics/wp-content/uploads/sites/2/2020/02/LA-Type-B-December-2019-9tun8.xls" TargetMode="External"/><Relationship Id="rId11" Type="http://schemas.openxmlformats.org/officeDocument/2006/relationships/hyperlink" Target="https://files.digital.nhs.uk/C4/9FBB8A/ASCFR%20and%20SALT%20Reference%20Tables%202018-19.xlsx" TargetMode="External"/><Relationship Id="rId32" Type="http://schemas.openxmlformats.org/officeDocument/2006/relationships/hyperlink" Target="https://files.digital.nhs.uk/C4/9FBB8A/ASCFR%20and%20SALT%20Reference%20Tables%202018-19.xlsx" TargetMode="External"/><Relationship Id="rId53" Type="http://schemas.openxmlformats.org/officeDocument/2006/relationships/hyperlink" Target="https://files.digital.nhs.uk/AD/40A2F1/ASCFR%20%28NCE%29%20Reference%20Tables%202018-19.xlsx" TargetMode="External"/><Relationship Id="rId74" Type="http://schemas.openxmlformats.org/officeDocument/2006/relationships/hyperlink" Target="https://digital.nhs.uk/binaries/content/assets/website-assets/data-collections/social-care-collections-2018/salt-return-2018-19.xlsx" TargetMode="External"/><Relationship Id="rId128" Type="http://schemas.openxmlformats.org/officeDocument/2006/relationships/hyperlink" Target="https://researchbriefings.parliament.uk/ResearchBriefing/Summary/SN03011" TargetMode="External"/><Relationship Id="rId149" Type="http://schemas.openxmlformats.org/officeDocument/2006/relationships/hyperlink" Target="https://files.digital.nhs.uk/5A/CB2435/HSE18-Social-care-tab.xlsx" TargetMode="External"/><Relationship Id="rId5" Type="http://schemas.openxmlformats.org/officeDocument/2006/relationships/hyperlink" Target="https://files.digital.nhs.uk/C4/9FBB8A/ASCFR%20and%20SALT%20Reference%20Tables%202018-19.xlsx" TargetMode="External"/><Relationship Id="rId95" Type="http://schemas.openxmlformats.org/officeDocument/2006/relationships/hyperlink" Target="https://files.digital.nhs.uk/AE/2F82A7/ldsm-jan-20-ref-tables.xlsx" TargetMode="External"/><Relationship Id="rId160" Type="http://schemas.openxmlformats.org/officeDocument/2006/relationships/hyperlink" Target="https://www.england.nhs.uk/wp-content/uploads/2018/11/bcf-q4-18-19-data-aggregation.xlsx" TargetMode="External"/><Relationship Id="rId181" Type="http://schemas.openxmlformats.org/officeDocument/2006/relationships/hyperlink" Target="https://www.ifs.org.uk/uploads/ELSA_Wave_8_report.pdf" TargetMode="External"/><Relationship Id="rId22" Type="http://schemas.openxmlformats.org/officeDocument/2006/relationships/hyperlink" Target="https://files.digital.nhs.uk/C4/9FBB8A/ASCFR%20and%20SALT%20Reference%20Tables%202018-19.xlsx" TargetMode="External"/><Relationship Id="rId43" Type="http://schemas.openxmlformats.org/officeDocument/2006/relationships/hyperlink" Target="https://files.digital.nhs.uk/C4/9FBB8A/ASCFR%20and%20SALT%20Reference%20Tables%202018-19.xlsx" TargetMode="External"/><Relationship Id="rId64" Type="http://schemas.openxmlformats.org/officeDocument/2006/relationships/hyperlink" Target="https://files.digital.nhs.uk/AD/40A2F1/ASCFR%20%28NCE%29%20Reference%20Tables%202018-19.xlsx" TargetMode="External"/><Relationship Id="rId118" Type="http://schemas.openxmlformats.org/officeDocument/2006/relationships/hyperlink" Target="https://drive.google.com/drive/u/0/folders/0B1jvn_rdpdEzfm55Mm1nanQweHE4R3lFSWRqTWYxT056WjZiLVlDMzVGemhiS3RuSU1RUFU" TargetMode="External"/><Relationship Id="rId139" Type="http://schemas.openxmlformats.org/officeDocument/2006/relationships/hyperlink" Target="https://assets.publishing.service.gov.uk/government/uploads/system/uploads/attachment_data/file/853005/RA_2019-20_data_by_LA_upd.xlsx" TargetMode="External"/><Relationship Id="rId85" Type="http://schemas.openxmlformats.org/officeDocument/2006/relationships/hyperlink" Target="https://digital.nhs.uk/binaries/content/assets/legacy/excel/p/m/asc-fr_proforma_2018-19.xls" TargetMode="External"/><Relationship Id="rId150" Type="http://schemas.openxmlformats.org/officeDocument/2006/relationships/hyperlink" Target="https://assets.publishing.service.gov.uk/government/uploads/system/uploads/attachment_data/file/789338/frs-carers-data-tables-2017-18.xlsx" TargetMode="External"/><Relationship Id="rId171" Type="http://schemas.openxmlformats.org/officeDocument/2006/relationships/hyperlink" Target="https://assets.publishing.service.gov.uk/government/uploads/system/uploads/attachment_data/file/836599/iBCF_LA_data_1819.xlsx" TargetMode="External"/><Relationship Id="rId192" Type="http://schemas.openxmlformats.org/officeDocument/2006/relationships/hyperlink" Target="https://www.ifs.org.uk/uploads/ELSA_Wave_8_report.pdf" TargetMode="External"/><Relationship Id="rId206" Type="http://schemas.microsoft.com/office/2019/04/relationships/namedSheetView" Target="../namedSheetViews/namedSheetView2.xml"/><Relationship Id="rId12" Type="http://schemas.openxmlformats.org/officeDocument/2006/relationships/hyperlink" Target="https://files.digital.nhs.uk/C4/9FBB8A/ASCFR%20and%20SALT%20Reference%20Tables%202018-19.xlsx" TargetMode="External"/><Relationship Id="rId33" Type="http://schemas.openxmlformats.org/officeDocument/2006/relationships/hyperlink" Target="https://files.digital.nhs.uk/C4/9FBB8A/ASCFR%20and%20SALT%20Reference%20Tables%202018-19.xlsx" TargetMode="External"/><Relationship Id="rId108" Type="http://schemas.openxmlformats.org/officeDocument/2006/relationships/hyperlink" Target="https://www.england.nhs.uk/statistics/wp-content/uploads/sites/2/2020/02/CHC-and-FNC-Quarterly-Data-Q3-2019-20_z5qnTp.xlsx" TargetMode="External"/><Relationship Id="rId129" Type="http://schemas.openxmlformats.org/officeDocument/2006/relationships/hyperlink" Target="https://assets.publishing.service.gov.uk/government/uploads/system/uploads/attachment_data/file/865042/iBCF_LA_data_Q2_2019-20.xlsx" TargetMode="External"/><Relationship Id="rId54" Type="http://schemas.openxmlformats.org/officeDocument/2006/relationships/hyperlink" Target="https://files.digital.nhs.uk/AD/40A2F1/ASCFR%20%28NCE%29%20Reference%20Tables%202018-19.xlsx" TargetMode="External"/><Relationship Id="rId75" Type="http://schemas.openxmlformats.org/officeDocument/2006/relationships/hyperlink" Target="https://digital.nhs.uk/binaries/content/assets/website-assets/data-collections/social-care-collections-2018/salt-return-2018-19.xlsx" TargetMode="External"/><Relationship Id="rId96" Type="http://schemas.openxmlformats.org/officeDocument/2006/relationships/hyperlink" Target="https://files.digital.nhs.uk/19/24F30B/PSS_SACE_Annex_Tables_2018-19_v2.xlsx" TargetMode="External"/><Relationship Id="rId140" Type="http://schemas.openxmlformats.org/officeDocument/2006/relationships/hyperlink" Target="https://www.kingsfund.org.uk/sites/default/files/2019-03/BSA2018%20final%20datatables.xlsx" TargetMode="External"/><Relationship Id="rId161" Type="http://schemas.openxmlformats.org/officeDocument/2006/relationships/hyperlink" Target="https://www.england.nhs.uk/wp-content/uploads/2018/11/bcf-q4-18-19-data-aggregation.xlsx" TargetMode="External"/><Relationship Id="rId182" Type="http://schemas.openxmlformats.org/officeDocument/2006/relationships/hyperlink" Target="https://www.ifs.org.uk/uploads/ELSA_Wave_8_report.pdf" TargetMode="External"/><Relationship Id="rId6" Type="http://schemas.openxmlformats.org/officeDocument/2006/relationships/hyperlink" Target="https://files.digital.nhs.uk/C4/9FBB8A/ASCFR%20and%20SALT%20Reference%20Tables%202018-19.xlsx" TargetMode="External"/><Relationship Id="rId23" Type="http://schemas.openxmlformats.org/officeDocument/2006/relationships/hyperlink" Target="https://files.digital.nhs.uk/C4/9FBB8A/ASCFR%20and%20SALT%20Reference%20Tables%202018-19.xlsx" TargetMode="External"/><Relationship Id="rId119" Type="http://schemas.openxmlformats.org/officeDocument/2006/relationships/hyperlink" Target="https://assets.publishing.service.gov.uk/government/uploads/system/uploads/attachment_data/file/789336/frs-disability-data-tables-2017-18.xlsx" TargetMode="External"/><Relationship Id="rId44" Type="http://schemas.openxmlformats.org/officeDocument/2006/relationships/hyperlink" Target="https://files.digital.nhs.uk/C4/9FBB8A/ASCFR%20and%20SALT%20Reference%20Tables%202018-19.xlsx" TargetMode="External"/><Relationship Id="rId65" Type="http://schemas.openxmlformats.org/officeDocument/2006/relationships/hyperlink" Target="https://files.digital.nhs.uk/AD/40A2F1/ASCFR%20%28NCE%29%20Reference%20Tables%202018-19.xlsx" TargetMode="External"/><Relationship Id="rId86" Type="http://schemas.openxmlformats.org/officeDocument/2006/relationships/hyperlink" Target="https://files.digital.nhs.uk/00/035F45/dols-eng-applications-2018-19.xlsx" TargetMode="External"/><Relationship Id="rId130" Type="http://schemas.openxmlformats.org/officeDocument/2006/relationships/hyperlink" Target="https://assets.publishing.service.gov.uk/government/uploads/system/uploads/attachment_data/file/853005/RA_2019-20_data_by_LA_upd.xlsx" TargetMode="External"/><Relationship Id="rId151" Type="http://schemas.openxmlformats.org/officeDocument/2006/relationships/hyperlink" Target="https://www.england.nhs.uk/wp-content/uploads/2018/11/bcf-q4-18-19-data-aggregation.xlsx" TargetMode="External"/><Relationship Id="rId172" Type="http://schemas.openxmlformats.org/officeDocument/2006/relationships/hyperlink" Target="https://assets.publishing.service.gov.uk/government/uploads/system/uploads/attachment_data/file/836599/iBCF_LA_data_1819.xlsx" TargetMode="External"/><Relationship Id="rId193" Type="http://schemas.openxmlformats.org/officeDocument/2006/relationships/hyperlink" Target="https://www.ifs.org.uk/uploads/ELSA_Wave_8_report.pdf" TargetMode="External"/><Relationship Id="rId13" Type="http://schemas.openxmlformats.org/officeDocument/2006/relationships/hyperlink" Target="https://files.digital.nhs.uk/C4/9FBB8A/ASCFR%20and%20SALT%20Reference%20Tables%202018-19.xlsx" TargetMode="External"/><Relationship Id="rId109" Type="http://schemas.openxmlformats.org/officeDocument/2006/relationships/hyperlink" Target="https://www.england.nhs.uk/statistics/wp-content/uploads/sites/2/2020/02/CHC-and-FNC-Quarterly-Data-Q3-2019-20_z5qnTp.xlsx" TargetMode="External"/><Relationship Id="rId34" Type="http://schemas.openxmlformats.org/officeDocument/2006/relationships/hyperlink" Target="https://files.digital.nhs.uk/C4/9FBB8A/ASCFR%20and%20SALT%20Reference%20Tables%202018-19.xlsx" TargetMode="External"/><Relationship Id="rId55" Type="http://schemas.openxmlformats.org/officeDocument/2006/relationships/hyperlink" Target="https://files.digital.nhs.uk/AD/40A2F1/ASCFR%20%28NCE%29%20Reference%20Tables%202018-19.xlsx" TargetMode="External"/><Relationship Id="rId76" Type="http://schemas.openxmlformats.org/officeDocument/2006/relationships/hyperlink" Target="https://digital.nhs.uk/binaries/content/assets/website-assets/data-collections/social-care-collections-2018/salt-return-2018-19.xlsx" TargetMode="External"/><Relationship Id="rId97" Type="http://schemas.openxmlformats.org/officeDocument/2006/relationships/hyperlink" Target="https://files.digital.nhs.uk/19/24F30B/PSS_SACE_Annex_Tables_2018-19_v2.xlsx" TargetMode="External"/><Relationship Id="rId120" Type="http://schemas.openxmlformats.org/officeDocument/2006/relationships/hyperlink" Target="https://assets.publishing.service.gov.uk/government/uploads/system/uploads/attachment_data/file/789336/frs-disability-data-tables-2017-18.xlsx" TargetMode="External"/><Relationship Id="rId141" Type="http://schemas.openxmlformats.org/officeDocument/2006/relationships/hyperlink" Target="https://2019survey.neural.org.uk/" TargetMode="External"/><Relationship Id="rId7" Type="http://schemas.openxmlformats.org/officeDocument/2006/relationships/hyperlink" Target="https://files.digital.nhs.uk/C4/9FBB8A/ASCFR%20and%20SALT%20Reference%20Tables%202018-19.xlsx" TargetMode="External"/><Relationship Id="rId162" Type="http://schemas.openxmlformats.org/officeDocument/2006/relationships/hyperlink" Target="https://www.england.nhs.uk/wp-content/uploads/2018/11/bcf-q4-18-19-data-aggregation.xlsx" TargetMode="External"/><Relationship Id="rId183" Type="http://schemas.openxmlformats.org/officeDocument/2006/relationships/hyperlink" Target="https://www.ifs.org.uk/uploads/ELSA_Wave_8_report.pdf" TargetMode="External"/><Relationship Id="rId24" Type="http://schemas.openxmlformats.org/officeDocument/2006/relationships/hyperlink" Target="https://files.digital.nhs.uk/C4/9FBB8A/ASCFR%20and%20SALT%20Reference%20Tables%202018-19.xlsx" TargetMode="External"/><Relationship Id="rId40" Type="http://schemas.openxmlformats.org/officeDocument/2006/relationships/hyperlink" Target="https://files.digital.nhs.uk/C4/9FBB8A/ASCFR%20and%20SALT%20Reference%20Tables%202018-19.xlsx" TargetMode="External"/><Relationship Id="rId45" Type="http://schemas.openxmlformats.org/officeDocument/2006/relationships/hyperlink" Target="https://files.digital.nhs.uk/C4/9FBB8A/ASCFR%20and%20SALT%20Reference%20Tables%202018-19.xlsx" TargetMode="External"/><Relationship Id="rId66" Type="http://schemas.openxmlformats.org/officeDocument/2006/relationships/hyperlink" Target="https://files.digital.nhs.uk/AD/40A2F1/ASCFR%20%28NCE%29%20Reference%20Tables%202018-19.xlsx" TargetMode="External"/><Relationship Id="rId87" Type="http://schemas.openxmlformats.org/officeDocument/2006/relationships/hyperlink" Target="https://files.digital.nhs.uk/00/035F45/dols-eng-applications-2018-19.xlsx" TargetMode="External"/><Relationship Id="rId110" Type="http://schemas.openxmlformats.org/officeDocument/2006/relationships/hyperlink" Target="https://www.ons.gov.uk/file?uri=%2feconomy%2feconomicoutputandproductivity%2fpublicservicesproductivity%2fdatasets%2fpublicserviceproductivityadultsocialcare%2fcurrent/referencetableadultsocialcareproductivityenglandfye2019.xls" TargetMode="External"/><Relationship Id="rId115" Type="http://schemas.openxmlformats.org/officeDocument/2006/relationships/hyperlink" Target="https://fingertips.phe.org.uk/profile/end-of-life/data" TargetMode="External"/><Relationship Id="rId131" Type="http://schemas.openxmlformats.org/officeDocument/2006/relationships/hyperlink" Target="https://assets.publishing.service.gov.uk/government/uploads/system/uploads/attachment_data/file/853005/RA_2019-20_data_by_LA_upd.xlsx" TargetMode="External"/><Relationship Id="rId136" Type="http://schemas.openxmlformats.org/officeDocument/2006/relationships/hyperlink" Target="https://assets.publishing.service.gov.uk/government/uploads/system/uploads/attachment_data/file/853005/RA_2019-20_data_by_LA_upd.xlsx" TargetMode="External"/><Relationship Id="rId157" Type="http://schemas.openxmlformats.org/officeDocument/2006/relationships/hyperlink" Target="https://www.england.nhs.uk/wp-content/uploads/2018/11/bcf-q4-18-19-data-aggregation.xlsx" TargetMode="External"/><Relationship Id="rId178" Type="http://schemas.openxmlformats.org/officeDocument/2006/relationships/hyperlink" Target="https://files.digital.nhs.uk/E5/457EE4/DPA%20Reference%20Tables%202018-19.xlsx" TargetMode="External"/><Relationship Id="rId61" Type="http://schemas.openxmlformats.org/officeDocument/2006/relationships/hyperlink" Target="https://files.digital.nhs.uk/AD/40A2F1/ASCFR%20%28NCE%29%20Reference%20Tables%202018-19.xlsx" TargetMode="External"/><Relationship Id="rId82" Type="http://schemas.openxmlformats.org/officeDocument/2006/relationships/hyperlink" Target="https://digital.nhs.uk/binaries/content/assets/legacy/excel/p/m/asc-fr_proforma_2018-19.xls" TargetMode="External"/><Relationship Id="rId152" Type="http://schemas.openxmlformats.org/officeDocument/2006/relationships/hyperlink" Target="https://files.digital.nhs.uk/5A/CB2435/HSE18-Social-care-tab.xlsx" TargetMode="External"/><Relationship Id="rId173" Type="http://schemas.openxmlformats.org/officeDocument/2006/relationships/hyperlink" Target="https://assets.publishing.service.gov.uk/government/uploads/system/uploads/attachment_data/file/836599/iBCF_LA_data_1819.xlsx" TargetMode="External"/><Relationship Id="rId194" Type="http://schemas.openxmlformats.org/officeDocument/2006/relationships/hyperlink" Target="https://www.ifs.org.uk/uploads/ELSA_Wave_8_report.pdf" TargetMode="External"/><Relationship Id="rId199" Type="http://schemas.openxmlformats.org/officeDocument/2006/relationships/hyperlink" Target="https://www.ifs.org.uk/uploads/ELSA_Wave_8_report.pdf" TargetMode="External"/><Relationship Id="rId203" Type="http://schemas.openxmlformats.org/officeDocument/2006/relationships/table" Target="../tables/table4.xml"/><Relationship Id="rId19" Type="http://schemas.openxmlformats.org/officeDocument/2006/relationships/hyperlink" Target="https://files.digital.nhs.uk/C4/9FBB8A/ASCFR%20and%20SALT%20Reference%20Tables%202018-19.xlsx" TargetMode="External"/><Relationship Id="rId14" Type="http://schemas.openxmlformats.org/officeDocument/2006/relationships/hyperlink" Target="https://files.digital.nhs.uk/C4/9FBB8A/ASCFR%20and%20SALT%20Reference%20Tables%202018-19.xlsx" TargetMode="External"/><Relationship Id="rId30" Type="http://schemas.openxmlformats.org/officeDocument/2006/relationships/hyperlink" Target="https://files.digital.nhs.uk/C4/9FBB8A/ASCFR%20and%20SALT%20Reference%20Tables%202018-19.xlsx" TargetMode="External"/><Relationship Id="rId35" Type="http://schemas.openxmlformats.org/officeDocument/2006/relationships/hyperlink" Target="https://files.digital.nhs.uk/C4/9FBB8A/ASCFR%20and%20SALT%20Reference%20Tables%202018-19.xlsx" TargetMode="External"/><Relationship Id="rId56" Type="http://schemas.openxmlformats.org/officeDocument/2006/relationships/hyperlink" Target="https://files.digital.nhs.uk/AD/40A2F1/ASCFR%20%28NCE%29%20Reference%20Tables%202018-19.xlsx" TargetMode="External"/><Relationship Id="rId77" Type="http://schemas.openxmlformats.org/officeDocument/2006/relationships/hyperlink" Target="https://digital.nhs.uk/binaries/content/assets/website-assets/data-collections/social-care-collections-2018/salt-return-2018-19.xlsx" TargetMode="External"/><Relationship Id="rId100" Type="http://schemas.openxmlformats.org/officeDocument/2006/relationships/hyperlink" Target="https://files.digital.nhs.uk/9A/C5DF49/pss-ascs-eng-1819-annex-tables.xlsx" TargetMode="External"/><Relationship Id="rId105" Type="http://schemas.openxmlformats.org/officeDocument/2006/relationships/hyperlink" Target="https://files.digital.nhs.uk/2D/B200DE/sac-eng-2018-19-data-tables.xlsx" TargetMode="External"/><Relationship Id="rId126" Type="http://schemas.openxmlformats.org/officeDocument/2006/relationships/hyperlink" Target="https://www.gpcontract.co.uk/download" TargetMode="External"/><Relationship Id="rId147" Type="http://schemas.openxmlformats.org/officeDocument/2006/relationships/hyperlink" Target="https://assets.publishing.service.gov.uk/government/uploads/system/uploads/attachment_data/file/812518/SG_2019-20_data_by_LA.xlsx" TargetMode="External"/><Relationship Id="rId168" Type="http://schemas.openxmlformats.org/officeDocument/2006/relationships/hyperlink" Target="https://www.england.nhs.uk/wp-content/uploads/2018/11/bcf-q4-18-19-data-aggregation.xlsx" TargetMode="External"/><Relationship Id="rId8" Type="http://schemas.openxmlformats.org/officeDocument/2006/relationships/hyperlink" Target="https://files.digital.nhs.uk/C4/9FBB8A/ASCFR%20and%20SALT%20Reference%20Tables%202018-19.xlsx" TargetMode="External"/><Relationship Id="rId51" Type="http://schemas.openxmlformats.org/officeDocument/2006/relationships/hyperlink" Target="https://files.digital.nhs.uk/C4/9FBB8A/ASCFR%20and%20SALT%20Reference%20Tables%202018-19.xlsx" TargetMode="External"/><Relationship Id="rId72" Type="http://schemas.openxmlformats.org/officeDocument/2006/relationships/hyperlink" Target="https://digital.nhs.uk/binaries/content/assets/website-assets/data-collections/social-care-collections-2018/salt-return-2018-19.xlsx" TargetMode="External"/><Relationship Id="rId93" Type="http://schemas.openxmlformats.org/officeDocument/2006/relationships/hyperlink" Target="https://files.digital.nhs.uk/4A/FCC61C/guar-unde-ment-heal-act-1983-eng-1618-annex%20A-ref-tab%20Final.xlsx" TargetMode="External"/><Relationship Id="rId98" Type="http://schemas.openxmlformats.org/officeDocument/2006/relationships/hyperlink" Target="https://files.digital.nhs.uk/A1/C43D4E/QoL%20by%20health%20condition_2018-19.xlsx" TargetMode="External"/><Relationship Id="rId121" Type="http://schemas.openxmlformats.org/officeDocument/2006/relationships/hyperlink" Target="https://assets.publishing.service.gov.uk/government/uploads/system/uploads/attachment_data/file/789338/frs-carers-data-tables-2017-18.xlsx" TargetMode="External"/><Relationship Id="rId142" Type="http://schemas.openxmlformats.org/officeDocument/2006/relationships/hyperlink" Target="https://2019survey.neural.org.uk/" TargetMode="External"/><Relationship Id="rId163" Type="http://schemas.openxmlformats.org/officeDocument/2006/relationships/hyperlink" Target="https://www.england.nhs.uk/wp-content/uploads/2018/11/bcf-q4-18-19-data-aggregation.xlsx" TargetMode="External"/><Relationship Id="rId184" Type="http://schemas.openxmlformats.org/officeDocument/2006/relationships/hyperlink" Target="https://www.ifs.org.uk/uploads/ELSA_Wave_8_report.pdf" TargetMode="External"/><Relationship Id="rId189" Type="http://schemas.openxmlformats.org/officeDocument/2006/relationships/hyperlink" Target="https://www.ifs.org.uk/uploads/ELSA_Wave_8_report.pdf" TargetMode="External"/><Relationship Id="rId3" Type="http://schemas.openxmlformats.org/officeDocument/2006/relationships/hyperlink" Target="https://files.digital.nhs.uk/C4/9FBB8A/ASCFR%20and%20SALT%20Reference%20Tables%202018-19.xlsx" TargetMode="External"/><Relationship Id="rId25" Type="http://schemas.openxmlformats.org/officeDocument/2006/relationships/hyperlink" Target="https://files.digital.nhs.uk/C4/9FBB8A/ASCFR%20and%20SALT%20Reference%20Tables%202018-19.xlsx" TargetMode="External"/><Relationship Id="rId46" Type="http://schemas.openxmlformats.org/officeDocument/2006/relationships/hyperlink" Target="https://files.digital.nhs.uk/C4/9FBB8A/ASCFR%20and%20SALT%20Reference%20Tables%202018-19.xlsx" TargetMode="External"/><Relationship Id="rId67" Type="http://schemas.openxmlformats.org/officeDocument/2006/relationships/hyperlink" Target="https://files.digital.nhs.uk/AD/40A2F1/ASCFR%20%28NCE%29%20Reference%20Tables%202018-19.xlsx" TargetMode="External"/><Relationship Id="rId116" Type="http://schemas.openxmlformats.org/officeDocument/2006/relationships/hyperlink" Target="https://www.skillsforcare.org.uk/adult-social-care-workforce-data/Workforce-intelligence/documents/ASC-Workforce-Statistical-Appendix-2019.xlsx" TargetMode="External"/><Relationship Id="rId137" Type="http://schemas.openxmlformats.org/officeDocument/2006/relationships/hyperlink" Target="https://assets.publishing.service.gov.uk/government/uploads/system/uploads/attachment_data/file/853005/RA_2019-20_data_by_LA_upd.xlsx" TargetMode="External"/><Relationship Id="rId158" Type="http://schemas.openxmlformats.org/officeDocument/2006/relationships/hyperlink" Target="https://www.england.nhs.uk/wp-content/uploads/2018/11/bcf-q4-18-19-data-aggregation.xlsx" TargetMode="External"/><Relationship Id="rId20" Type="http://schemas.openxmlformats.org/officeDocument/2006/relationships/hyperlink" Target="https://files.digital.nhs.uk/C4/9FBB8A/ASCFR%20and%20SALT%20Reference%20Tables%202018-19.xlsx" TargetMode="External"/><Relationship Id="rId41" Type="http://schemas.openxmlformats.org/officeDocument/2006/relationships/hyperlink" Target="https://files.digital.nhs.uk/C4/9FBB8A/ASCFR%20and%20SALT%20Reference%20Tables%202018-19.xlsx" TargetMode="External"/><Relationship Id="rId62" Type="http://schemas.openxmlformats.org/officeDocument/2006/relationships/hyperlink" Target="https://files.digital.nhs.uk/AD/40A2F1/ASCFR%20%28NCE%29%20Reference%20Tables%202018-19.xlsx" TargetMode="External"/><Relationship Id="rId83" Type="http://schemas.openxmlformats.org/officeDocument/2006/relationships/hyperlink" Target="https://digital.nhs.uk/binaries/content/assets/legacy/excel/p/m/asc-fr_proforma_2018-19.xls" TargetMode="External"/><Relationship Id="rId88" Type="http://schemas.openxmlformats.org/officeDocument/2006/relationships/hyperlink" Target="https://files.digital.nhs.uk/D8/DB95A9/dols-eng-demographics-2018-19.xlsx" TargetMode="External"/><Relationship Id="rId111" Type="http://schemas.openxmlformats.org/officeDocument/2006/relationships/hyperlink" Target="https://www.ons.gov.uk/file?uri=%2feconomy%2feconomicoutputandproductivity%2fpublicservicesproductivity%2fdatasets%2fpublicserviceproductivityadultsocialcare%2fcurrent/referencetableadultsocialcareproductivityenglandfye2019.xls" TargetMode="External"/><Relationship Id="rId132" Type="http://schemas.openxmlformats.org/officeDocument/2006/relationships/hyperlink" Target="https://assets.publishing.service.gov.uk/government/uploads/system/uploads/attachment_data/file/853005/RA_2019-20_data_by_LA_upd.xlsx" TargetMode="External"/><Relationship Id="rId153" Type="http://schemas.openxmlformats.org/officeDocument/2006/relationships/hyperlink" Target="https://www.england.nhs.uk/wp-content/uploads/2018/11/bcf-q4-18-19-data-aggregation.xlsx" TargetMode="External"/><Relationship Id="rId174" Type="http://schemas.openxmlformats.org/officeDocument/2006/relationships/hyperlink" Target="https://assets.publishing.service.gov.uk/government/uploads/system/uploads/attachment_data/file/836599/iBCF_LA_data_1819.xlsx" TargetMode="External"/><Relationship Id="rId179" Type="http://schemas.openxmlformats.org/officeDocument/2006/relationships/hyperlink" Target="https://assets.publishing.service.gov.uk/government/uploads/system/uploads/attachment_data/file/789333/frs-income-and-state-support-data-tables-2017-18.xlsx" TargetMode="External"/><Relationship Id="rId195" Type="http://schemas.openxmlformats.org/officeDocument/2006/relationships/hyperlink" Target="https://www.ifs.org.uk/uploads/ELSA_Wave_8_report.pdf" TargetMode="External"/><Relationship Id="rId190" Type="http://schemas.openxmlformats.org/officeDocument/2006/relationships/hyperlink" Target="https://www.ifs.org.uk/uploads/ELSA_Wave_8_report.pdf" TargetMode="External"/><Relationship Id="rId204" Type="http://schemas.openxmlformats.org/officeDocument/2006/relationships/comments" Target="../comments6.xml"/><Relationship Id="rId15" Type="http://schemas.openxmlformats.org/officeDocument/2006/relationships/hyperlink" Target="https://files.digital.nhs.uk/C4/9FBB8A/ASCFR%20and%20SALT%20Reference%20Tables%202018-19.xlsx" TargetMode="External"/><Relationship Id="rId36" Type="http://schemas.openxmlformats.org/officeDocument/2006/relationships/hyperlink" Target="https://files.digital.nhs.uk/C4/9FBB8A/ASCFR%20and%20SALT%20Reference%20Tables%202018-19.xlsx" TargetMode="External"/><Relationship Id="rId57" Type="http://schemas.openxmlformats.org/officeDocument/2006/relationships/hyperlink" Target="https://files.digital.nhs.uk/AD/40A2F1/ASCFR%20%28NCE%29%20Reference%20Tables%202018-19.xlsx" TargetMode="External"/><Relationship Id="rId106" Type="http://schemas.openxmlformats.org/officeDocument/2006/relationships/hyperlink" Target="https://files.digital.nhs.uk/2D/B200DE/sac-eng-2018-19-data-tables.xlsx" TargetMode="External"/><Relationship Id="rId127" Type="http://schemas.openxmlformats.org/officeDocument/2006/relationships/hyperlink" Target="https://www.gpcontract.co.uk/browse/ENG/Mental%20Health/19" TargetMode="External"/><Relationship Id="rId10" Type="http://schemas.openxmlformats.org/officeDocument/2006/relationships/hyperlink" Target="https://files.digital.nhs.uk/C4/9FBB8A/ASCFR%20and%20SALT%20Reference%20Tables%202018-19.xlsx" TargetMode="External"/><Relationship Id="rId31" Type="http://schemas.openxmlformats.org/officeDocument/2006/relationships/hyperlink" Target="https://files.digital.nhs.uk/C4/9FBB8A/ASCFR%20and%20SALT%20Reference%20Tables%202018-19.xlsx" TargetMode="External"/><Relationship Id="rId52" Type="http://schemas.openxmlformats.org/officeDocument/2006/relationships/hyperlink" Target="https://files.digital.nhs.uk/C4/9FBB8A/ASCFR%20and%20SALT%20Reference%20Tables%202018-19.xlsx" TargetMode="External"/><Relationship Id="rId73" Type="http://schemas.openxmlformats.org/officeDocument/2006/relationships/hyperlink" Target="https://digital.nhs.uk/binaries/content/assets/website-assets/data-collections/social-care-collections-2018/salt-return-2018-19.xlsx" TargetMode="External"/><Relationship Id="rId78" Type="http://schemas.openxmlformats.org/officeDocument/2006/relationships/hyperlink" Target="https://digital.nhs.uk/binaries/content/assets/website-assets/data-collections/social-care-collections-2018/salt-return-2018-19.xlsx" TargetMode="External"/><Relationship Id="rId94" Type="http://schemas.openxmlformats.org/officeDocument/2006/relationships/hyperlink" Target="https://files.digital.nhs.uk/AE/2F82A7/ldsm-jan-20-ref-tables.xlsx" TargetMode="External"/><Relationship Id="rId99" Type="http://schemas.openxmlformats.org/officeDocument/2006/relationships/hyperlink" Target="https://files.digital.nhs.uk/9A/C5DF49/pss-ascs-eng-1819-annex-tables.xlsx" TargetMode="External"/><Relationship Id="rId101" Type="http://schemas.openxmlformats.org/officeDocument/2006/relationships/hyperlink" Target="https://files.digital.nhs.uk/publicationimport/pub22xxx/pub22240/pss-exp-eng-15-16-fin-ref.xls" TargetMode="External"/><Relationship Id="rId122" Type="http://schemas.openxmlformats.org/officeDocument/2006/relationships/hyperlink" Target="https://assets.publishing.service.gov.uk/government/uploads/system/uploads/attachment_data/file/789338/frs-carers-data-tables-2017-18.xlsx" TargetMode="External"/><Relationship Id="rId143" Type="http://schemas.openxmlformats.org/officeDocument/2006/relationships/hyperlink" Target="https://www.england.nhs.uk/statistics/wp-content/uploads/sites/2/2020/03/Trust-Type-B-January-2020-17XGa.xls" TargetMode="External"/><Relationship Id="rId148" Type="http://schemas.openxmlformats.org/officeDocument/2006/relationships/hyperlink" Target="https://files.digital.nhs.uk/C4/9FBB8A/ASCFR%20and%20SALT%20Reference%20Tables%202018-19.xlsx" TargetMode="External"/><Relationship Id="rId164" Type="http://schemas.openxmlformats.org/officeDocument/2006/relationships/hyperlink" Target="https://www.england.nhs.uk/wp-content/uploads/2018/11/bcf-q4-18-19-data-aggregation.xlsx" TargetMode="External"/><Relationship Id="rId169" Type="http://schemas.openxmlformats.org/officeDocument/2006/relationships/hyperlink" Target="https://www.england.nhs.uk/wp-content/uploads/2018/11/bcf-q4-18-19-data-aggregation.xlsx" TargetMode="External"/><Relationship Id="rId185" Type="http://schemas.openxmlformats.org/officeDocument/2006/relationships/hyperlink" Target="https://www.ifs.org.uk/uploads/ELSA_Wave_8_report.pdf" TargetMode="External"/><Relationship Id="rId4" Type="http://schemas.openxmlformats.org/officeDocument/2006/relationships/hyperlink" Target="https://files.digital.nhs.uk/C4/9FBB8A/ASCFR%20and%20SALT%20Reference%20Tables%202018-19.xlsx" TargetMode="External"/><Relationship Id="rId9" Type="http://schemas.openxmlformats.org/officeDocument/2006/relationships/hyperlink" Target="https://files.digital.nhs.uk/C4/9FBB8A/ASCFR%20and%20SALT%20Reference%20Tables%202018-19.xlsx" TargetMode="External"/><Relationship Id="rId180" Type="http://schemas.openxmlformats.org/officeDocument/2006/relationships/hyperlink" Target="https://assets.publishing.service.gov.uk/government/uploads/system/uploads/attachment_data/file/789333/frs-income-and-state-support-data-tables-2017-18.xlsx" TargetMode="External"/><Relationship Id="rId26" Type="http://schemas.openxmlformats.org/officeDocument/2006/relationships/hyperlink" Target="https://files.digital.nhs.uk/C4/9FBB8A/ASCFR%20and%20SALT%20Reference%20Tables%202018-19.xlsx" TargetMode="External"/><Relationship Id="rId47" Type="http://schemas.openxmlformats.org/officeDocument/2006/relationships/hyperlink" Target="https://files.digital.nhs.uk/C4/9FBB8A/ASCFR%20and%20SALT%20Reference%20Tables%202018-19.xlsx" TargetMode="External"/><Relationship Id="rId68" Type="http://schemas.openxmlformats.org/officeDocument/2006/relationships/hyperlink" Target="https://files.digital.nhs.uk/AD/40A2F1/ASCFR%20%28NCE%29%20Reference%20Tables%202018-19.xlsx" TargetMode="External"/><Relationship Id="rId89" Type="http://schemas.openxmlformats.org/officeDocument/2006/relationships/hyperlink" Target="https://files.digital.nhs.uk/D8/DB95A9/dols-eng-demographics-2018-19.xlsx" TargetMode="External"/><Relationship Id="rId112" Type="http://schemas.openxmlformats.org/officeDocument/2006/relationships/hyperlink" Target="https://fingertips.phe.org.uk/profile/end-of-life/data" TargetMode="External"/><Relationship Id="rId133" Type="http://schemas.openxmlformats.org/officeDocument/2006/relationships/hyperlink" Target="https://assets.publishing.service.gov.uk/government/uploads/system/uploads/attachment_data/file/853005/RA_2019-20_data_by_LA_upd.xlsx" TargetMode="External"/><Relationship Id="rId154" Type="http://schemas.openxmlformats.org/officeDocument/2006/relationships/hyperlink" Target="https://www.england.nhs.uk/wp-content/uploads/2018/11/bcf-q4-18-19-data-aggregation.xlsx" TargetMode="External"/><Relationship Id="rId175" Type="http://schemas.openxmlformats.org/officeDocument/2006/relationships/hyperlink" Target="https://assets.publishing.service.gov.uk/government/uploads/system/uploads/attachment_data/file/836599/iBCF_LA_data_1819.xlsx" TargetMode="External"/><Relationship Id="rId196" Type="http://schemas.openxmlformats.org/officeDocument/2006/relationships/hyperlink" Target="https://www.ifs.org.uk/uploads/ELSA_Wave_8_report.pdf" TargetMode="External"/><Relationship Id="rId200" Type="http://schemas.openxmlformats.org/officeDocument/2006/relationships/hyperlink" Target="https://www.ifs.org.uk/uploads/ELSA_Wave_8_report.pdf" TargetMode="External"/><Relationship Id="rId16" Type="http://schemas.openxmlformats.org/officeDocument/2006/relationships/hyperlink" Target="https://files.digital.nhs.uk/C4/9FBB8A/ASCFR%20and%20SALT%20Reference%20Tables%202018-19.xlsx" TargetMode="External"/><Relationship Id="rId37" Type="http://schemas.openxmlformats.org/officeDocument/2006/relationships/hyperlink" Target="https://files.digital.nhs.uk/C4/9FBB8A/ASCFR%20and%20SALT%20Reference%20Tables%202018-19.xlsx" TargetMode="External"/><Relationship Id="rId58" Type="http://schemas.openxmlformats.org/officeDocument/2006/relationships/hyperlink" Target="https://files.digital.nhs.uk/AD/40A2F1/ASCFR%20%28NCE%29%20Reference%20Tables%202018-19.xlsx" TargetMode="External"/><Relationship Id="rId79" Type="http://schemas.openxmlformats.org/officeDocument/2006/relationships/hyperlink" Target="https://digital.nhs.uk/binaries/content/assets/website-assets/data-collections/social-care-collections-2018/salt-return-2018-19.xlsx" TargetMode="External"/><Relationship Id="rId102" Type="http://schemas.openxmlformats.org/officeDocument/2006/relationships/hyperlink" Target="https://files.digital.nhs.uk/publicationimport/pub22xxx/pub22240/pss-exp-eng-15-16-fin-ref.xls" TargetMode="External"/><Relationship Id="rId123" Type="http://schemas.openxmlformats.org/officeDocument/2006/relationships/hyperlink" Target="https://stat-xplore.dwp.gov.uk/webapi/jsf/dataCatalogueExplorer.xhtml" TargetMode="External"/><Relationship Id="rId144" Type="http://schemas.openxmlformats.org/officeDocument/2006/relationships/hyperlink" Target="https://www.england.nhs.uk/statistics/wp-content/uploads/sites/2/2020/03/Trust-Type-B-January-2020-17XGa.xls" TargetMode="External"/><Relationship Id="rId90" Type="http://schemas.openxmlformats.org/officeDocument/2006/relationships/hyperlink" Target="https://files.digital.nhs.uk/EE/9264EB/dols-eng-timeframes-2018-19.xlsx" TargetMode="External"/><Relationship Id="rId165" Type="http://schemas.openxmlformats.org/officeDocument/2006/relationships/hyperlink" Target="https://www.england.nhs.uk/wp-content/uploads/2018/11/bcf-q4-18-19-data-aggregation.xlsx" TargetMode="External"/><Relationship Id="rId186" Type="http://schemas.openxmlformats.org/officeDocument/2006/relationships/hyperlink" Target="https://www.ifs.org.uk/uploads/ELSA_Wave_8_report.pdf" TargetMode="External"/><Relationship Id="rId27" Type="http://schemas.openxmlformats.org/officeDocument/2006/relationships/hyperlink" Target="https://files.digital.nhs.uk/C4/9FBB8A/ASCFR%20and%20SALT%20Reference%20Tables%202018-19.xlsx" TargetMode="External"/><Relationship Id="rId48" Type="http://schemas.openxmlformats.org/officeDocument/2006/relationships/hyperlink" Target="https://files.digital.nhs.uk/C4/9FBB8A/ASCFR%20and%20SALT%20Reference%20Tables%202018-19.xlsx" TargetMode="External"/><Relationship Id="rId69" Type="http://schemas.openxmlformats.org/officeDocument/2006/relationships/hyperlink" Target="https://files.digital.nhs.uk/80/CD044C/meas-from-asc-of-eng-1819-disag-anx.xlsx" TargetMode="External"/><Relationship Id="rId113" Type="http://schemas.openxmlformats.org/officeDocument/2006/relationships/hyperlink" Target="https://fingertips.phe.org.uk/profile/end-of-life/data" TargetMode="External"/><Relationship Id="rId134" Type="http://schemas.openxmlformats.org/officeDocument/2006/relationships/hyperlink" Target="https://assets.publishing.service.gov.uk/government/uploads/system/uploads/attachment_data/file/853005/RA_2019-20_data_by_LA_upd.xlsx" TargetMode="External"/><Relationship Id="rId80" Type="http://schemas.openxmlformats.org/officeDocument/2006/relationships/hyperlink" Target="https://digital.nhs.uk/binaries/content/assets/website-assets/data-collections/social-care-collections-2018/salt-return-2018-19.xlsx" TargetMode="External"/><Relationship Id="rId155" Type="http://schemas.openxmlformats.org/officeDocument/2006/relationships/hyperlink" Target="https://www.england.nhs.uk/wp-content/uploads/2018/11/bcf-q4-18-19-data-aggregation.xlsx" TargetMode="External"/><Relationship Id="rId176" Type="http://schemas.openxmlformats.org/officeDocument/2006/relationships/hyperlink" Target="https://assets.publishing.service.gov.uk/government/uploads/system/uploads/attachment_data/file/836599/iBCF_LA_data_1819.xlsx" TargetMode="External"/><Relationship Id="rId197" Type="http://schemas.openxmlformats.org/officeDocument/2006/relationships/hyperlink" Target="https://www.ifs.org.uk/uploads/ELSA_Wave_8_report.pdf" TargetMode="External"/><Relationship Id="rId201" Type="http://schemas.openxmlformats.org/officeDocument/2006/relationships/printerSettings" Target="../printerSettings/printerSettings3.bin"/><Relationship Id="rId17" Type="http://schemas.openxmlformats.org/officeDocument/2006/relationships/hyperlink" Target="https://files.digital.nhs.uk/C4/9FBB8A/ASCFR%20and%20SALT%20Reference%20Tables%202018-19.xlsx" TargetMode="External"/><Relationship Id="rId38" Type="http://schemas.openxmlformats.org/officeDocument/2006/relationships/hyperlink" Target="https://files.digital.nhs.uk/C4/9FBB8A/ASCFR%20and%20SALT%20Reference%20Tables%202018-19.xlsx" TargetMode="External"/><Relationship Id="rId59" Type="http://schemas.openxmlformats.org/officeDocument/2006/relationships/hyperlink" Target="https://files.digital.nhs.uk/AD/40A2F1/ASCFR%20%28NCE%29%20Reference%20Tables%202018-19.xlsx" TargetMode="External"/><Relationship Id="rId103" Type="http://schemas.openxmlformats.org/officeDocument/2006/relationships/hyperlink" Target="https://files.digital.nhs.uk/65/AA3FBC/ASC%20WDS%20Reference%20Tables%202019%20Final.xlsx" TargetMode="External"/><Relationship Id="rId124" Type="http://schemas.openxmlformats.org/officeDocument/2006/relationships/hyperlink" Target="https://stat-xplore.dwp.gov.uk/webapi/jsf/dataCatalogueExplorer.xhtml" TargetMode="External"/><Relationship Id="rId70" Type="http://schemas.openxmlformats.org/officeDocument/2006/relationships/hyperlink" Target="https://digital.nhs.uk/binaries/content/assets/website-assets/data-collections/social-care-collections-2018/salt-return-2018-19.xlsx" TargetMode="External"/><Relationship Id="rId91" Type="http://schemas.openxmlformats.org/officeDocument/2006/relationships/hyperlink" Target="https://files.digital.nhs.uk/EE/9264EB/dols-eng-timeframes-2018-19.xlsx" TargetMode="External"/><Relationship Id="rId145" Type="http://schemas.openxmlformats.org/officeDocument/2006/relationships/hyperlink" Target="https://www.england.nhs.uk/statistics/wp-content/uploads/sites/2/2020/02/Winter-SitRep-Acute-Web-File-17-February-2020-23-February-2020-.xlsx" TargetMode="External"/><Relationship Id="rId166" Type="http://schemas.openxmlformats.org/officeDocument/2006/relationships/hyperlink" Target="https://www.england.nhs.uk/wp-content/uploads/2018/11/bcf-q4-18-19-data-aggregation.xlsx" TargetMode="External"/><Relationship Id="rId187" Type="http://schemas.openxmlformats.org/officeDocument/2006/relationships/hyperlink" Target="https://www.ifs.org.uk/uploads/ELSA_Wave_8_report.pdf" TargetMode="External"/><Relationship Id="rId1" Type="http://schemas.openxmlformats.org/officeDocument/2006/relationships/hyperlink" Target="https://files.digital.nhs.uk/C4/9FBB8A/ASCFR%20and%20SALT%20Reference%20Tables%202018-19.xlsx" TargetMode="External"/><Relationship Id="rId28" Type="http://schemas.openxmlformats.org/officeDocument/2006/relationships/hyperlink" Target="https://files.digital.nhs.uk/C4/9FBB8A/ASCFR%20and%20SALT%20Reference%20Tables%202018-19.xlsx" TargetMode="External"/><Relationship Id="rId49" Type="http://schemas.openxmlformats.org/officeDocument/2006/relationships/hyperlink" Target="https://files.digital.nhs.uk/C4/9FBB8A/ASCFR%20and%20SALT%20Reference%20Tables%202018-19.xlsx" TargetMode="External"/><Relationship Id="rId114" Type="http://schemas.openxmlformats.org/officeDocument/2006/relationships/hyperlink" Target="https://fingertips.phe.org.uk/profile/end-of-life/data" TargetMode="External"/><Relationship Id="rId60" Type="http://schemas.openxmlformats.org/officeDocument/2006/relationships/hyperlink" Target="https://files.digital.nhs.uk/AD/40A2F1/ASCFR%20%28NCE%29%20Reference%20Tables%202018-19.xlsx" TargetMode="External"/><Relationship Id="rId81" Type="http://schemas.openxmlformats.org/officeDocument/2006/relationships/hyperlink" Target="https://files.digital.nhs.uk/80/CD044C/meas-from-asc-of-eng-1819-disag-anx.xlsx" TargetMode="External"/><Relationship Id="rId135" Type="http://schemas.openxmlformats.org/officeDocument/2006/relationships/hyperlink" Target="https://assets.publishing.service.gov.uk/government/uploads/system/uploads/attachment_data/file/853005/RA_2019-20_data_by_LA_upd.xlsx" TargetMode="External"/><Relationship Id="rId156" Type="http://schemas.openxmlformats.org/officeDocument/2006/relationships/hyperlink" Target="https://www.england.nhs.uk/wp-content/uploads/2018/11/bcf-q4-18-19-data-aggregation.xlsx" TargetMode="External"/><Relationship Id="rId177" Type="http://schemas.openxmlformats.org/officeDocument/2006/relationships/hyperlink" Target="https://files.digital.nhs.uk/E5/457EE4/DPA%20Reference%20Tables%202018-19.xlsx" TargetMode="External"/><Relationship Id="rId198" Type="http://schemas.openxmlformats.org/officeDocument/2006/relationships/hyperlink" Target="https://www.ifs.org.uk/uploads/ELSA_Wave_8_report.pdf" TargetMode="External"/><Relationship Id="rId202" Type="http://schemas.openxmlformats.org/officeDocument/2006/relationships/vmlDrawing" Target="../drawings/vmlDrawing6.vml"/><Relationship Id="rId18" Type="http://schemas.openxmlformats.org/officeDocument/2006/relationships/hyperlink" Target="https://files.digital.nhs.uk/C4/9FBB8A/ASCFR%20and%20SALT%20Reference%20Tables%202018-19.xlsx" TargetMode="External"/><Relationship Id="rId39" Type="http://schemas.openxmlformats.org/officeDocument/2006/relationships/hyperlink" Target="https://files.digital.nhs.uk/C4/9FBB8A/ASCFR%20and%20SALT%20Reference%20Tables%202018-19.xlsx" TargetMode="External"/><Relationship Id="rId50" Type="http://schemas.openxmlformats.org/officeDocument/2006/relationships/hyperlink" Target="https://files.digital.nhs.uk/C4/9FBB8A/ASCFR%20and%20SALT%20Reference%20Tables%202018-19.xlsx" TargetMode="External"/><Relationship Id="rId104" Type="http://schemas.openxmlformats.org/officeDocument/2006/relationships/hyperlink" Target="https://files.digital.nhs.uk/65/AA3FBC/ASC%20WDS%20Reference%20Tables%202019%20Final.xlsx" TargetMode="External"/><Relationship Id="rId125" Type="http://schemas.openxmlformats.org/officeDocument/2006/relationships/hyperlink" Target="https://www.gpcontract.co.uk/browse/ENG/Dementia/19" TargetMode="External"/><Relationship Id="rId146" Type="http://schemas.openxmlformats.org/officeDocument/2006/relationships/hyperlink" Target="https://assets.publishing.service.gov.uk/government/uploads/system/uploads/attachment_data/file/812518/SG_2019-20_data_by_LA.xlsx" TargetMode="External"/><Relationship Id="rId167" Type="http://schemas.openxmlformats.org/officeDocument/2006/relationships/hyperlink" Target="https://www.england.nhs.uk/wp-content/uploads/2018/11/bcf-q4-18-19-data-aggregation.xlsx" TargetMode="External"/><Relationship Id="rId188" Type="http://schemas.openxmlformats.org/officeDocument/2006/relationships/hyperlink" Target="https://www.ifs.org.uk/uploads/ELSA_Wave_8_report.pdf" TargetMode="External"/><Relationship Id="rId71" Type="http://schemas.openxmlformats.org/officeDocument/2006/relationships/hyperlink" Target="https://digital.nhs.uk/binaries/content/assets/website-assets/data-collections/social-care-collections-2018/salt-return-2018-19.xlsx" TargetMode="External"/><Relationship Id="rId92" Type="http://schemas.openxmlformats.org/officeDocument/2006/relationships/hyperlink" Target="https://files.digital.nhs.uk/4A/FCC61C/guar-unde-ment-heal-act-1983-eng-1618-annex%20A-ref-tab%20Final.xlsx" TargetMode="External"/><Relationship Id="rId2" Type="http://schemas.openxmlformats.org/officeDocument/2006/relationships/hyperlink" Target="https://files.digital.nhs.uk/C4/9FBB8A/ASCFR%20and%20SALT%20Reference%20Tables%202018-19.xlsx" TargetMode="External"/><Relationship Id="rId29" Type="http://schemas.openxmlformats.org/officeDocument/2006/relationships/hyperlink" Target="https://files.digital.nhs.uk/C4/9FBB8A/ASCFR%20and%20SALT%20Reference%20Tables%202018-19.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6" Type="http://schemas.openxmlformats.org/officeDocument/2006/relationships/hyperlink" Target="https://files.digital.nhs.uk/publicationimport/pub22xxx/pub22240/pss-exp-eng-15-16-fin-dq.pdf" TargetMode="External"/><Relationship Id="rId21" Type="http://schemas.openxmlformats.org/officeDocument/2006/relationships/hyperlink" Target="https://files.digital.nhs.uk/C2/BA9328/PSS_SACE_Data_Quality_Statement_2018-19.pdf" TargetMode="External"/><Relationship Id="rId42" Type="http://schemas.openxmlformats.org/officeDocument/2006/relationships/hyperlink" Target="https://fingertips.phe.org.uk/profile/end-of-life/data" TargetMode="External"/><Relationship Id="rId47" Type="http://schemas.openxmlformats.org/officeDocument/2006/relationships/hyperlink" Target="https://www.skillsforcare.org.uk/adult-social-care-workforce-data/Workforce-intelligence/documents/ASC-Workforce-Statistical-Appendix-2019.xlsx" TargetMode="External"/><Relationship Id="rId63" Type="http://schemas.openxmlformats.org/officeDocument/2006/relationships/hyperlink" Target="https://www.kingsfund.org.uk/publications/public-satisfaction-nhs-social-care-2018" TargetMode="External"/><Relationship Id="rId68" Type="http://schemas.openxmlformats.org/officeDocument/2006/relationships/hyperlink" Target="https://files.digital.nhs.uk/CA/2393EF/HSE18-Methods-rep.pdf" TargetMode="External"/><Relationship Id="rId16" Type="http://schemas.openxmlformats.org/officeDocument/2006/relationships/hyperlink" Target="https://digital.nhs.uk/data-and-information/publications/statistical/learning-disability-services-statistics" TargetMode="External"/><Relationship Id="rId11" Type="http://schemas.openxmlformats.org/officeDocument/2006/relationships/hyperlink" Target="https://digital.nhs.uk/binaries/content/assets/website-assets/data-and-information/data-collections/social-care-collections-2019/asc-fr-guidance-2018-19-v1.2-final.pdf" TargetMode="External"/><Relationship Id="rId24" Type="http://schemas.openxmlformats.org/officeDocument/2006/relationships/hyperlink" Target="https://files.digital.nhs.uk/0E/5F058D/pss-ascs-eng-1819_Data_Quality_report.pdf" TargetMode="External"/><Relationship Id="rId32" Type="http://schemas.openxmlformats.org/officeDocument/2006/relationships/hyperlink" Target="https://digital.nhs.uk/data-and-information/publications/statistical/safeguarding-adults/annual-report-2018-19-england/data-quality-statement" TargetMode="External"/><Relationship Id="rId37" Type="http://schemas.openxmlformats.org/officeDocument/2006/relationships/hyperlink" Target="https://www.england.nhs.uk/statistics/wp-content/uploads/sites/2/2020/02/CHC-and-FNC-Statistical-Release-Q3-2019-20.pdf" TargetMode="External"/><Relationship Id="rId40" Type="http://schemas.openxmlformats.org/officeDocument/2006/relationships/hyperlink" Target="https://www.ons.gov.uk/economy/economicoutputandproductivity/publicservicesproductivity/articles/publicserviceproductivityadultsocialcareengland/financialyearending2019" TargetMode="External"/><Relationship Id="rId45" Type="http://schemas.openxmlformats.org/officeDocument/2006/relationships/hyperlink" Target="https://www.skillsforcare.org.uk/adult-social-care-workforce-data/Workforce-intelligence/publications/national-information/The-state-of-the-adult-social-care-sector-and-workforce-in-England.aspx" TargetMode="External"/><Relationship Id="rId53" Type="http://schemas.openxmlformats.org/officeDocument/2006/relationships/hyperlink" Target="https://assets.publishing.service.gov.uk/government/uploads/system/uploads/attachment_data/file/789455/family-resources-survey-2017-18-background-note-methodology.pdf" TargetMode="External"/><Relationship Id="rId58" Type="http://schemas.openxmlformats.org/officeDocument/2006/relationships/hyperlink" Target="https://assets.publishing.service.gov.uk/government/uploads/system/uploads/attachment_data/file/836598/iBCF_End_of_year_report_1819.pdf" TargetMode="External"/><Relationship Id="rId66" Type="http://schemas.openxmlformats.org/officeDocument/2006/relationships/hyperlink" Target="https://www.neural.org.uk/wp-content/uploads/2019/07/Neuro-Patience-Technical-Report.pdf" TargetMode="External"/><Relationship Id="rId74" Type="http://schemas.openxmlformats.org/officeDocument/2006/relationships/hyperlink" Target="https://digital.nhs.uk/data-and-information/publications/statistical/deferred-payment-agreements/2018-19/data-quality-statement" TargetMode="External"/><Relationship Id="rId79" Type="http://schemas.openxmlformats.org/officeDocument/2006/relationships/printerSettings" Target="../printerSettings/printerSettings4.bin"/><Relationship Id="rId5" Type="http://schemas.openxmlformats.org/officeDocument/2006/relationships/hyperlink" Target="https://files.digital.nhs.uk/19/C45DF7/meas-from-asc-of-eng-1819-Appendices.pdf" TargetMode="External"/><Relationship Id="rId61" Type="http://schemas.openxmlformats.org/officeDocument/2006/relationships/hyperlink" Target="https://assets.publishing.service.gov.uk/government/uploads/system/uploads/attachment_data/file/812505/Local_Authority_Revenue_Expenditure_and_Financing_2019-20_Budget__England.pdf" TargetMode="External"/><Relationship Id="rId19" Type="http://schemas.openxmlformats.org/officeDocument/2006/relationships/hyperlink" Target="https://digital.nhs.uk/data-and-information/publications/statistical/personal-social-services-survey-of-adult-carers/england-2018-19" TargetMode="External"/><Relationship Id="rId14" Type="http://schemas.openxmlformats.org/officeDocument/2006/relationships/hyperlink" Target="https://digital.nhs.uk/data-and-information/publications/statistical/guardianship-under-the-mental-health-act-1983" TargetMode="External"/><Relationship Id="rId22" Type="http://schemas.openxmlformats.org/officeDocument/2006/relationships/hyperlink" Target="https://digital.nhs.uk/data-and-information/publications/statistical/personal-social-services-adult-social-care-survey" TargetMode="External"/><Relationship Id="rId27" Type="http://schemas.openxmlformats.org/officeDocument/2006/relationships/hyperlink" Target="https://files.digital.nhs.uk/publicationimport/pub22xxx/pub22240/pss-exp-eng-15-16-fin-dq.pdf" TargetMode="External"/><Relationship Id="rId30" Type="http://schemas.openxmlformats.org/officeDocument/2006/relationships/hyperlink" Target="https://digital.nhs.uk/data-and-information/publications/statistical/personal-social-services-staff-of-social-services-departments/england-2019/data-quality-statement" TargetMode="External"/><Relationship Id="rId35" Type="http://schemas.openxmlformats.org/officeDocument/2006/relationships/hyperlink" Target="https://www.england.nhs.uk/statistics/statistical-work-areas/nhs-chc-fnc/" TargetMode="External"/><Relationship Id="rId43" Type="http://schemas.openxmlformats.org/officeDocument/2006/relationships/hyperlink" Target="https://fingertips.phe.org.uk/profile/end-of-life/data" TargetMode="External"/><Relationship Id="rId48" Type="http://schemas.openxmlformats.org/officeDocument/2006/relationships/hyperlink" Target="https://www.england.nhs.uk/statistics/statistical-work-areas/winter-daily-sitreps/winter-daily-sitrep-2019-20-data/" TargetMode="External"/><Relationship Id="rId56" Type="http://schemas.openxmlformats.org/officeDocument/2006/relationships/hyperlink" Target="https://www.gov.uk/government/publications/disabled-facilities-grant-and-other-adaptations-external-review" TargetMode="External"/><Relationship Id="rId64" Type="http://schemas.openxmlformats.org/officeDocument/2006/relationships/hyperlink" Target="https://www.kingsfund.org.uk/sites/default/files/2019-03/Public_satisfaction_with_NHS_social_care_in_2018.pdf" TargetMode="External"/><Relationship Id="rId69" Type="http://schemas.openxmlformats.org/officeDocument/2006/relationships/hyperlink" Target="https://files.digital.nhs.uk/84/15B76C/HSE18-Data-Quality-v3.pdf" TargetMode="External"/><Relationship Id="rId77" Type="http://schemas.openxmlformats.org/officeDocument/2006/relationships/hyperlink" Target="https://www.kingsfund.org.uk/publications/public-satisfaction-nhs-social-care-2018" TargetMode="External"/><Relationship Id="rId8" Type="http://schemas.openxmlformats.org/officeDocument/2006/relationships/hyperlink" Target="https://files.digital.nhs.uk/19/C45DF7/meas-from-asc-of-eng-1819-Appendices.pdf" TargetMode="External"/><Relationship Id="rId51" Type="http://schemas.openxmlformats.org/officeDocument/2006/relationships/hyperlink" Target="https://www.cqc.org.uk/publications/major-report/state-care" TargetMode="External"/><Relationship Id="rId72" Type="http://schemas.openxmlformats.org/officeDocument/2006/relationships/hyperlink" Target="https://digital.nhs.uk/data-and-information/publications/statistical/deferred-payment-agreements" TargetMode="External"/><Relationship Id="rId80" Type="http://schemas.openxmlformats.org/officeDocument/2006/relationships/table" Target="../tables/table5.xml"/><Relationship Id="rId3" Type="http://schemas.openxmlformats.org/officeDocument/2006/relationships/hyperlink" Target="https://digital.nhs.uk/data-and-information/publications/statistical/adult-social-care-activity-and-finance-report" TargetMode="External"/><Relationship Id="rId12" Type="http://schemas.openxmlformats.org/officeDocument/2006/relationships/hyperlink" Target="https://digital.nhs.uk/data-and-information/publications/statistical/mental-capacity-act-2005-deprivation-of-liberty-safeguards-assessments" TargetMode="External"/><Relationship Id="rId17" Type="http://schemas.openxmlformats.org/officeDocument/2006/relationships/hyperlink" Target="https://files.digital.nhs.uk/37/CA1829/ldsm-jan-20-main-report.pdf" TargetMode="External"/><Relationship Id="rId25" Type="http://schemas.openxmlformats.org/officeDocument/2006/relationships/hyperlink" Target="https://digital.nhs.uk/data-and-information/publications/statistical/personal-social-services-expenditure-and-unit-costs" TargetMode="External"/><Relationship Id="rId33" Type="http://schemas.openxmlformats.org/officeDocument/2006/relationships/hyperlink" Target="https://digital.nhs.uk/data-and-information/publications/statistical/safeguarding-adults/annual-report-2018-19-england/data-quality-statement" TargetMode="External"/><Relationship Id="rId38" Type="http://schemas.openxmlformats.org/officeDocument/2006/relationships/hyperlink" Target="https://www.england.nhs.uk/statistics/wp-content/uploads/sites/2/2020/02/CHC-and-FNC-Report-Q3-2019-20_z5qnTp.pdf" TargetMode="External"/><Relationship Id="rId46" Type="http://schemas.openxmlformats.org/officeDocument/2006/relationships/hyperlink" Target="https://www.skillsforcare.org.uk/adult-social-care-workforce-data/Workforce-intelligence/Our-work/Our-data.aspx" TargetMode="External"/><Relationship Id="rId59" Type="http://schemas.openxmlformats.org/officeDocument/2006/relationships/hyperlink" Target="https://assets.publishing.service.gov.uk/government/uploads/system/uploads/attachment_data/file/836598/iBCF_End_of_year_report_1819.pdf" TargetMode="External"/><Relationship Id="rId67" Type="http://schemas.openxmlformats.org/officeDocument/2006/relationships/hyperlink" Target="https://digital.nhs.uk/data-and-information/publications/statistical/health-survey-for-england" TargetMode="External"/><Relationship Id="rId20" Type="http://schemas.openxmlformats.org/officeDocument/2006/relationships/hyperlink" Target="https://files.digital.nhs.uk/2C/7E21D3/PSS_SACE_Methodology_and_Further_Information_2018-19.pdf" TargetMode="External"/><Relationship Id="rId41" Type="http://schemas.openxmlformats.org/officeDocument/2006/relationships/hyperlink" Target="https://www.ons.gov.uk/economy/economicoutputandproductivity/publicservicesproductivity/articles/publicserviceproductivityadultsocialcareengland/financialyearending2019" TargetMode="External"/><Relationship Id="rId54" Type="http://schemas.openxmlformats.org/officeDocument/2006/relationships/hyperlink" Target="https://www.gov.uk/government/organisations/department-for-work-pensions/about/statistics" TargetMode="External"/><Relationship Id="rId62" Type="http://schemas.openxmlformats.org/officeDocument/2006/relationships/hyperlink" Target="https://assets.publishing.service.gov.uk/government/uploads/system/uploads/attachment_data/file/812505/Local_Authority_Revenue_Expenditure_and_Financing_2019-20_Budget__England.pdf" TargetMode="External"/><Relationship Id="rId70" Type="http://schemas.openxmlformats.org/officeDocument/2006/relationships/hyperlink" Target="https://www.england.nhs.uk/publication/better-care-fund-quarterly-performance-report-2018-19/" TargetMode="External"/><Relationship Id="rId75" Type="http://schemas.openxmlformats.org/officeDocument/2006/relationships/hyperlink" Target="https://www.ifs.org.uk/uploads/ELSA_Wave_8_report.pdf" TargetMode="External"/><Relationship Id="rId1" Type="http://schemas.openxmlformats.org/officeDocument/2006/relationships/hyperlink" Target="https://digital.nhs.uk/data-and-information/publications/statistical/adult-social-care-activity-and-finance-report/2018-19/data-quality-statement" TargetMode="External"/><Relationship Id="rId6" Type="http://schemas.openxmlformats.org/officeDocument/2006/relationships/hyperlink" Target="https://digital.nhs.uk/data-and-information/data-collections-and-data-sets/data-collections/social-care-collections" TargetMode="External"/><Relationship Id="rId15" Type="http://schemas.openxmlformats.org/officeDocument/2006/relationships/hyperlink" Target="https://files.digital.nhs.uk/E2/38AA0F/guar-unde-ment-heal-act-1983-eng-1618-annex-B-data-qual.pdf" TargetMode="External"/><Relationship Id="rId23" Type="http://schemas.openxmlformats.org/officeDocument/2006/relationships/hyperlink" Target="https://files.digital.nhs.uk/BD/6D7209/pss-ascs-eng-1819-Methodology_report.pdf" TargetMode="External"/><Relationship Id="rId28" Type="http://schemas.openxmlformats.org/officeDocument/2006/relationships/hyperlink" Target="https://digital.nhs.uk/data-and-information/publications/statistical/personal-social-services-staff-of-social-services-departments" TargetMode="External"/><Relationship Id="rId36" Type="http://schemas.openxmlformats.org/officeDocument/2006/relationships/hyperlink" Target="https://www.england.nhs.uk/statistics/wp-content/uploads/sites/2/2018/11/Monthly-Delayed-Transfers-of-Care-Situation-Report-Principles-Definitions-and-Guidance.pdf" TargetMode="External"/><Relationship Id="rId49" Type="http://schemas.openxmlformats.org/officeDocument/2006/relationships/hyperlink" Target="https://improvement.nhs.uk/resources/how-to-complete-daily-sitreps/" TargetMode="External"/><Relationship Id="rId57" Type="http://schemas.openxmlformats.org/officeDocument/2006/relationships/hyperlink" Target="https://www.gov.uk/government/publications/improved-better-care-fund-2018-19-quarterly-and-year-end-reporting" TargetMode="External"/><Relationship Id="rId10" Type="http://schemas.openxmlformats.org/officeDocument/2006/relationships/hyperlink" Target="http://www.cipfastats.net/sercop/" TargetMode="External"/><Relationship Id="rId31" Type="http://schemas.openxmlformats.org/officeDocument/2006/relationships/hyperlink" Target="https://digital.nhs.uk/data-and-information/publications/statistical/safeguarding-adults" TargetMode="External"/><Relationship Id="rId44" Type="http://schemas.openxmlformats.org/officeDocument/2006/relationships/hyperlink" Target="https://fingertips.phe.org.uk/profile/end-of-life/data" TargetMode="External"/><Relationship Id="rId52" Type="http://schemas.openxmlformats.org/officeDocument/2006/relationships/hyperlink" Target="https://www.gov.uk/government/collections/family-resources-survey--2" TargetMode="External"/><Relationship Id="rId60" Type="http://schemas.openxmlformats.org/officeDocument/2006/relationships/hyperlink" Target="https://www.gov.uk/government/collections/local-authority-revenue-expenditure-and-financing" TargetMode="External"/><Relationship Id="rId65" Type="http://schemas.openxmlformats.org/officeDocument/2006/relationships/hyperlink" Target="https://www.neural.org.uk/patient-experience-survey/" TargetMode="External"/><Relationship Id="rId73" Type="http://schemas.openxmlformats.org/officeDocument/2006/relationships/hyperlink" Target="https://digital.nhs.uk/data-and-information/publications/statistical/deferred-payment-agreements/2018-19/data-quality-issues-to-note" TargetMode="External"/><Relationship Id="rId78" Type="http://schemas.openxmlformats.org/officeDocument/2006/relationships/hyperlink" Target="https://files.digital.nhs.uk/E2/38AA0F/guar-unde-ment-heal-act-1983-eng-1618-annex-B-data-qual.pdf" TargetMode="External"/><Relationship Id="rId4" Type="http://schemas.openxmlformats.org/officeDocument/2006/relationships/hyperlink" Target="https://digital.nhs.uk/data-and-information/publications/statistical/adult-social-care-outcomes-framework-ascof" TargetMode="External"/><Relationship Id="rId9" Type="http://schemas.openxmlformats.org/officeDocument/2006/relationships/hyperlink" Target="https://digital.nhs.uk/data-and-information/data-collections-and-data-sets/data-collections/social-care-collection-materials-2019" TargetMode="External"/><Relationship Id="rId13" Type="http://schemas.openxmlformats.org/officeDocument/2006/relationships/hyperlink" Target="https://digital.nhs.uk/data-and-information/publications/statistical/mental-capacity-act-2005-deprivation-of-liberty-safeguards-assessments/england-2018-19/data-quality-statement" TargetMode="External"/><Relationship Id="rId18" Type="http://schemas.openxmlformats.org/officeDocument/2006/relationships/hyperlink" Target="https://files.digital.nhs.uk/37/CA1829/ldsm-jan-20-main-report.pdf" TargetMode="External"/><Relationship Id="rId39" Type="http://schemas.openxmlformats.org/officeDocument/2006/relationships/hyperlink" Target="https://www.ons.gov.uk/releases/publicserviceproductivityadultsocialcareenglandfinancialyearending2019" TargetMode="External"/><Relationship Id="rId34" Type="http://schemas.openxmlformats.org/officeDocument/2006/relationships/hyperlink" Target="https://www.england.nhs.uk/statistics/statistical-work-areas/delayed-transfers-of-care/" TargetMode="External"/><Relationship Id="rId50" Type="http://schemas.openxmlformats.org/officeDocument/2006/relationships/hyperlink" Target="https://www.cqc.org.uk/publications/major-report/state-care" TargetMode="External"/><Relationship Id="rId55" Type="http://schemas.openxmlformats.org/officeDocument/2006/relationships/hyperlink" Target="https://www.gpcontract.co.uk/browse/ENG/19" TargetMode="External"/><Relationship Id="rId76" Type="http://schemas.openxmlformats.org/officeDocument/2006/relationships/hyperlink" Target="https://www.ifs.org.uk/uploads/ELSA_Wave_8_report.pdf" TargetMode="External"/><Relationship Id="rId7" Type="http://schemas.openxmlformats.org/officeDocument/2006/relationships/hyperlink" Target="https://files.digital.nhs.uk/19/C45DF7/meas-from-asc-of-eng-1819-Appendices.pdf" TargetMode="External"/><Relationship Id="rId71" Type="http://schemas.openxmlformats.org/officeDocument/2006/relationships/hyperlink" Target="https://www.gov.uk/government/publications/improved-better-care-fund-2018-19-quarterly-and-year-end-reporting" TargetMode="External"/><Relationship Id="rId2" Type="http://schemas.openxmlformats.org/officeDocument/2006/relationships/hyperlink" Target="https://digital.nhs.uk/data-and-information/publications/statistical/adult-social-care-activity-and-finance-report/2018-19/data-quality-statement" TargetMode="External"/><Relationship Id="rId29" Type="http://schemas.openxmlformats.org/officeDocument/2006/relationships/hyperlink" Target="https://digital.nhs.uk/data-and-information/publications/statistical/personal-social-services-staff-of-social-services-departments/england-2019/data-quality-statement"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6.xml"/><Relationship Id="rId1" Type="http://schemas.openxmlformats.org/officeDocument/2006/relationships/vmlDrawing" Target="../drawings/vmlDrawing7.vml"/><Relationship Id="rId4" Type="http://schemas.microsoft.com/office/2017/10/relationships/threadedComment" Target="../threadedComments/threadedComment6.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5.bin"/><Relationship Id="rId1" Type="http://schemas.openxmlformats.org/officeDocument/2006/relationships/hyperlink" Target="https://www.kingsfund.org.uk/sites/default/files/2019-05/social-care-360-pdf.pdf?utm_source=website&amp;utm_medium=social&amp;utm_term=thekingsfund&amp;utm_content=pdfreport&amp;utm_campaign=socialcare3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E36"/>
  <sheetViews>
    <sheetView workbookViewId="0">
      <selection activeCell="A17" sqref="A17"/>
    </sheetView>
  </sheetViews>
  <sheetFormatPr baseColWidth="10" defaultColWidth="8.83203125" defaultRowHeight="12" x14ac:dyDescent="0.15"/>
  <cols>
    <col min="1" max="1" width="54.33203125" style="1" customWidth="1"/>
    <col min="2" max="2" width="74.6640625" style="1" customWidth="1"/>
    <col min="3" max="3" width="19.1640625" style="1" bestFit="1" customWidth="1"/>
    <col min="4" max="16384" width="8.83203125" style="1"/>
  </cols>
  <sheetData>
    <row r="1" spans="1:5" x14ac:dyDescent="0.15">
      <c r="A1" s="2" t="s">
        <v>0</v>
      </c>
      <c r="B1" s="2" t="s">
        <v>1</v>
      </c>
      <c r="C1" s="13" t="s">
        <v>2</v>
      </c>
      <c r="D1" s="1" t="s">
        <v>3</v>
      </c>
    </row>
    <row r="2" spans="1:5" ht="44" customHeight="1" x14ac:dyDescent="0.15">
      <c r="A2" s="21" t="s">
        <v>4</v>
      </c>
      <c r="B2" s="89"/>
    </row>
    <row r="3" spans="1:5" ht="242" customHeight="1" x14ac:dyDescent="0.2">
      <c r="A3" s="21" t="s">
        <v>5</v>
      </c>
      <c r="B3" s="90"/>
      <c r="D3"/>
      <c r="E3"/>
    </row>
    <row r="4" spans="1:5" x14ac:dyDescent="0.15">
      <c r="A4" s="2" t="s">
        <v>6</v>
      </c>
      <c r="B4" s="90"/>
    </row>
    <row r="5" spans="1:5" x14ac:dyDescent="0.15">
      <c r="A5" s="18" t="s">
        <v>7</v>
      </c>
      <c r="B5" s="91"/>
    </row>
    <row r="6" spans="1:5" x14ac:dyDescent="0.15">
      <c r="A6" s="19" t="s">
        <v>8</v>
      </c>
      <c r="B6" s="91"/>
    </row>
    <row r="7" spans="1:5" x14ac:dyDescent="0.15">
      <c r="A7" s="19" t="s">
        <v>9</v>
      </c>
      <c r="B7" s="91"/>
    </row>
    <row r="8" spans="1:5" x14ac:dyDescent="0.15">
      <c r="A8" s="19" t="s">
        <v>10</v>
      </c>
      <c r="B8" s="91"/>
    </row>
    <row r="9" spans="1:5" x14ac:dyDescent="0.15">
      <c r="A9" s="19" t="s">
        <v>11</v>
      </c>
      <c r="B9" s="91"/>
    </row>
    <row r="10" spans="1:5" x14ac:dyDescent="0.15">
      <c r="A10" s="19" t="s">
        <v>12</v>
      </c>
      <c r="B10" s="91"/>
    </row>
    <row r="11" spans="1:5" x14ac:dyDescent="0.15">
      <c r="A11" s="19" t="s">
        <v>13</v>
      </c>
      <c r="B11" s="91"/>
    </row>
    <row r="12" spans="1:5" x14ac:dyDescent="0.15">
      <c r="A12" s="20" t="s">
        <v>14</v>
      </c>
      <c r="B12" s="91"/>
    </row>
    <row r="13" spans="1:5" x14ac:dyDescent="0.15">
      <c r="B13" s="90"/>
    </row>
    <row r="14" spans="1:5" x14ac:dyDescent="0.15">
      <c r="B14" s="90"/>
    </row>
    <row r="15" spans="1:5" x14ac:dyDescent="0.15">
      <c r="B15" s="90"/>
    </row>
    <row r="16" spans="1:5" x14ac:dyDescent="0.15">
      <c r="B16" s="90"/>
    </row>
    <row r="17" spans="2:2" x14ac:dyDescent="0.15">
      <c r="B17" s="90"/>
    </row>
    <row r="18" spans="2:2" x14ac:dyDescent="0.15">
      <c r="B18" s="90"/>
    </row>
    <row r="19" spans="2:2" x14ac:dyDescent="0.15">
      <c r="B19" s="90"/>
    </row>
    <row r="20" spans="2:2" x14ac:dyDescent="0.15">
      <c r="B20" s="90"/>
    </row>
    <row r="21" spans="2:2" x14ac:dyDescent="0.15">
      <c r="B21" s="90"/>
    </row>
    <row r="22" spans="2:2" x14ac:dyDescent="0.15">
      <c r="B22" s="90"/>
    </row>
    <row r="23" spans="2:2" x14ac:dyDescent="0.15">
      <c r="B23" s="90"/>
    </row>
    <row r="24" spans="2:2" x14ac:dyDescent="0.15">
      <c r="B24" s="90"/>
    </row>
    <row r="25" spans="2:2" x14ac:dyDescent="0.15">
      <c r="B25" s="90"/>
    </row>
    <row r="26" spans="2:2" x14ac:dyDescent="0.15">
      <c r="B26" s="90"/>
    </row>
    <row r="27" spans="2:2" x14ac:dyDescent="0.15">
      <c r="B27" s="90"/>
    </row>
    <row r="28" spans="2:2" x14ac:dyDescent="0.15">
      <c r="B28" s="90"/>
    </row>
    <row r="29" spans="2:2" x14ac:dyDescent="0.15">
      <c r="B29" s="90"/>
    </row>
    <row r="30" spans="2:2" x14ac:dyDescent="0.15">
      <c r="B30" s="90"/>
    </row>
    <row r="31" spans="2:2" x14ac:dyDescent="0.15">
      <c r="B31" s="90"/>
    </row>
    <row r="32" spans="2:2" x14ac:dyDescent="0.15">
      <c r="B32" s="90"/>
    </row>
    <row r="33" spans="2:2" x14ac:dyDescent="0.15">
      <c r="B33" s="90"/>
    </row>
    <row r="34" spans="2:2" x14ac:dyDescent="0.15">
      <c r="B34" s="90"/>
    </row>
    <row r="35" spans="2:2" x14ac:dyDescent="0.15">
      <c r="B35" s="90"/>
    </row>
    <row r="36" spans="2:2" x14ac:dyDescent="0.15">
      <c r="B36" s="92"/>
    </row>
  </sheetData>
  <mergeCells count="1">
    <mergeCell ref="B2:B36"/>
  </mergeCells>
  <hyperlinks>
    <hyperlink ref="C1" r:id="rId1" display="Data Model PlantUML link" xr:uid="{428CE65C-1E7F-4FA7-A4CE-67B166255202}"/>
  </hyperlinks>
  <pageMargins left="0.7" right="0.7" top="0.75" bottom="0.75" header="0.3" footer="0.3"/>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1C2E3-F2F8-474F-8802-35BCEFF11BCF}">
  <sheetPr>
    <tabColor theme="1"/>
  </sheetPr>
  <dimension ref="A1:L21"/>
  <sheetViews>
    <sheetView workbookViewId="0">
      <selection activeCell="G23" sqref="G23"/>
    </sheetView>
  </sheetViews>
  <sheetFormatPr baseColWidth="10" defaultColWidth="8.83203125" defaultRowHeight="12" x14ac:dyDescent="0.15"/>
  <cols>
    <col min="1" max="1" width="46.6640625" style="1" bestFit="1" customWidth="1"/>
    <col min="2" max="2" width="7.6640625" style="1" customWidth="1"/>
    <col min="3" max="16384" width="8.83203125" style="1"/>
  </cols>
  <sheetData>
    <row r="1" spans="1:11" x14ac:dyDescent="0.15">
      <c r="A1" s="2" t="s">
        <v>15</v>
      </c>
      <c r="B1" s="2"/>
      <c r="C1" s="93" t="s">
        <v>16</v>
      </c>
      <c r="D1" s="93"/>
      <c r="E1" s="93"/>
      <c r="F1" s="93"/>
      <c r="G1" s="93"/>
      <c r="H1" s="93"/>
      <c r="I1" s="93"/>
      <c r="J1" s="93"/>
      <c r="K1" s="93"/>
    </row>
    <row r="2" spans="1:11" x14ac:dyDescent="0.15">
      <c r="A2" s="10" t="s">
        <v>17</v>
      </c>
      <c r="B2" s="10" t="s">
        <v>18</v>
      </c>
      <c r="C2" s="11">
        <v>43885</v>
      </c>
      <c r="D2" s="11">
        <f t="shared" ref="D2:K2" si="0">C2+7</f>
        <v>43892</v>
      </c>
      <c r="E2" s="11">
        <f t="shared" si="0"/>
        <v>43899</v>
      </c>
      <c r="F2" s="11">
        <f t="shared" si="0"/>
        <v>43906</v>
      </c>
      <c r="G2" s="11">
        <f t="shared" si="0"/>
        <v>43913</v>
      </c>
      <c r="H2" s="11">
        <f t="shared" si="0"/>
        <v>43920</v>
      </c>
      <c r="I2" s="11">
        <f t="shared" si="0"/>
        <v>43927</v>
      </c>
      <c r="J2" s="11">
        <f t="shared" si="0"/>
        <v>43934</v>
      </c>
      <c r="K2" s="11">
        <f t="shared" si="0"/>
        <v>43941</v>
      </c>
    </row>
    <row r="3" spans="1:11" x14ac:dyDescent="0.15">
      <c r="A3" s="7" t="s">
        <v>19</v>
      </c>
      <c r="B3" s="3" t="s">
        <v>20</v>
      </c>
      <c r="C3" s="6"/>
      <c r="D3" s="6"/>
      <c r="E3" s="6"/>
    </row>
    <row r="4" spans="1:11" x14ac:dyDescent="0.15">
      <c r="A4" s="8" t="s">
        <v>21</v>
      </c>
      <c r="B4" s="3" t="s">
        <v>22</v>
      </c>
    </row>
    <row r="5" spans="1:11" x14ac:dyDescent="0.15">
      <c r="A5" s="8" t="s">
        <v>23</v>
      </c>
      <c r="B5" s="3" t="s">
        <v>24</v>
      </c>
    </row>
    <row r="6" spans="1:11" x14ac:dyDescent="0.15">
      <c r="A6" s="8" t="s">
        <v>25</v>
      </c>
      <c r="B6" s="3" t="s">
        <v>20</v>
      </c>
    </row>
    <row r="7" spans="1:11" x14ac:dyDescent="0.15">
      <c r="A7" s="8" t="s">
        <v>26</v>
      </c>
      <c r="B7" s="3" t="s">
        <v>20</v>
      </c>
    </row>
    <row r="8" spans="1:11" ht="6" customHeight="1" x14ac:dyDescent="0.15">
      <c r="B8" s="3"/>
    </row>
    <row r="9" spans="1:11" x14ac:dyDescent="0.15">
      <c r="A9" s="7" t="s">
        <v>27</v>
      </c>
      <c r="B9" s="3" t="s">
        <v>28</v>
      </c>
      <c r="E9" s="5"/>
      <c r="F9" s="4"/>
      <c r="G9" s="4"/>
      <c r="H9" s="4"/>
      <c r="I9" s="4"/>
      <c r="J9" s="5"/>
    </row>
    <row r="10" spans="1:11" x14ac:dyDescent="0.15">
      <c r="A10" s="8" t="s">
        <v>29</v>
      </c>
      <c r="B10" s="3" t="s">
        <v>28</v>
      </c>
      <c r="J10" s="5"/>
    </row>
    <row r="11" spans="1:11" x14ac:dyDescent="0.15">
      <c r="A11" s="8" t="s">
        <v>30</v>
      </c>
      <c r="B11" s="3" t="s">
        <v>22</v>
      </c>
      <c r="J11" s="5"/>
    </row>
    <row r="12" spans="1:11" ht="6" customHeight="1" x14ac:dyDescent="0.15">
      <c r="B12" s="3"/>
      <c r="J12" s="5"/>
    </row>
    <row r="13" spans="1:11" x14ac:dyDescent="0.15">
      <c r="A13" s="7" t="s">
        <v>31</v>
      </c>
      <c r="B13" s="3" t="s">
        <v>22</v>
      </c>
      <c r="F13" s="6"/>
      <c r="G13" s="6"/>
      <c r="H13" s="6"/>
      <c r="I13" s="6"/>
      <c r="J13" s="5"/>
    </row>
    <row r="14" spans="1:11" x14ac:dyDescent="0.15">
      <c r="A14" s="8" t="s">
        <v>32</v>
      </c>
      <c r="B14" s="3" t="s">
        <v>22</v>
      </c>
    </row>
    <row r="15" spans="1:11" x14ac:dyDescent="0.15">
      <c r="A15" s="8" t="s">
        <v>33</v>
      </c>
      <c r="B15" s="3" t="s">
        <v>22</v>
      </c>
    </row>
    <row r="16" spans="1:11" ht="6" customHeight="1" x14ac:dyDescent="0.15">
      <c r="B16" s="3"/>
    </row>
    <row r="17" spans="1:12" x14ac:dyDescent="0.15">
      <c r="A17" s="7" t="s">
        <v>34</v>
      </c>
      <c r="B17" s="3" t="s">
        <v>28</v>
      </c>
      <c r="J17" s="4"/>
      <c r="K17" s="4"/>
      <c r="L17" s="9" t="s">
        <v>35</v>
      </c>
    </row>
    <row r="19" spans="1:12" x14ac:dyDescent="0.15">
      <c r="A19" s="7" t="s">
        <v>36</v>
      </c>
      <c r="B19" s="3" t="s">
        <v>24</v>
      </c>
    </row>
    <row r="21" spans="1:12" x14ac:dyDescent="0.15">
      <c r="C21" s="94" t="s">
        <v>37</v>
      </c>
      <c r="D21" s="95"/>
      <c r="E21" s="96"/>
      <c r="F21" s="94" t="s">
        <v>38</v>
      </c>
      <c r="G21" s="96"/>
      <c r="H21" s="94" t="s">
        <v>39</v>
      </c>
      <c r="I21" s="96"/>
      <c r="J21" s="94" t="s">
        <v>40</v>
      </c>
      <c r="K21" s="96"/>
    </row>
  </sheetData>
  <mergeCells count="5">
    <mergeCell ref="C1:K1"/>
    <mergeCell ref="C21:E21"/>
    <mergeCell ref="F21:G21"/>
    <mergeCell ref="H21:I21"/>
    <mergeCell ref="J21:K21"/>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8622-6957-4024-9CEE-48EE54C45518}">
  <sheetPr>
    <tabColor theme="1"/>
  </sheetPr>
  <dimension ref="A1:E18"/>
  <sheetViews>
    <sheetView workbookViewId="0"/>
  </sheetViews>
  <sheetFormatPr baseColWidth="10" defaultColWidth="8.83203125" defaultRowHeight="12" x14ac:dyDescent="0.2"/>
  <cols>
    <col min="1" max="3" width="8.83203125" style="15"/>
    <col min="4" max="4" width="35.6640625" style="15" customWidth="1"/>
    <col min="5" max="6" width="99.5" style="15" customWidth="1"/>
    <col min="7" max="16384" width="8.83203125" style="15"/>
  </cols>
  <sheetData>
    <row r="1" spans="1:5" x14ac:dyDescent="0.2">
      <c r="A1" s="26" t="s">
        <v>41</v>
      </c>
      <c r="B1" s="26" t="s">
        <v>42</v>
      </c>
      <c r="C1" s="26" t="s">
        <v>43</v>
      </c>
      <c r="D1" s="26" t="s">
        <v>44</v>
      </c>
      <c r="E1" s="26" t="s">
        <v>45</v>
      </c>
    </row>
    <row r="2" spans="1:5" x14ac:dyDescent="0.2">
      <c r="A2" s="15">
        <v>0.1</v>
      </c>
      <c r="B2" s="15" t="s">
        <v>28</v>
      </c>
      <c r="C2" s="27">
        <v>43881</v>
      </c>
      <c r="D2" s="15" t="s">
        <v>46</v>
      </c>
    </row>
    <row r="3" spans="1:5" ht="329.25" customHeight="1" x14ac:dyDescent="0.2">
      <c r="B3" s="15" t="s">
        <v>28</v>
      </c>
      <c r="C3" s="27">
        <v>43886</v>
      </c>
      <c r="D3" s="24" t="s">
        <v>47</v>
      </c>
      <c r="E3" s="24" t="s">
        <v>48</v>
      </c>
    </row>
    <row r="4" spans="1:5" x14ac:dyDescent="0.2">
      <c r="B4" s="15" t="s">
        <v>22</v>
      </c>
      <c r="C4" s="27">
        <v>43887</v>
      </c>
      <c r="D4" s="15" t="s">
        <v>49</v>
      </c>
      <c r="E4" s="15" t="s">
        <v>50</v>
      </c>
    </row>
    <row r="5" spans="1:5" ht="52" x14ac:dyDescent="0.2">
      <c r="A5" s="43" t="s">
        <v>51</v>
      </c>
      <c r="B5" s="15" t="s">
        <v>28</v>
      </c>
      <c r="C5" s="27">
        <v>43910</v>
      </c>
      <c r="D5" s="24" t="s">
        <v>52</v>
      </c>
    </row>
    <row r="6" spans="1:5" x14ac:dyDescent="0.2">
      <c r="A6" s="43" t="s">
        <v>53</v>
      </c>
      <c r="B6" s="15" t="s">
        <v>28</v>
      </c>
      <c r="C6" s="27">
        <v>43917</v>
      </c>
      <c r="D6" s="15" t="s">
        <v>54</v>
      </c>
    </row>
    <row r="7" spans="1:5" x14ac:dyDescent="0.2">
      <c r="C7" s="27"/>
    </row>
    <row r="8" spans="1:5" x14ac:dyDescent="0.2">
      <c r="C8" s="27"/>
    </row>
    <row r="9" spans="1:5" x14ac:dyDescent="0.2">
      <c r="C9" s="27"/>
    </row>
    <row r="10" spans="1:5" x14ac:dyDescent="0.2">
      <c r="C10" s="27"/>
    </row>
    <row r="11" spans="1:5" x14ac:dyDescent="0.2">
      <c r="C11" s="27"/>
    </row>
    <row r="12" spans="1:5" x14ac:dyDescent="0.2">
      <c r="C12" s="27"/>
    </row>
    <row r="13" spans="1:5" x14ac:dyDescent="0.2">
      <c r="C13" s="27"/>
    </row>
    <row r="14" spans="1:5" x14ac:dyDescent="0.2">
      <c r="C14" s="27"/>
    </row>
    <row r="15" spans="1:5" x14ac:dyDescent="0.2">
      <c r="C15" s="27"/>
    </row>
    <row r="16" spans="1:5" x14ac:dyDescent="0.2">
      <c r="C16" s="27"/>
    </row>
    <row r="17" spans="3:3" x14ac:dyDescent="0.2">
      <c r="C17" s="27"/>
    </row>
    <row r="18" spans="3:3" x14ac:dyDescent="0.2">
      <c r="C18"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D063-224B-47A7-8114-B23C4AB2AA94}">
  <sheetPr>
    <tabColor rgb="FFC00000"/>
  </sheetPr>
  <dimension ref="A1:F36"/>
  <sheetViews>
    <sheetView zoomScale="130" zoomScaleNormal="130" workbookViewId="0">
      <pane ySplit="2" topLeftCell="A3" activePane="bottomLeft" state="frozen"/>
      <selection pane="bottomLeft" activeCell="C3" sqref="C3:C36"/>
    </sheetView>
  </sheetViews>
  <sheetFormatPr baseColWidth="10" defaultColWidth="8.83203125" defaultRowHeight="12" x14ac:dyDescent="0.15"/>
  <cols>
    <col min="1" max="1" width="13.1640625" style="1" bestFit="1" customWidth="1"/>
    <col min="2" max="2" width="11" style="1" customWidth="1"/>
    <col min="3" max="3" width="15.6640625" style="1" bestFit="1" customWidth="1"/>
    <col min="4" max="4" width="30.5" style="1" customWidth="1"/>
    <col min="5" max="5" width="35" style="1" customWidth="1"/>
    <col min="6" max="16384" width="8.83203125" style="1"/>
  </cols>
  <sheetData>
    <row r="1" spans="1:6" s="12" customFormat="1" ht="25.25" customHeight="1" x14ac:dyDescent="0.2">
      <c r="A1" s="97" t="s">
        <v>55</v>
      </c>
      <c r="B1" s="97"/>
      <c r="C1" s="97"/>
      <c r="D1" s="97"/>
      <c r="E1" s="97"/>
      <c r="F1" s="97"/>
    </row>
    <row r="2" spans="1:6" x14ac:dyDescent="0.15">
      <c r="A2" s="44" t="s">
        <v>56</v>
      </c>
      <c r="B2" s="44" t="s">
        <v>57</v>
      </c>
      <c r="C2" s="44" t="s">
        <v>58</v>
      </c>
      <c r="D2" s="44" t="s">
        <v>59</v>
      </c>
      <c r="E2" s="44" t="s">
        <v>60</v>
      </c>
      <c r="F2" s="44" t="s">
        <v>61</v>
      </c>
    </row>
    <row r="3" spans="1:6" x14ac:dyDescent="0.15">
      <c r="A3" s="1">
        <v>1</v>
      </c>
      <c r="B3" s="1">
        <v>1.1000000000000001</v>
      </c>
      <c r="C3" s="1" t="s">
        <v>62</v>
      </c>
      <c r="D3" s="1" t="s">
        <v>63</v>
      </c>
      <c r="E3" s="1" t="str">
        <f t="shared" ref="E3:E36" si="0">C3&amp;":"&amp;D3</f>
        <v>Funders:Budget</v>
      </c>
    </row>
    <row r="4" spans="1:6" x14ac:dyDescent="0.15">
      <c r="A4" s="1">
        <v>2</v>
      </c>
      <c r="B4" s="1">
        <v>1.2</v>
      </c>
      <c r="C4" s="1" t="s">
        <v>62</v>
      </c>
      <c r="D4" s="1" t="s">
        <v>64</v>
      </c>
      <c r="E4" s="1" t="str">
        <f t="shared" si="0"/>
        <v>Funders:Expenditure</v>
      </c>
    </row>
    <row r="5" spans="1:6" x14ac:dyDescent="0.15">
      <c r="A5" s="1">
        <v>3</v>
      </c>
      <c r="B5" s="1">
        <v>1.3</v>
      </c>
      <c r="C5" s="1" t="s">
        <v>62</v>
      </c>
      <c r="D5" s="1" t="s">
        <v>65</v>
      </c>
      <c r="E5" s="1" t="str">
        <f t="shared" si="0"/>
        <v>Funders:Income</v>
      </c>
    </row>
    <row r="6" spans="1:6" x14ac:dyDescent="0.15">
      <c r="A6" s="1">
        <v>4</v>
      </c>
      <c r="B6" s="1">
        <v>2.1</v>
      </c>
      <c r="C6" s="1" t="s">
        <v>66</v>
      </c>
      <c r="D6" s="1" t="s">
        <v>67</v>
      </c>
      <c r="E6" s="1" t="str">
        <f t="shared" si="0"/>
        <v>Providers:Investors</v>
      </c>
    </row>
    <row r="7" spans="1:6" x14ac:dyDescent="0.15">
      <c r="A7" s="1">
        <v>8</v>
      </c>
      <c r="B7" s="1">
        <v>2.2000000000000002</v>
      </c>
      <c r="C7" s="1" t="s">
        <v>66</v>
      </c>
      <c r="D7" s="1" t="s">
        <v>71</v>
      </c>
      <c r="E7" s="1" t="str">
        <f t="shared" si="0"/>
        <v>Providers:Type</v>
      </c>
    </row>
    <row r="8" spans="1:6" x14ac:dyDescent="0.15">
      <c r="A8" s="1">
        <v>5</v>
      </c>
      <c r="B8" s="1">
        <v>2.2999999999999998</v>
      </c>
      <c r="C8" s="1" t="s">
        <v>66</v>
      </c>
      <c r="D8" s="1" t="s">
        <v>68</v>
      </c>
      <c r="E8" s="1" t="str">
        <f t="shared" si="0"/>
        <v>Providers:Workforce</v>
      </c>
    </row>
    <row r="9" spans="1:6" x14ac:dyDescent="0.15">
      <c r="A9" s="1">
        <v>6</v>
      </c>
      <c r="B9" s="1">
        <v>2.4</v>
      </c>
      <c r="C9" s="1" t="s">
        <v>66</v>
      </c>
      <c r="D9" s="1" t="s">
        <v>69</v>
      </c>
      <c r="E9" s="1" t="str">
        <f t="shared" si="0"/>
        <v>Providers:Cost</v>
      </c>
    </row>
    <row r="10" spans="1:6" x14ac:dyDescent="0.15">
      <c r="A10" s="1">
        <v>7</v>
      </c>
      <c r="B10" s="1">
        <v>2.5</v>
      </c>
      <c r="C10" s="1" t="s">
        <v>66</v>
      </c>
      <c r="D10" s="1" t="s">
        <v>70</v>
      </c>
      <c r="E10" s="1" t="str">
        <f t="shared" si="0"/>
        <v>Providers:Productivity</v>
      </c>
    </row>
    <row r="11" spans="1:6" x14ac:dyDescent="0.15">
      <c r="A11" s="1">
        <v>22</v>
      </c>
      <c r="B11" s="1">
        <v>3.1</v>
      </c>
      <c r="C11" s="1" t="s">
        <v>77</v>
      </c>
      <c r="D11" s="1" t="s">
        <v>80</v>
      </c>
      <c r="E11" s="1" t="str">
        <f t="shared" si="0"/>
        <v>Service:Access</v>
      </c>
    </row>
    <row r="12" spans="1:6" x14ac:dyDescent="0.15">
      <c r="A12" s="1">
        <v>24</v>
      </c>
      <c r="B12" s="1">
        <v>3.2</v>
      </c>
      <c r="C12" s="1" t="s">
        <v>77</v>
      </c>
      <c r="D12" s="1" t="s">
        <v>81</v>
      </c>
      <c r="E12" s="1" t="str">
        <f t="shared" si="0"/>
        <v>Service:Integration</v>
      </c>
    </row>
    <row r="13" spans="1:6" x14ac:dyDescent="0.15">
      <c r="A13" s="1">
        <v>26</v>
      </c>
      <c r="B13" s="1">
        <v>3.3</v>
      </c>
      <c r="C13" s="1" t="s">
        <v>77</v>
      </c>
      <c r="D13" s="1" t="s">
        <v>83</v>
      </c>
      <c r="E13" s="1" t="str">
        <f t="shared" si="0"/>
        <v>Service:Support type</v>
      </c>
    </row>
    <row r="14" spans="1:6" x14ac:dyDescent="0.15">
      <c r="A14" s="1">
        <v>25</v>
      </c>
      <c r="B14" s="1">
        <v>3.4</v>
      </c>
      <c r="C14" s="1" t="s">
        <v>77</v>
      </c>
      <c r="D14" s="1" t="s">
        <v>82</v>
      </c>
      <c r="E14" s="1" t="str">
        <f t="shared" si="0"/>
        <v>Service:Support setting</v>
      </c>
    </row>
    <row r="15" spans="1:6" x14ac:dyDescent="0.15">
      <c r="A15" s="1">
        <v>21</v>
      </c>
      <c r="B15" s="1">
        <v>3.5</v>
      </c>
      <c r="C15" s="1" t="s">
        <v>77</v>
      </c>
      <c r="D15" s="1" t="s">
        <v>79</v>
      </c>
      <c r="E15" s="1" t="str">
        <f t="shared" si="0"/>
        <v>Service:Care models</v>
      </c>
    </row>
    <row r="16" spans="1:6" x14ac:dyDescent="0.15">
      <c r="A16" s="1">
        <v>23</v>
      </c>
      <c r="B16" s="1">
        <v>3.6</v>
      </c>
      <c r="C16" s="1" t="s">
        <v>77</v>
      </c>
      <c r="D16" s="1" t="s">
        <v>69</v>
      </c>
      <c r="E16" s="1" t="str">
        <f t="shared" si="0"/>
        <v>Service:Cost</v>
      </c>
    </row>
    <row r="17" spans="1:5" x14ac:dyDescent="0.15">
      <c r="A17" s="1">
        <v>20</v>
      </c>
      <c r="B17" s="1">
        <v>3.7</v>
      </c>
      <c r="C17" s="1" t="s">
        <v>77</v>
      </c>
      <c r="D17" s="1" t="s">
        <v>78</v>
      </c>
      <c r="E17" s="1" t="str">
        <f t="shared" si="0"/>
        <v>Service:Quality</v>
      </c>
    </row>
    <row r="18" spans="1:5" x14ac:dyDescent="0.15">
      <c r="A18" s="1">
        <v>12</v>
      </c>
      <c r="B18" s="1">
        <v>4.0999999999999996</v>
      </c>
      <c r="C18" s="1" t="s">
        <v>68</v>
      </c>
      <c r="D18" s="1" t="s">
        <v>71</v>
      </c>
      <c r="E18" s="1" t="str">
        <f t="shared" si="0"/>
        <v>Workforce:Type</v>
      </c>
    </row>
    <row r="19" spans="1:5" x14ac:dyDescent="0.15">
      <c r="A19" s="1">
        <v>9</v>
      </c>
      <c r="B19" s="1">
        <v>4.2</v>
      </c>
      <c r="C19" s="1" t="s">
        <v>68</v>
      </c>
      <c r="D19" s="1" t="s">
        <v>72</v>
      </c>
      <c r="E19" s="1" t="str">
        <f t="shared" si="0"/>
        <v>Workforce:Experience</v>
      </c>
    </row>
    <row r="20" spans="1:5" x14ac:dyDescent="0.15">
      <c r="A20" s="1">
        <v>11</v>
      </c>
      <c r="B20" s="1">
        <v>4.3</v>
      </c>
      <c r="C20" s="1" t="s">
        <v>68</v>
      </c>
      <c r="D20" s="1" t="s">
        <v>65</v>
      </c>
      <c r="E20" s="1" t="str">
        <f t="shared" si="0"/>
        <v>Workforce:Income</v>
      </c>
    </row>
    <row r="21" spans="1:5" x14ac:dyDescent="0.15">
      <c r="A21" s="1">
        <v>13</v>
      </c>
      <c r="B21" s="1">
        <v>4.4000000000000004</v>
      </c>
      <c r="C21" s="1" t="s">
        <v>68</v>
      </c>
      <c r="D21" s="1" t="s">
        <v>74</v>
      </c>
      <c r="E21" s="1" t="str">
        <f t="shared" si="0"/>
        <v>Workforce:Demographics</v>
      </c>
    </row>
    <row r="22" spans="1:5" x14ac:dyDescent="0.15">
      <c r="A22" s="1">
        <v>10</v>
      </c>
      <c r="B22" s="1">
        <v>4.5</v>
      </c>
      <c r="C22" s="1" t="s">
        <v>68</v>
      </c>
      <c r="D22" s="1" t="s">
        <v>73</v>
      </c>
      <c r="E22" s="1" t="str">
        <f t="shared" si="0"/>
        <v>Workforce:Health</v>
      </c>
    </row>
    <row r="23" spans="1:5" x14ac:dyDescent="0.15">
      <c r="A23" s="1">
        <v>14</v>
      </c>
      <c r="B23" s="1">
        <v>5.0999999999999996</v>
      </c>
      <c r="C23" s="1" t="s">
        <v>75</v>
      </c>
      <c r="D23" s="1" t="s">
        <v>68</v>
      </c>
      <c r="E23" s="1" t="str">
        <f t="shared" si="0"/>
        <v>Unpaid Carers:Workforce</v>
      </c>
    </row>
    <row r="24" spans="1:5" x14ac:dyDescent="0.15">
      <c r="A24" s="1">
        <v>15</v>
      </c>
      <c r="B24" s="1">
        <v>5.2</v>
      </c>
      <c r="C24" s="1" t="s">
        <v>75</v>
      </c>
      <c r="D24" s="1" t="s">
        <v>74</v>
      </c>
      <c r="E24" s="1" t="str">
        <f t="shared" si="0"/>
        <v>Unpaid Carers:Demographics</v>
      </c>
    </row>
    <row r="25" spans="1:5" x14ac:dyDescent="0.15">
      <c r="A25" s="1">
        <v>16</v>
      </c>
      <c r="B25" s="1">
        <v>5.3</v>
      </c>
      <c r="C25" s="1" t="s">
        <v>75</v>
      </c>
      <c r="D25" s="1" t="s">
        <v>72</v>
      </c>
      <c r="E25" s="1" t="str">
        <f t="shared" si="0"/>
        <v>Unpaid Carers:Experience</v>
      </c>
    </row>
    <row r="26" spans="1:5" x14ac:dyDescent="0.15">
      <c r="A26" s="1">
        <v>17</v>
      </c>
      <c r="B26" s="1">
        <v>5.4</v>
      </c>
      <c r="C26" s="1" t="s">
        <v>75</v>
      </c>
      <c r="D26" s="1" t="s">
        <v>73</v>
      </c>
      <c r="E26" s="1" t="str">
        <f t="shared" si="0"/>
        <v>Unpaid Carers:Health</v>
      </c>
    </row>
    <row r="27" spans="1:5" x14ac:dyDescent="0.15">
      <c r="A27" s="1">
        <v>18</v>
      </c>
      <c r="B27" s="1">
        <v>5.5</v>
      </c>
      <c r="C27" s="1" t="s">
        <v>75</v>
      </c>
      <c r="D27" s="1" t="s">
        <v>65</v>
      </c>
      <c r="E27" s="1" t="str">
        <f t="shared" si="0"/>
        <v>Unpaid Carers:Income</v>
      </c>
    </row>
    <row r="28" spans="1:5" x14ac:dyDescent="0.15">
      <c r="A28" s="1">
        <v>19</v>
      </c>
      <c r="B28" s="1">
        <v>5.6</v>
      </c>
      <c r="C28" s="1" t="s">
        <v>75</v>
      </c>
      <c r="D28" s="1" t="s">
        <v>76</v>
      </c>
      <c r="E28" s="1" t="str">
        <f t="shared" si="0"/>
        <v>Unpaid Carers:Quality of life</v>
      </c>
    </row>
    <row r="29" spans="1:5" x14ac:dyDescent="0.15">
      <c r="A29" s="1">
        <v>34</v>
      </c>
      <c r="B29" s="1">
        <v>6.1</v>
      </c>
      <c r="C29" s="1" t="s">
        <v>84</v>
      </c>
      <c r="D29" s="1" t="s">
        <v>86</v>
      </c>
      <c r="E29" s="1" t="str">
        <f t="shared" si="0"/>
        <v>Users:Context</v>
      </c>
    </row>
    <row r="30" spans="1:5" x14ac:dyDescent="0.15">
      <c r="A30" s="1">
        <v>27</v>
      </c>
      <c r="B30" s="1">
        <v>6.2</v>
      </c>
      <c r="C30" s="1" t="s">
        <v>84</v>
      </c>
      <c r="D30" s="1" t="s">
        <v>74</v>
      </c>
      <c r="E30" s="1" t="str">
        <f t="shared" si="0"/>
        <v>Users:Demographics</v>
      </c>
    </row>
    <row r="31" spans="1:5" x14ac:dyDescent="0.15">
      <c r="A31" s="1">
        <v>31</v>
      </c>
      <c r="B31" s="1">
        <v>6.2</v>
      </c>
      <c r="C31" s="1" t="s">
        <v>84</v>
      </c>
      <c r="D31" s="1" t="s">
        <v>85</v>
      </c>
      <c r="E31" s="1" t="str">
        <f t="shared" si="0"/>
        <v>Users:Care need</v>
      </c>
    </row>
    <row r="32" spans="1:5" x14ac:dyDescent="0.15">
      <c r="A32" s="1">
        <v>33</v>
      </c>
      <c r="B32" s="1">
        <v>6.3</v>
      </c>
      <c r="C32" s="1" t="s">
        <v>84</v>
      </c>
      <c r="D32" s="1" t="s">
        <v>65</v>
      </c>
      <c r="E32" s="1" t="str">
        <f t="shared" si="0"/>
        <v>Users:Income</v>
      </c>
    </row>
    <row r="33" spans="1:5" x14ac:dyDescent="0.15">
      <c r="A33" s="1">
        <v>32</v>
      </c>
      <c r="B33" s="1">
        <v>6.4</v>
      </c>
      <c r="C33" s="1" t="s">
        <v>84</v>
      </c>
      <c r="D33" s="1" t="s">
        <v>64</v>
      </c>
      <c r="E33" s="1" t="str">
        <f t="shared" si="0"/>
        <v>Users:Expenditure</v>
      </c>
    </row>
    <row r="34" spans="1:5" x14ac:dyDescent="0.15">
      <c r="A34" s="1">
        <v>28</v>
      </c>
      <c r="B34" s="1">
        <v>6.5</v>
      </c>
      <c r="C34" s="1" t="s">
        <v>84</v>
      </c>
      <c r="D34" s="1" t="s">
        <v>72</v>
      </c>
      <c r="E34" s="1" t="str">
        <f t="shared" si="0"/>
        <v>Users:Experience</v>
      </c>
    </row>
    <row r="35" spans="1:5" x14ac:dyDescent="0.15">
      <c r="A35" s="1">
        <v>29</v>
      </c>
      <c r="B35" s="1">
        <v>6.6</v>
      </c>
      <c r="C35" s="1" t="s">
        <v>84</v>
      </c>
      <c r="D35" s="1" t="s">
        <v>73</v>
      </c>
      <c r="E35" s="1" t="str">
        <f t="shared" si="0"/>
        <v>Users:Health</v>
      </c>
    </row>
    <row r="36" spans="1:5" x14ac:dyDescent="0.15">
      <c r="A36" s="1">
        <v>30</v>
      </c>
      <c r="B36" s="1">
        <v>6.7</v>
      </c>
      <c r="C36" s="1" t="s">
        <v>84</v>
      </c>
      <c r="D36" s="1" t="s">
        <v>76</v>
      </c>
      <c r="E36" s="1" t="str">
        <f t="shared" si="0"/>
        <v>Users:Quality of life</v>
      </c>
    </row>
  </sheetData>
  <mergeCells count="1">
    <mergeCell ref="A1:F1"/>
  </mergeCell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53E7C-CED2-4E8E-898D-ECA5F88A17FF}">
  <sheetPr>
    <tabColor rgb="FFC00000"/>
    <pageSetUpPr fitToPage="1"/>
  </sheetPr>
  <dimension ref="A1:U102"/>
  <sheetViews>
    <sheetView tabSelected="1" zoomScale="130" zoomScaleNormal="130" workbookViewId="0">
      <pane ySplit="2" topLeftCell="A67" activePane="bottomLeft" state="frozen"/>
      <selection pane="bottomLeft" activeCell="D78" sqref="D78"/>
    </sheetView>
  </sheetViews>
  <sheetFormatPr baseColWidth="10" defaultColWidth="8.83203125" defaultRowHeight="12" x14ac:dyDescent="0.15"/>
  <cols>
    <col min="1" max="1" width="10.1640625" style="1" customWidth="1"/>
    <col min="2" max="2" width="11.83203125" style="1" customWidth="1"/>
    <col min="3" max="3" width="24.5" style="1" customWidth="1"/>
    <col min="4" max="4" width="35.5" style="1" customWidth="1"/>
    <col min="5" max="5" width="43.83203125" style="3" customWidth="1"/>
    <col min="6" max="7" width="11.6640625" style="3" bestFit="1" customWidth="1"/>
    <col min="8" max="8" width="13.1640625" style="3" customWidth="1"/>
    <col min="9" max="9" width="12.1640625" style="1" customWidth="1"/>
    <col min="10" max="10" width="12" style="1" customWidth="1"/>
    <col min="11" max="11" width="11.5" style="1" customWidth="1"/>
    <col min="12" max="12" width="13.5" style="1" customWidth="1"/>
    <col min="13" max="14" width="13" style="1" bestFit="1" customWidth="1"/>
    <col min="15" max="16378" width="8.83203125" style="1"/>
    <col min="16379" max="16382" width="8.83203125" style="1" bestFit="1"/>
    <col min="16383" max="16384" width="8.83203125" style="1"/>
  </cols>
  <sheetData>
    <row r="1" spans="1:21" s="12" customFormat="1" ht="36.75" customHeight="1" x14ac:dyDescent="0.2">
      <c r="A1" s="97" t="s">
        <v>87</v>
      </c>
      <c r="B1" s="97"/>
      <c r="C1" s="97"/>
      <c r="D1" s="97"/>
      <c r="E1" s="97"/>
      <c r="F1" s="97"/>
      <c r="G1" s="97"/>
      <c r="H1" s="97"/>
      <c r="I1" s="97"/>
      <c r="J1" s="97"/>
      <c r="K1" s="51"/>
      <c r="L1" s="45" t="s">
        <v>88</v>
      </c>
      <c r="M1" s="50">
        <f>MAX(A3:A102)+1</f>
        <v>107</v>
      </c>
    </row>
    <row r="2" spans="1:21" x14ac:dyDescent="0.15">
      <c r="A2" s="87" t="s">
        <v>1996</v>
      </c>
      <c r="B2" s="44" t="s">
        <v>89</v>
      </c>
      <c r="C2" s="55" t="s">
        <v>60</v>
      </c>
      <c r="D2" s="44" t="s">
        <v>90</v>
      </c>
      <c r="E2" s="44" t="s">
        <v>91</v>
      </c>
      <c r="F2" s="88" t="s">
        <v>1998</v>
      </c>
      <c r="G2" s="88" t="s">
        <v>1999</v>
      </c>
      <c r="H2" s="88" t="s">
        <v>2000</v>
      </c>
      <c r="I2" s="55" t="s">
        <v>2001</v>
      </c>
      <c r="J2" s="55" t="s">
        <v>2002</v>
      </c>
      <c r="K2" s="88" t="s">
        <v>2003</v>
      </c>
      <c r="L2" s="88" t="s">
        <v>1997</v>
      </c>
      <c r="M2" s="46" t="s">
        <v>92</v>
      </c>
      <c r="N2" s="47" t="s">
        <v>93</v>
      </c>
      <c r="O2" s="47" t="s">
        <v>94</v>
      </c>
      <c r="P2" s="47" t="s">
        <v>95</v>
      </c>
      <c r="Q2" s="47" t="s">
        <v>96</v>
      </c>
      <c r="R2" s="46" t="s">
        <v>97</v>
      </c>
      <c r="S2" s="46" t="s">
        <v>98</v>
      </c>
      <c r="T2" s="46" t="s">
        <v>61</v>
      </c>
      <c r="U2" s="46" t="s">
        <v>99</v>
      </c>
    </row>
    <row r="3" spans="1:21" x14ac:dyDescent="0.15">
      <c r="A3" s="35">
        <v>1</v>
      </c>
      <c r="B3" s="35">
        <v>1</v>
      </c>
      <c r="C3" s="5" t="str">
        <f>_xlfn.XLOOKUP(tblDataRequirement[[#This Row],[id_subdomain]],tblDomain[Id_subdomain],tblDomain[domain_sub_domain])</f>
        <v>Funders:Budget</v>
      </c>
      <c r="D3" s="5" t="s">
        <v>100</v>
      </c>
      <c r="E3" s="5" t="str">
        <f>tblDataRequirement[[#This Row],[domain_sub_domain]]&amp;":"&amp;tblDataRequirement[[#This Row],[data_requirement]]</f>
        <v>Funders:Budget:Local authorities</v>
      </c>
      <c r="F3" s="5" t="str">
        <f>_xlfn.XLOOKUP(tblDataRequirement[[#This Row],[id_subdomain]],tblDomain[Id_subdomain],tblDomain[domain])</f>
        <v>Funders</v>
      </c>
      <c r="G3" s="5" t="str">
        <f>_xlfn.XLOOKUP(tblDataRequirement[[#This Row],[id_subdomain]],tblDomain[Id_subdomain],tblDomain[sub_domain])</f>
        <v>Budget</v>
      </c>
      <c r="H3" s="5" t="str">
        <f>tblDataRequirement[[#This Row],[data_requirement]]</f>
        <v>Local authorities</v>
      </c>
      <c r="I3" s="5">
        <f>_xlfn.XLOOKUP(tblDataRequirement[[#This Row],[id_subdomain]],tblDomain[Id_subdomain],tblDomain[sequence_no])</f>
        <v>1.1000000000000001</v>
      </c>
      <c r="J3" s="5">
        <v>1</v>
      </c>
      <c r="K3" s="5" t="str">
        <f>tblDataRequirement[[#This Row],[domain_seq]]&amp;"."&amp;TEXT(tblDataRequirement[[#This Row],[req_seq]],"00")</f>
        <v>1.1.01</v>
      </c>
      <c r="L3" s="5" t="s">
        <v>101</v>
      </c>
      <c r="N3" s="3" t="s">
        <v>102</v>
      </c>
      <c r="O3" s="3"/>
      <c r="P3" s="3"/>
      <c r="Q3" s="3"/>
      <c r="R3" s="1" t="s">
        <v>103</v>
      </c>
      <c r="S3" s="12">
        <f>COUNTIF(requirement_measure_map!$C$3:$C$1514,data_requirement!A3)</f>
        <v>23</v>
      </c>
      <c r="T3" s="5"/>
      <c r="U3" s="49">
        <f t="shared" ref="U3:U34" si="0">COUNTIF($A$3:$A$102,A3)</f>
        <v>1</v>
      </c>
    </row>
    <row r="4" spans="1:21" x14ac:dyDescent="0.15">
      <c r="A4" s="35">
        <v>2</v>
      </c>
      <c r="B4" s="35">
        <v>1</v>
      </c>
      <c r="C4" s="5" t="str">
        <f>_xlfn.XLOOKUP(tblDataRequirement[[#This Row],[id_subdomain]],tblDomain[Id_subdomain],tblDomain[domain_sub_domain])</f>
        <v>Funders:Budget</v>
      </c>
      <c r="D4" s="5" t="s">
        <v>104</v>
      </c>
      <c r="E4" s="5" t="str">
        <f>tblDataRequirement[[#This Row],[domain_sub_domain]]&amp;":"&amp;tblDataRequirement[[#This Row],[data_requirement]]</f>
        <v>Funders:Budget:Central government</v>
      </c>
      <c r="F4" s="5" t="str">
        <f>_xlfn.XLOOKUP(tblDataRequirement[[#This Row],[id_subdomain]],tblDomain[Id_subdomain],tblDomain[domain])</f>
        <v>Funders</v>
      </c>
      <c r="G4" s="5" t="str">
        <f>_xlfn.XLOOKUP(tblDataRequirement[[#This Row],[id_subdomain]],tblDomain[Id_subdomain],tblDomain[sub_domain])</f>
        <v>Budget</v>
      </c>
      <c r="H4" s="5" t="str">
        <f>tblDataRequirement[[#This Row],[data_requirement]]</f>
        <v>Central government</v>
      </c>
      <c r="I4" s="5">
        <f>_xlfn.XLOOKUP(tblDataRequirement[[#This Row],[id_subdomain]],tblDomain[Id_subdomain],tblDomain[sequence_no])</f>
        <v>1.1000000000000001</v>
      </c>
      <c r="J4" s="5">
        <v>2</v>
      </c>
      <c r="K4" s="5" t="str">
        <f>tblDataRequirement[[#This Row],[domain_seq]]&amp;"."&amp;TEXT(tblDataRequirement[[#This Row],[req_seq]],"00")</f>
        <v>1.1.02</v>
      </c>
      <c r="L4" s="5" t="s">
        <v>101</v>
      </c>
      <c r="N4" s="3" t="s">
        <v>102</v>
      </c>
      <c r="O4" s="3"/>
      <c r="P4" s="3"/>
      <c r="Q4" s="3"/>
      <c r="R4" s="1" t="s">
        <v>103</v>
      </c>
      <c r="S4" s="12">
        <f>COUNTIF(requirement_measure_map!$C$3:$C$1514,data_requirement!A4)</f>
        <v>21</v>
      </c>
      <c r="T4" s="5"/>
      <c r="U4" s="49">
        <f t="shared" si="0"/>
        <v>1</v>
      </c>
    </row>
    <row r="5" spans="1:21" x14ac:dyDescent="0.15">
      <c r="A5" s="35">
        <v>102</v>
      </c>
      <c r="B5" s="35">
        <v>1</v>
      </c>
      <c r="C5" s="5" t="str">
        <f>_xlfn.XLOOKUP(tblDataRequirement[[#This Row],[id_subdomain]],tblDomain[Id_subdomain],tblDomain[domain_sub_domain])</f>
        <v>Funders:Budget</v>
      </c>
      <c r="D5" s="5" t="s">
        <v>105</v>
      </c>
      <c r="E5" s="36" t="str">
        <f>tblDataRequirement[[#This Row],[domain_sub_domain]]&amp;":"&amp;tblDataRequirement[[#This Row],[data_requirement]]</f>
        <v>Funders:Budget:NHS</v>
      </c>
      <c r="F5" s="36" t="str">
        <f>_xlfn.XLOOKUP(tblDataRequirement[[#This Row],[id_subdomain]],tblDomain[Id_subdomain],tblDomain[domain])</f>
        <v>Funders</v>
      </c>
      <c r="G5" s="36" t="str">
        <f>_xlfn.XLOOKUP(tblDataRequirement[[#This Row],[id_subdomain]],tblDomain[Id_subdomain],tblDomain[sub_domain])</f>
        <v>Budget</v>
      </c>
      <c r="H5" s="36" t="str">
        <f>tblDataRequirement[[#This Row],[data_requirement]]</f>
        <v>NHS</v>
      </c>
      <c r="I5" s="36">
        <f>_xlfn.XLOOKUP(tblDataRequirement[[#This Row],[id_subdomain]],tblDomain[Id_subdomain],tblDomain[sequence_no])</f>
        <v>1.1000000000000001</v>
      </c>
      <c r="J5" s="36">
        <v>3</v>
      </c>
      <c r="K5" s="36" t="str">
        <f>tblDataRequirement[[#This Row],[domain_seq]]&amp;"."&amp;TEXT(tblDataRequirement[[#This Row],[req_seq]],"00")</f>
        <v>1.1.03</v>
      </c>
      <c r="L5" s="36" t="s">
        <v>101</v>
      </c>
      <c r="N5" s="3"/>
      <c r="O5" s="3"/>
      <c r="P5" s="3"/>
      <c r="Q5" s="3"/>
      <c r="R5" s="1" t="s">
        <v>103</v>
      </c>
      <c r="S5" s="12">
        <f>COUNTIF(requirement_measure_map!$C$3:$C$1514,data_requirement!A5)</f>
        <v>1</v>
      </c>
      <c r="T5" s="5"/>
      <c r="U5" s="48">
        <f t="shared" si="0"/>
        <v>1</v>
      </c>
    </row>
    <row r="6" spans="1:21" x14ac:dyDescent="0.15">
      <c r="A6" s="35">
        <v>3</v>
      </c>
      <c r="B6" s="35">
        <v>2</v>
      </c>
      <c r="C6" s="5" t="str">
        <f>_xlfn.XLOOKUP(tblDataRequirement[[#This Row],[id_subdomain]],tblDomain[Id_subdomain],tblDomain[domain_sub_domain])</f>
        <v>Funders:Expenditure</v>
      </c>
      <c r="D6" s="5" t="s">
        <v>100</v>
      </c>
      <c r="E6" s="5" t="str">
        <f>tblDataRequirement[[#This Row],[domain_sub_domain]]&amp;":"&amp;tblDataRequirement[[#This Row],[data_requirement]]</f>
        <v>Funders:Expenditure:Local authorities</v>
      </c>
      <c r="F6" s="5" t="str">
        <f>_xlfn.XLOOKUP(tblDataRequirement[[#This Row],[id_subdomain]],tblDomain[Id_subdomain],tblDomain[domain])</f>
        <v>Funders</v>
      </c>
      <c r="G6" s="5" t="str">
        <f>_xlfn.XLOOKUP(tblDataRequirement[[#This Row],[id_subdomain]],tblDomain[Id_subdomain],tblDomain[sub_domain])</f>
        <v>Expenditure</v>
      </c>
      <c r="H6" s="5" t="str">
        <f>tblDataRequirement[[#This Row],[data_requirement]]</f>
        <v>Local authorities</v>
      </c>
      <c r="I6" s="5">
        <f>_xlfn.XLOOKUP(tblDataRequirement[[#This Row],[id_subdomain]],tblDomain[Id_subdomain],tblDomain[sequence_no])</f>
        <v>1.2</v>
      </c>
      <c r="J6" s="36">
        <v>1</v>
      </c>
      <c r="K6" s="5" t="str">
        <f>tblDataRequirement[[#This Row],[domain_seq]]&amp;"."&amp;TEXT(tblDataRequirement[[#This Row],[req_seq]],"00")</f>
        <v>1.2.01</v>
      </c>
      <c r="L6" s="5" t="s">
        <v>101</v>
      </c>
      <c r="N6" s="3"/>
      <c r="O6" s="3" t="s">
        <v>102</v>
      </c>
      <c r="P6" s="3"/>
      <c r="Q6" s="3"/>
      <c r="R6" s="1" t="s">
        <v>103</v>
      </c>
      <c r="S6" s="12">
        <f>COUNTIF(requirement_measure_map!$C$3:$C$1514,data_requirement!A6)</f>
        <v>54</v>
      </c>
      <c r="T6" s="5"/>
      <c r="U6" s="49">
        <f t="shared" si="0"/>
        <v>1</v>
      </c>
    </row>
    <row r="7" spans="1:21" x14ac:dyDescent="0.15">
      <c r="A7" s="35">
        <v>4</v>
      </c>
      <c r="B7" s="35">
        <v>2</v>
      </c>
      <c r="C7" s="5" t="str">
        <f>_xlfn.XLOOKUP(tblDataRequirement[[#This Row],[id_subdomain]],tblDomain[Id_subdomain],tblDomain[domain_sub_domain])</f>
        <v>Funders:Expenditure</v>
      </c>
      <c r="D7" s="5" t="s">
        <v>104</v>
      </c>
      <c r="E7" s="36" t="str">
        <f>tblDataRequirement[[#This Row],[domain_sub_domain]]&amp;":"&amp;tblDataRequirement[[#This Row],[data_requirement]]</f>
        <v>Funders:Expenditure:Central government</v>
      </c>
      <c r="F7" s="36" t="str">
        <f>_xlfn.XLOOKUP(tblDataRequirement[[#This Row],[id_subdomain]],tblDomain[Id_subdomain],tblDomain[domain])</f>
        <v>Funders</v>
      </c>
      <c r="G7" s="36" t="str">
        <f>_xlfn.XLOOKUP(tblDataRequirement[[#This Row],[id_subdomain]],tblDomain[Id_subdomain],tblDomain[sub_domain])</f>
        <v>Expenditure</v>
      </c>
      <c r="H7" s="36" t="str">
        <f>tblDataRequirement[[#This Row],[data_requirement]]</f>
        <v>Central government</v>
      </c>
      <c r="I7" s="36">
        <f>_xlfn.XLOOKUP(tblDataRequirement[[#This Row],[id_subdomain]],tblDomain[Id_subdomain],tblDomain[sequence_no])</f>
        <v>1.2</v>
      </c>
      <c r="J7" s="36">
        <v>2</v>
      </c>
      <c r="K7" s="36" t="str">
        <f>tblDataRequirement[[#This Row],[domain_seq]]&amp;"."&amp;TEXT(tblDataRequirement[[#This Row],[req_seq]],"00")</f>
        <v>1.2.02</v>
      </c>
      <c r="L7" s="36" t="s">
        <v>101</v>
      </c>
      <c r="N7" s="3"/>
      <c r="O7" s="3" t="s">
        <v>102</v>
      </c>
      <c r="P7" s="3"/>
      <c r="Q7" s="3"/>
      <c r="R7" s="1" t="s">
        <v>103</v>
      </c>
      <c r="S7" s="12">
        <f>COUNTIF(requirement_measure_map!$C$3:$C$1514,data_requirement!A7)</f>
        <v>18</v>
      </c>
      <c r="T7" s="5"/>
      <c r="U7" s="49">
        <f t="shared" si="0"/>
        <v>1</v>
      </c>
    </row>
    <row r="8" spans="1:21" x14ac:dyDescent="0.15">
      <c r="A8" s="35">
        <v>6</v>
      </c>
      <c r="B8" s="35">
        <v>2</v>
      </c>
      <c r="C8" s="5" t="str">
        <f>_xlfn.XLOOKUP(tblDataRequirement[[#This Row],[id_subdomain]],tblDomain[Id_subdomain],tblDomain[domain_sub_domain])</f>
        <v>Funders:Expenditure</v>
      </c>
      <c r="D8" s="5" t="s">
        <v>105</v>
      </c>
      <c r="E8" s="36" t="str">
        <f>tblDataRequirement[[#This Row],[domain_sub_domain]]&amp;":"&amp;tblDataRequirement[[#This Row],[data_requirement]]</f>
        <v>Funders:Expenditure:NHS</v>
      </c>
      <c r="F8" s="36" t="str">
        <f>_xlfn.XLOOKUP(tblDataRequirement[[#This Row],[id_subdomain]],tblDomain[Id_subdomain],tblDomain[domain])</f>
        <v>Funders</v>
      </c>
      <c r="G8" s="36" t="str">
        <f>_xlfn.XLOOKUP(tblDataRequirement[[#This Row],[id_subdomain]],tblDomain[Id_subdomain],tblDomain[sub_domain])</f>
        <v>Expenditure</v>
      </c>
      <c r="H8" s="36" t="str">
        <f>tblDataRequirement[[#This Row],[data_requirement]]</f>
        <v>NHS</v>
      </c>
      <c r="I8" s="36">
        <f>_xlfn.XLOOKUP(tblDataRequirement[[#This Row],[id_subdomain]],tblDomain[Id_subdomain],tblDomain[sequence_no])</f>
        <v>1.2</v>
      </c>
      <c r="J8" s="36">
        <v>3</v>
      </c>
      <c r="K8" s="36" t="str">
        <f>tblDataRequirement[[#This Row],[domain_seq]]&amp;"."&amp;TEXT(tblDataRequirement[[#This Row],[req_seq]],"00")</f>
        <v>1.2.03</v>
      </c>
      <c r="L8" s="36" t="s">
        <v>101</v>
      </c>
      <c r="N8" s="3"/>
      <c r="O8" s="3" t="s">
        <v>102</v>
      </c>
      <c r="P8" s="3"/>
      <c r="Q8" s="3"/>
      <c r="R8" s="1" t="s">
        <v>103</v>
      </c>
      <c r="S8" s="12">
        <f>COUNTIF(requirement_measure_map!$C$3:$C$1514,data_requirement!A8)</f>
        <v>9</v>
      </c>
      <c r="T8" s="5"/>
      <c r="U8" s="49">
        <f t="shared" si="0"/>
        <v>1</v>
      </c>
    </row>
    <row r="9" spans="1:21" x14ac:dyDescent="0.15">
      <c r="A9" s="35">
        <v>7</v>
      </c>
      <c r="B9" s="35">
        <v>2</v>
      </c>
      <c r="C9" s="5" t="str">
        <f>_xlfn.XLOOKUP(tblDataRequirement[[#This Row],[id_subdomain]],tblDomain[Id_subdomain],tblDomain[domain_sub_domain])</f>
        <v>Funders:Expenditure</v>
      </c>
      <c r="D9" s="5" t="s">
        <v>106</v>
      </c>
      <c r="E9" s="36" t="str">
        <f>tblDataRequirement[[#This Row],[domain_sub_domain]]&amp;":"&amp;tblDataRequirement[[#This Row],[data_requirement]]</f>
        <v>Funders:Expenditure:Local authority clients</v>
      </c>
      <c r="F9" s="36" t="str">
        <f>_xlfn.XLOOKUP(tblDataRequirement[[#This Row],[id_subdomain]],tblDomain[Id_subdomain],tblDomain[domain])</f>
        <v>Funders</v>
      </c>
      <c r="G9" s="36" t="str">
        <f>_xlfn.XLOOKUP(tblDataRequirement[[#This Row],[id_subdomain]],tblDomain[Id_subdomain],tblDomain[sub_domain])</f>
        <v>Expenditure</v>
      </c>
      <c r="H9" s="36" t="str">
        <f>tblDataRequirement[[#This Row],[data_requirement]]</f>
        <v>Local authority clients</v>
      </c>
      <c r="I9" s="36">
        <f>_xlfn.XLOOKUP(tblDataRequirement[[#This Row],[id_subdomain]],tblDomain[Id_subdomain],tblDomain[sequence_no])</f>
        <v>1.2</v>
      </c>
      <c r="J9" s="36">
        <v>4</v>
      </c>
      <c r="K9" s="36" t="str">
        <f>tblDataRequirement[[#This Row],[domain_seq]]&amp;"."&amp;TEXT(tblDataRequirement[[#This Row],[req_seq]],"00")</f>
        <v>1.2.04</v>
      </c>
      <c r="L9" s="36" t="s">
        <v>101</v>
      </c>
      <c r="N9" s="3"/>
      <c r="O9" s="3"/>
      <c r="P9" s="3"/>
      <c r="Q9" s="3"/>
      <c r="R9" s="1" t="s">
        <v>103</v>
      </c>
      <c r="S9" s="12">
        <f>COUNTIF(requirement_measure_map!$C$3:$C$1514,data_requirement!A9)</f>
        <v>18</v>
      </c>
      <c r="T9" s="5"/>
      <c r="U9" s="49">
        <f t="shared" si="0"/>
        <v>1</v>
      </c>
    </row>
    <row r="10" spans="1:21" x14ac:dyDescent="0.15">
      <c r="A10" s="35">
        <v>8</v>
      </c>
      <c r="B10" s="35">
        <v>3</v>
      </c>
      <c r="C10" s="5" t="str">
        <f>_xlfn.XLOOKUP(tblDataRequirement[[#This Row],[id_subdomain]],tblDomain[Id_subdomain],tblDomain[domain_sub_domain])</f>
        <v>Funders:Income</v>
      </c>
      <c r="D10" s="5" t="s">
        <v>107</v>
      </c>
      <c r="E10" s="36" t="str">
        <f>tblDataRequirement[[#This Row],[domain_sub_domain]]&amp;":"&amp;tblDataRequirement[[#This Row],[data_requirement]]</f>
        <v>Funders:Income:Local authority</v>
      </c>
      <c r="F10" s="36" t="str">
        <f>_xlfn.XLOOKUP(tblDataRequirement[[#This Row],[id_subdomain]],tblDomain[Id_subdomain],tblDomain[domain])</f>
        <v>Funders</v>
      </c>
      <c r="G10" s="36" t="str">
        <f>_xlfn.XLOOKUP(tblDataRequirement[[#This Row],[id_subdomain]],tblDomain[Id_subdomain],tblDomain[sub_domain])</f>
        <v>Income</v>
      </c>
      <c r="H10" s="36" t="str">
        <f>tblDataRequirement[[#This Row],[data_requirement]]</f>
        <v>Local authority</v>
      </c>
      <c r="I10" s="36">
        <f>_xlfn.XLOOKUP(tblDataRequirement[[#This Row],[id_subdomain]],tblDomain[Id_subdomain],tblDomain[sequence_no])</f>
        <v>1.3</v>
      </c>
      <c r="J10" s="36">
        <v>1</v>
      </c>
      <c r="K10" s="36" t="str">
        <f>tblDataRequirement[[#This Row],[domain_seq]]&amp;"."&amp;TEXT(tblDataRequirement[[#This Row],[req_seq]],"00")</f>
        <v>1.3.01</v>
      </c>
      <c r="L10" s="36" t="s">
        <v>101</v>
      </c>
      <c r="N10" s="3"/>
      <c r="O10" s="3"/>
      <c r="P10" s="3"/>
      <c r="Q10" s="3"/>
      <c r="R10" s="1" t="s">
        <v>103</v>
      </c>
      <c r="S10" s="12">
        <f>COUNTIF(requirement_measure_map!$C$3:$C$1514,data_requirement!A10)</f>
        <v>23</v>
      </c>
      <c r="T10" s="5"/>
      <c r="U10" s="49">
        <f t="shared" si="0"/>
        <v>1</v>
      </c>
    </row>
    <row r="11" spans="1:21" x14ac:dyDescent="0.15">
      <c r="A11" s="35">
        <v>9</v>
      </c>
      <c r="B11" s="35">
        <v>4</v>
      </c>
      <c r="C11" s="5" t="str">
        <f>_xlfn.XLOOKUP(tblDataRequirement[[#This Row],[id_subdomain]],tblDomain[Id_subdomain],tblDomain[domain_sub_domain])</f>
        <v>Providers:Investors</v>
      </c>
      <c r="D11" s="5" t="s">
        <v>67</v>
      </c>
      <c r="E11" s="5" t="str">
        <f>tblDataRequirement[[#This Row],[domain_sub_domain]]&amp;":"&amp;tblDataRequirement[[#This Row],[data_requirement]]</f>
        <v>Providers:Investors:Investors</v>
      </c>
      <c r="F11" s="5" t="str">
        <f>_xlfn.XLOOKUP(tblDataRequirement[[#This Row],[id_subdomain]],tblDomain[Id_subdomain],tblDomain[domain])</f>
        <v>Providers</v>
      </c>
      <c r="G11" s="5" t="str">
        <f>_xlfn.XLOOKUP(tblDataRequirement[[#This Row],[id_subdomain]],tblDomain[Id_subdomain],tblDomain[sub_domain])</f>
        <v>Investors</v>
      </c>
      <c r="H11" s="5" t="str">
        <f>tblDataRequirement[[#This Row],[data_requirement]]</f>
        <v>Investors</v>
      </c>
      <c r="I11" s="5">
        <f>_xlfn.XLOOKUP(tblDataRequirement[[#This Row],[id_subdomain]],tblDomain[Id_subdomain],tblDomain[sequence_no])</f>
        <v>2.1</v>
      </c>
      <c r="J11" s="5">
        <v>1</v>
      </c>
      <c r="K11" s="5" t="str">
        <f>tblDataRequirement[[#This Row],[domain_seq]]&amp;"."&amp;TEXT(tblDataRequirement[[#This Row],[req_seq]],"00")</f>
        <v>2.1.01</v>
      </c>
      <c r="L11" s="5" t="s">
        <v>101</v>
      </c>
      <c r="M11" s="5"/>
      <c r="N11" s="35" t="s">
        <v>102</v>
      </c>
      <c r="O11" s="35"/>
      <c r="P11" s="35"/>
      <c r="Q11" s="35"/>
      <c r="R11" s="1" t="s">
        <v>103</v>
      </c>
      <c r="S11" s="12">
        <f>COUNTIF(requirement_measure_map!$C$3:$C$1514,data_requirement!A11)</f>
        <v>0</v>
      </c>
      <c r="T11" s="5"/>
      <c r="U11" s="49">
        <f t="shared" si="0"/>
        <v>1</v>
      </c>
    </row>
    <row r="12" spans="1:21" x14ac:dyDescent="0.15">
      <c r="A12" s="35">
        <v>60</v>
      </c>
      <c r="B12" s="35">
        <v>8</v>
      </c>
      <c r="C12" s="5" t="str">
        <f>_xlfn.XLOOKUP(tblDataRequirement[[#This Row],[id_subdomain]],tblDomain[Id_subdomain],tblDomain[domain_sub_domain])</f>
        <v>Providers:Type</v>
      </c>
      <c r="D12" s="5" t="s">
        <v>110</v>
      </c>
      <c r="E12" s="36" t="str">
        <f>tblDataRequirement[[#This Row],[domain_sub_domain]]&amp;":"&amp;tblDataRequirement[[#This Row],[data_requirement]]</f>
        <v>Providers:Type:Organisations</v>
      </c>
      <c r="F12" s="36" t="str">
        <f>_xlfn.XLOOKUP(tblDataRequirement[[#This Row],[id_subdomain]],tblDomain[Id_subdomain],tblDomain[domain])</f>
        <v>Providers</v>
      </c>
      <c r="G12" s="36" t="str">
        <f>_xlfn.XLOOKUP(tblDataRequirement[[#This Row],[id_subdomain]],tblDomain[Id_subdomain],tblDomain[sub_domain])</f>
        <v>Type</v>
      </c>
      <c r="H12" s="36" t="str">
        <f>tblDataRequirement[[#This Row],[data_requirement]]</f>
        <v>Organisations</v>
      </c>
      <c r="I12" s="36">
        <f>_xlfn.XLOOKUP(tblDataRequirement[[#This Row],[id_subdomain]],tblDomain[Id_subdomain],tblDomain[sequence_no])</f>
        <v>2.2000000000000002</v>
      </c>
      <c r="J12" s="36">
        <v>1</v>
      </c>
      <c r="K12" s="36" t="str">
        <f>tblDataRequirement[[#This Row],[domain_seq]]&amp;"."&amp;TEXT(tblDataRequirement[[#This Row],[req_seq]],"00")</f>
        <v>2.2.01</v>
      </c>
      <c r="L12" s="36" t="s">
        <v>109</v>
      </c>
      <c r="M12" s="5"/>
      <c r="N12" s="35" t="s">
        <v>102</v>
      </c>
      <c r="O12" s="35"/>
      <c r="P12" s="35"/>
      <c r="Q12" s="35"/>
      <c r="R12" s="1" t="s">
        <v>103</v>
      </c>
      <c r="S12" s="12">
        <f>COUNTIF(requirement_measure_map!$C$3:$C$1514,data_requirement!A12)</f>
        <v>41</v>
      </c>
      <c r="T12" s="5"/>
      <c r="U12" s="49">
        <f t="shared" si="0"/>
        <v>1</v>
      </c>
    </row>
    <row r="13" spans="1:21" x14ac:dyDescent="0.15">
      <c r="A13" s="35">
        <v>96</v>
      </c>
      <c r="B13" s="35">
        <v>8</v>
      </c>
      <c r="C13" s="5" t="str">
        <f>_xlfn.XLOOKUP(tblDataRequirement[[#This Row],[id_subdomain]],tblDomain[Id_subdomain],tblDomain[domain_sub_domain])</f>
        <v>Providers:Type</v>
      </c>
      <c r="D13" s="5" t="s">
        <v>111</v>
      </c>
      <c r="E13" s="36" t="str">
        <f>tblDataRequirement[[#This Row],[domain_sub_domain]]&amp;":"&amp;tblDataRequirement[[#This Row],[data_requirement]]</f>
        <v>Providers:Type:Capacity</v>
      </c>
      <c r="F13" s="36" t="str">
        <f>_xlfn.XLOOKUP(tblDataRequirement[[#This Row],[id_subdomain]],tblDomain[Id_subdomain],tblDomain[domain])</f>
        <v>Providers</v>
      </c>
      <c r="G13" s="36" t="str">
        <f>_xlfn.XLOOKUP(tblDataRequirement[[#This Row],[id_subdomain]],tblDomain[Id_subdomain],tblDomain[sub_domain])</f>
        <v>Type</v>
      </c>
      <c r="H13" s="36" t="str">
        <f>tblDataRequirement[[#This Row],[data_requirement]]</f>
        <v>Capacity</v>
      </c>
      <c r="I13" s="36">
        <f>_xlfn.XLOOKUP(tblDataRequirement[[#This Row],[id_subdomain]],tblDomain[Id_subdomain],tblDomain[sequence_no])</f>
        <v>2.2000000000000002</v>
      </c>
      <c r="J13" s="36">
        <v>2</v>
      </c>
      <c r="K13" s="36" t="str">
        <f>tblDataRequirement[[#This Row],[domain_seq]]&amp;"."&amp;TEXT(tblDataRequirement[[#This Row],[req_seq]],"00")</f>
        <v>2.2.02</v>
      </c>
      <c r="L13" s="36" t="s">
        <v>101</v>
      </c>
      <c r="M13" s="5"/>
      <c r="N13" s="35"/>
      <c r="O13" s="35"/>
      <c r="P13" s="35"/>
      <c r="Q13" s="35"/>
      <c r="R13" s="1" t="s">
        <v>103</v>
      </c>
      <c r="S13" s="12">
        <f>COUNTIF(requirement_measure_map!$C$3:$C$1514,data_requirement!A13)</f>
        <v>5</v>
      </c>
      <c r="T13" s="5"/>
      <c r="U13" s="48">
        <f t="shared" si="0"/>
        <v>1</v>
      </c>
    </row>
    <row r="14" spans="1:21" x14ac:dyDescent="0.15">
      <c r="A14" s="35">
        <v>10</v>
      </c>
      <c r="B14" s="35">
        <v>5</v>
      </c>
      <c r="C14" s="5" t="str">
        <f>_xlfn.XLOOKUP(tblDataRequirement[[#This Row],[id_subdomain]],tblDomain[Id_subdomain],tblDomain[domain_sub_domain])</f>
        <v>Providers:Workforce</v>
      </c>
      <c r="D14" s="5" t="s">
        <v>112</v>
      </c>
      <c r="E14" s="36" t="str">
        <f>tblDataRequirement[[#This Row],[domain_sub_domain]]&amp;":"&amp;tblDataRequirement[[#This Row],[data_requirement]]</f>
        <v>Providers:Workforce:Filled jobs</v>
      </c>
      <c r="F14" s="36" t="str">
        <f>_xlfn.XLOOKUP(tblDataRequirement[[#This Row],[id_subdomain]],tblDomain[Id_subdomain],tblDomain[domain])</f>
        <v>Providers</v>
      </c>
      <c r="G14" s="36" t="str">
        <f>_xlfn.XLOOKUP(tblDataRequirement[[#This Row],[id_subdomain]],tblDomain[Id_subdomain],tblDomain[sub_domain])</f>
        <v>Workforce</v>
      </c>
      <c r="H14" s="36" t="str">
        <f>tblDataRequirement[[#This Row],[data_requirement]]</f>
        <v>Filled jobs</v>
      </c>
      <c r="I14" s="36">
        <f>_xlfn.XLOOKUP(tblDataRequirement[[#This Row],[id_subdomain]],tblDomain[Id_subdomain],tblDomain[sequence_no])</f>
        <v>2.2999999999999998</v>
      </c>
      <c r="J14" s="36">
        <v>1</v>
      </c>
      <c r="K14" s="36" t="str">
        <f>tblDataRequirement[[#This Row],[domain_seq]]&amp;"."&amp;TEXT(tblDataRequirement[[#This Row],[req_seq]],"00")</f>
        <v>2.3.01</v>
      </c>
      <c r="L14" s="36" t="s">
        <v>101</v>
      </c>
      <c r="M14" s="5"/>
      <c r="N14" s="35" t="s">
        <v>102</v>
      </c>
      <c r="O14" s="35"/>
      <c r="P14" s="35"/>
      <c r="Q14" s="35"/>
      <c r="R14" s="1" t="s">
        <v>103</v>
      </c>
      <c r="S14" s="12">
        <f>COUNTIF(requirement_measure_map!$C$3:$C$1514,data_requirement!A14)</f>
        <v>47</v>
      </c>
      <c r="T14" s="5"/>
      <c r="U14" s="49">
        <f t="shared" si="0"/>
        <v>1</v>
      </c>
    </row>
    <row r="15" spans="1:21" x14ac:dyDescent="0.15">
      <c r="A15" s="35">
        <v>11</v>
      </c>
      <c r="B15" s="35">
        <v>5</v>
      </c>
      <c r="C15" s="5" t="str">
        <f>_xlfn.XLOOKUP(tblDataRequirement[[#This Row],[id_subdomain]],tblDomain[Id_subdomain],tblDomain[domain_sub_domain])</f>
        <v>Providers:Workforce</v>
      </c>
      <c r="D15" s="5" t="s">
        <v>113</v>
      </c>
      <c r="E15" s="36" t="str">
        <f>tblDataRequirement[[#This Row],[domain_sub_domain]]&amp;":"&amp;tblDataRequirement[[#This Row],[data_requirement]]</f>
        <v>Providers:Workforce:Vacancies</v>
      </c>
      <c r="F15" s="36" t="str">
        <f>_xlfn.XLOOKUP(tblDataRequirement[[#This Row],[id_subdomain]],tblDomain[Id_subdomain],tblDomain[domain])</f>
        <v>Providers</v>
      </c>
      <c r="G15" s="36" t="str">
        <f>_xlfn.XLOOKUP(tblDataRequirement[[#This Row],[id_subdomain]],tblDomain[Id_subdomain],tblDomain[sub_domain])</f>
        <v>Workforce</v>
      </c>
      <c r="H15" s="36" t="str">
        <f>tblDataRequirement[[#This Row],[data_requirement]]</f>
        <v>Vacancies</v>
      </c>
      <c r="I15" s="36">
        <f>_xlfn.XLOOKUP(tblDataRequirement[[#This Row],[id_subdomain]],tblDomain[Id_subdomain],tblDomain[sequence_no])</f>
        <v>2.2999999999999998</v>
      </c>
      <c r="J15" s="36">
        <v>2</v>
      </c>
      <c r="K15" s="36" t="str">
        <f>tblDataRequirement[[#This Row],[domain_seq]]&amp;"."&amp;TEXT(tblDataRequirement[[#This Row],[req_seq]],"00")</f>
        <v>2.3.02</v>
      </c>
      <c r="L15" s="36" t="s">
        <v>101</v>
      </c>
      <c r="M15" s="5"/>
      <c r="N15" s="35" t="s">
        <v>102</v>
      </c>
      <c r="O15" s="35"/>
      <c r="P15" s="35"/>
      <c r="Q15" s="35"/>
      <c r="R15" s="1" t="s">
        <v>103</v>
      </c>
      <c r="S15" s="12">
        <f>COUNTIF(requirement_measure_map!$C$3:$C$1514,data_requirement!A15)</f>
        <v>2</v>
      </c>
      <c r="T15" s="5"/>
      <c r="U15" s="49">
        <f t="shared" si="0"/>
        <v>1</v>
      </c>
    </row>
    <row r="16" spans="1:21" x14ac:dyDescent="0.15">
      <c r="A16" s="35">
        <v>12</v>
      </c>
      <c r="B16" s="35">
        <v>5</v>
      </c>
      <c r="C16" s="5" t="str">
        <f>_xlfn.XLOOKUP(tblDataRequirement[[#This Row],[id_subdomain]],tblDomain[Id_subdomain],tblDomain[domain_sub_domain])</f>
        <v>Providers:Workforce</v>
      </c>
      <c r="D16" s="5" t="s">
        <v>114</v>
      </c>
      <c r="E16" s="36" t="str">
        <f>tblDataRequirement[[#This Row],[domain_sub_domain]]&amp;":"&amp;tblDataRequirement[[#This Row],[data_requirement]]</f>
        <v>Providers:Workforce:Retention/turnover</v>
      </c>
      <c r="F16" s="36" t="str">
        <f>_xlfn.XLOOKUP(tblDataRequirement[[#This Row],[id_subdomain]],tblDomain[Id_subdomain],tblDomain[domain])</f>
        <v>Providers</v>
      </c>
      <c r="G16" s="36" t="str">
        <f>_xlfn.XLOOKUP(tblDataRequirement[[#This Row],[id_subdomain]],tblDomain[Id_subdomain],tblDomain[sub_domain])</f>
        <v>Workforce</v>
      </c>
      <c r="H16" s="36" t="str">
        <f>tblDataRequirement[[#This Row],[data_requirement]]</f>
        <v>Retention/turnover</v>
      </c>
      <c r="I16" s="36">
        <f>_xlfn.XLOOKUP(tblDataRequirement[[#This Row],[id_subdomain]],tblDomain[Id_subdomain],tblDomain[sequence_no])</f>
        <v>2.2999999999999998</v>
      </c>
      <c r="J16" s="36">
        <v>3</v>
      </c>
      <c r="K16" s="36" t="str">
        <f>tblDataRequirement[[#This Row],[domain_seq]]&amp;"."&amp;TEXT(tblDataRequirement[[#This Row],[req_seq]],"00")</f>
        <v>2.3.03</v>
      </c>
      <c r="L16" s="36" t="s">
        <v>109</v>
      </c>
      <c r="M16" s="5"/>
      <c r="N16" s="35" t="s">
        <v>102</v>
      </c>
      <c r="O16" s="35"/>
      <c r="P16" s="35"/>
      <c r="Q16" s="35"/>
      <c r="R16" s="1" t="s">
        <v>103</v>
      </c>
      <c r="S16" s="12">
        <f>COUNTIF(requirement_measure_map!$C$3:$C$1514,data_requirement!A16)</f>
        <v>9</v>
      </c>
      <c r="T16" s="5"/>
      <c r="U16" s="49">
        <f t="shared" si="0"/>
        <v>1</v>
      </c>
    </row>
    <row r="17" spans="1:21" x14ac:dyDescent="0.15">
      <c r="A17" s="35">
        <v>100</v>
      </c>
      <c r="B17" s="35">
        <v>5</v>
      </c>
      <c r="C17" s="5" t="str">
        <f>_xlfn.XLOOKUP(tblDataRequirement[[#This Row],[id_subdomain]],tblDomain[Id_subdomain],tblDomain[domain_sub_domain])</f>
        <v>Providers:Workforce</v>
      </c>
      <c r="D17" s="5" t="s">
        <v>179</v>
      </c>
      <c r="E17" s="36" t="str">
        <f>tblDataRequirement[[#This Row],[domain_sub_domain]]&amp;":"&amp;tblDataRequirement[[#This Row],[data_requirement]]</f>
        <v>Providers:Workforce:Sickness absence</v>
      </c>
      <c r="F17" s="36" t="str">
        <f>_xlfn.XLOOKUP(tblDataRequirement[[#This Row],[id_subdomain]],tblDomain[Id_subdomain],tblDomain[domain])</f>
        <v>Providers</v>
      </c>
      <c r="G17" s="36" t="str">
        <f>_xlfn.XLOOKUP(tblDataRequirement[[#This Row],[id_subdomain]],tblDomain[Id_subdomain],tblDomain[sub_domain])</f>
        <v>Workforce</v>
      </c>
      <c r="H17" s="36" t="str">
        <f>tblDataRequirement[[#This Row],[data_requirement]]</f>
        <v>Sickness absence</v>
      </c>
      <c r="I17" s="36">
        <f>_xlfn.XLOOKUP(tblDataRequirement[[#This Row],[id_subdomain]],tblDomain[Id_subdomain],tblDomain[sequence_no])</f>
        <v>2.2999999999999998</v>
      </c>
      <c r="J17" s="36">
        <v>4</v>
      </c>
      <c r="K17" s="36" t="str">
        <f>tblDataRequirement[[#This Row],[domain_seq]]&amp;"."&amp;TEXT(tblDataRequirement[[#This Row],[req_seq]],"00")</f>
        <v>2.3.04</v>
      </c>
      <c r="L17" s="36" t="s">
        <v>109</v>
      </c>
      <c r="M17" s="5"/>
      <c r="N17" s="35"/>
      <c r="O17" s="35"/>
      <c r="P17" s="35"/>
      <c r="Q17" s="35"/>
      <c r="R17" s="1" t="s">
        <v>103</v>
      </c>
      <c r="S17" s="12">
        <f>COUNTIF(requirement_measure_map!$C$3:$C$1514,data_requirement!A17)</f>
        <v>1</v>
      </c>
      <c r="T17" s="5"/>
      <c r="U17" s="48">
        <f t="shared" si="0"/>
        <v>1</v>
      </c>
    </row>
    <row r="18" spans="1:21" x14ac:dyDescent="0.15">
      <c r="A18" s="35">
        <v>14</v>
      </c>
      <c r="B18" s="35">
        <v>6</v>
      </c>
      <c r="C18" s="5" t="str">
        <f>_xlfn.XLOOKUP(tblDataRequirement[[#This Row],[id_subdomain]],tblDomain[Id_subdomain],tblDomain[domain_sub_domain])</f>
        <v>Providers:Cost</v>
      </c>
      <c r="D18" s="5" t="s">
        <v>108</v>
      </c>
      <c r="E18" s="36" t="str">
        <f>tblDataRequirement[[#This Row],[domain_sub_domain]]&amp;":"&amp;tblDataRequirement[[#This Row],[data_requirement]]</f>
        <v>Providers:Cost:Unit costs</v>
      </c>
      <c r="F18" s="36" t="str">
        <f>_xlfn.XLOOKUP(tblDataRequirement[[#This Row],[id_subdomain]],tblDomain[Id_subdomain],tblDomain[domain])</f>
        <v>Providers</v>
      </c>
      <c r="G18" s="36" t="str">
        <f>_xlfn.XLOOKUP(tblDataRequirement[[#This Row],[id_subdomain]],tblDomain[Id_subdomain],tblDomain[sub_domain])</f>
        <v>Cost</v>
      </c>
      <c r="H18" s="36" t="str">
        <f>tblDataRequirement[[#This Row],[data_requirement]]</f>
        <v>Unit costs</v>
      </c>
      <c r="I18" s="36">
        <f>_xlfn.XLOOKUP(tblDataRequirement[[#This Row],[id_subdomain]],tblDomain[Id_subdomain],tblDomain[sequence_no])</f>
        <v>2.4</v>
      </c>
      <c r="J18" s="36">
        <v>1</v>
      </c>
      <c r="K18" s="36" t="str">
        <f>tblDataRequirement[[#This Row],[domain_seq]]&amp;"."&amp;TEXT(tblDataRequirement[[#This Row],[req_seq]],"00")</f>
        <v>2.4.01</v>
      </c>
      <c r="L18" s="36" t="s">
        <v>109</v>
      </c>
      <c r="N18" s="3"/>
      <c r="O18" s="3" t="s">
        <v>102</v>
      </c>
      <c r="P18" s="3"/>
      <c r="Q18" s="3"/>
      <c r="R18" s="1" t="s">
        <v>103</v>
      </c>
      <c r="S18" s="12">
        <f>COUNTIF(requirement_measure_map!$C$3:$C$1514,data_requirement!A18)</f>
        <v>5</v>
      </c>
      <c r="T18" s="5"/>
      <c r="U18" s="49">
        <f t="shared" si="0"/>
        <v>1</v>
      </c>
    </row>
    <row r="19" spans="1:21" x14ac:dyDescent="0.15">
      <c r="A19" s="35">
        <v>15</v>
      </c>
      <c r="B19" s="35">
        <v>7</v>
      </c>
      <c r="C19" s="5" t="str">
        <f>_xlfn.XLOOKUP(tblDataRequirement[[#This Row],[id_subdomain]],tblDomain[Id_subdomain],tblDomain[domain_sub_domain])</f>
        <v>Providers:Productivity</v>
      </c>
      <c r="D19" s="5" t="s">
        <v>70</v>
      </c>
      <c r="E19" s="36" t="str">
        <f>tblDataRequirement[[#This Row],[domain_sub_domain]]&amp;":"&amp;tblDataRequirement[[#This Row],[data_requirement]]</f>
        <v>Providers:Productivity:Productivity</v>
      </c>
      <c r="F19" s="36" t="str">
        <f>_xlfn.XLOOKUP(tblDataRequirement[[#This Row],[id_subdomain]],tblDomain[Id_subdomain],tblDomain[domain])</f>
        <v>Providers</v>
      </c>
      <c r="G19" s="36" t="str">
        <f>_xlfn.XLOOKUP(tblDataRequirement[[#This Row],[id_subdomain]],tblDomain[Id_subdomain],tblDomain[sub_domain])</f>
        <v>Productivity</v>
      </c>
      <c r="H19" s="36" t="str">
        <f>tblDataRequirement[[#This Row],[data_requirement]]</f>
        <v>Productivity</v>
      </c>
      <c r="I19" s="36">
        <f>_xlfn.XLOOKUP(tblDataRequirement[[#This Row],[id_subdomain]],tblDomain[Id_subdomain],tblDomain[sequence_no])</f>
        <v>2.5</v>
      </c>
      <c r="J19" s="36">
        <v>1</v>
      </c>
      <c r="K19" s="36" t="str">
        <f>tblDataRequirement[[#This Row],[domain_seq]]&amp;"."&amp;TEXT(tblDataRequirement[[#This Row],[req_seq]],"00")</f>
        <v>2.5.01</v>
      </c>
      <c r="L19" s="36" t="s">
        <v>109</v>
      </c>
      <c r="M19" s="5"/>
      <c r="N19" s="35"/>
      <c r="O19" s="35" t="s">
        <v>102</v>
      </c>
      <c r="P19" s="35"/>
      <c r="Q19" s="35"/>
      <c r="R19" s="1" t="s">
        <v>103</v>
      </c>
      <c r="S19" s="12">
        <f>COUNTIF(requirement_measure_map!$C$3:$C$1514,data_requirement!A19)</f>
        <v>8</v>
      </c>
      <c r="T19" s="5"/>
      <c r="U19" s="49">
        <f t="shared" si="0"/>
        <v>1</v>
      </c>
    </row>
    <row r="20" spans="1:21" x14ac:dyDescent="0.15">
      <c r="A20" s="35">
        <v>27</v>
      </c>
      <c r="B20" s="35">
        <v>22</v>
      </c>
      <c r="C20" s="5" t="str">
        <f>_xlfn.XLOOKUP(tblDataRequirement[[#This Row],[id_subdomain]],tblDomain[Id_subdomain],tblDomain[domain_sub_domain])</f>
        <v>Service:Access</v>
      </c>
      <c r="D20" s="5" t="s">
        <v>115</v>
      </c>
      <c r="E20" s="36" t="str">
        <f>tblDataRequirement[[#This Row],[domain_sub_domain]]&amp;":"&amp;tblDataRequirement[[#This Row],[data_requirement]]</f>
        <v>Service:Access:Requests for local authority-funded care</v>
      </c>
      <c r="F20" s="36" t="str">
        <f>_xlfn.XLOOKUP(tblDataRequirement[[#This Row],[id_subdomain]],tblDomain[Id_subdomain],tblDomain[domain])</f>
        <v>Service</v>
      </c>
      <c r="G20" s="36" t="str">
        <f>_xlfn.XLOOKUP(tblDataRequirement[[#This Row],[id_subdomain]],tblDomain[Id_subdomain],tblDomain[sub_domain])</f>
        <v>Access</v>
      </c>
      <c r="H20" s="36" t="str">
        <f>tblDataRequirement[[#This Row],[data_requirement]]</f>
        <v>Requests for local authority-funded care</v>
      </c>
      <c r="I20" s="36">
        <f>_xlfn.XLOOKUP(tblDataRequirement[[#This Row],[id_subdomain]],tblDomain[Id_subdomain],tblDomain[sequence_no])</f>
        <v>3.1</v>
      </c>
      <c r="J20" s="36">
        <v>1</v>
      </c>
      <c r="K20" s="36" t="str">
        <f>tblDataRequirement[[#This Row],[domain_seq]]&amp;"."&amp;TEXT(tblDataRequirement[[#This Row],[req_seq]],"00")</f>
        <v>3.1.01</v>
      </c>
      <c r="L20" s="36" t="s">
        <v>116</v>
      </c>
      <c r="M20" s="5"/>
      <c r="N20" s="35"/>
      <c r="O20" s="35"/>
      <c r="P20" s="35" t="s">
        <v>102</v>
      </c>
      <c r="Q20" s="35"/>
      <c r="R20" s="1" t="s">
        <v>103</v>
      </c>
      <c r="S20" s="12">
        <f>COUNTIF(requirement_measure_map!$C$3:$C$1514,data_requirement!A20)</f>
        <v>14</v>
      </c>
      <c r="T20" s="5"/>
      <c r="U20" s="49">
        <f t="shared" si="0"/>
        <v>1</v>
      </c>
    </row>
    <row r="21" spans="1:21" x14ac:dyDescent="0.15">
      <c r="A21" s="35">
        <v>28</v>
      </c>
      <c r="B21" s="35">
        <v>22</v>
      </c>
      <c r="C21" s="5" t="str">
        <f>_xlfn.XLOOKUP(tblDataRequirement[[#This Row],[id_subdomain]],tblDomain[Id_subdomain],tblDomain[domain_sub_domain])</f>
        <v>Service:Access</v>
      </c>
      <c r="D21" s="5" t="s">
        <v>117</v>
      </c>
      <c r="E21" s="36" t="str">
        <f>tblDataRequirement[[#This Row],[domain_sub_domain]]&amp;":"&amp;tblDataRequirement[[#This Row],[data_requirement]]</f>
        <v>Service:Access:Eligible for local authority funded care</v>
      </c>
      <c r="F21" s="36" t="str">
        <f>_xlfn.XLOOKUP(tblDataRequirement[[#This Row],[id_subdomain]],tblDomain[Id_subdomain],tblDomain[domain])</f>
        <v>Service</v>
      </c>
      <c r="G21" s="36" t="str">
        <f>_xlfn.XLOOKUP(tblDataRequirement[[#This Row],[id_subdomain]],tblDomain[Id_subdomain],tblDomain[sub_domain])</f>
        <v>Access</v>
      </c>
      <c r="H21" s="36" t="str">
        <f>tblDataRequirement[[#This Row],[data_requirement]]</f>
        <v>Eligible for local authority funded care</v>
      </c>
      <c r="I21" s="36">
        <f>_xlfn.XLOOKUP(tblDataRequirement[[#This Row],[id_subdomain]],tblDomain[Id_subdomain],tblDomain[sequence_no])</f>
        <v>3.1</v>
      </c>
      <c r="J21" s="36">
        <v>2</v>
      </c>
      <c r="K21" s="36" t="str">
        <f>tblDataRequirement[[#This Row],[domain_seq]]&amp;"."&amp;TEXT(tblDataRequirement[[#This Row],[req_seq]],"00")</f>
        <v>3.1.02</v>
      </c>
      <c r="L21" s="36" t="s">
        <v>116</v>
      </c>
      <c r="M21" s="5"/>
      <c r="N21" s="35"/>
      <c r="O21" s="35" t="s">
        <v>102</v>
      </c>
      <c r="P21" s="35"/>
      <c r="Q21" s="35"/>
      <c r="R21" s="1" t="s">
        <v>103</v>
      </c>
      <c r="S21" s="12">
        <f>COUNTIF(requirement_measure_map!$C$3:$C$1514,data_requirement!A21)</f>
        <v>26</v>
      </c>
      <c r="T21" s="5"/>
      <c r="U21" s="49">
        <f t="shared" si="0"/>
        <v>1</v>
      </c>
    </row>
    <row r="22" spans="1:21" x14ac:dyDescent="0.15">
      <c r="A22" s="35">
        <v>57</v>
      </c>
      <c r="B22" s="35">
        <v>22</v>
      </c>
      <c r="C22" s="5" t="str">
        <f>_xlfn.XLOOKUP(tblDataRequirement[[#This Row],[id_subdomain]],tblDomain[Id_subdomain],tblDomain[domain_sub_domain])</f>
        <v>Service:Access</v>
      </c>
      <c r="D22" s="5" t="s">
        <v>118</v>
      </c>
      <c r="E22" s="36" t="str">
        <f>tblDataRequirement[[#This Row],[domain_sub_domain]]&amp;":"&amp;tblDataRequirement[[#This Row],[data_requirement]]</f>
        <v>Service:Access:Not eligible for local authority funded care</v>
      </c>
      <c r="F22" s="36" t="str">
        <f>_xlfn.XLOOKUP(tblDataRequirement[[#This Row],[id_subdomain]],tblDomain[Id_subdomain],tblDomain[domain])</f>
        <v>Service</v>
      </c>
      <c r="G22" s="36" t="str">
        <f>_xlfn.XLOOKUP(tblDataRequirement[[#This Row],[id_subdomain]],tblDomain[Id_subdomain],tblDomain[sub_domain])</f>
        <v>Access</v>
      </c>
      <c r="H22" s="36" t="str">
        <f>tblDataRequirement[[#This Row],[data_requirement]]</f>
        <v>Not eligible for local authority funded care</v>
      </c>
      <c r="I22" s="36">
        <f>_xlfn.XLOOKUP(tblDataRequirement[[#This Row],[id_subdomain]],tblDomain[Id_subdomain],tblDomain[sequence_no])</f>
        <v>3.1</v>
      </c>
      <c r="J22" s="36">
        <v>3</v>
      </c>
      <c r="K22" s="36" t="str">
        <f>tblDataRequirement[[#This Row],[domain_seq]]&amp;"."&amp;TEXT(tblDataRequirement[[#This Row],[req_seq]],"00")</f>
        <v>3.1.03</v>
      </c>
      <c r="L22" s="36" t="s">
        <v>116</v>
      </c>
      <c r="M22" s="5"/>
      <c r="N22" s="35"/>
      <c r="O22" s="35"/>
      <c r="P22" s="35"/>
      <c r="Q22" s="35"/>
      <c r="R22" s="1" t="s">
        <v>103</v>
      </c>
      <c r="S22" s="12">
        <f>COUNTIF(requirement_measure_map!$C$3:$C$1514,data_requirement!A22)</f>
        <v>10</v>
      </c>
      <c r="T22" s="5"/>
      <c r="U22" s="49">
        <f t="shared" si="0"/>
        <v>1</v>
      </c>
    </row>
    <row r="23" spans="1:21" x14ac:dyDescent="0.15">
      <c r="A23" s="35">
        <v>29</v>
      </c>
      <c r="B23" s="35">
        <v>22</v>
      </c>
      <c r="C23" s="5" t="str">
        <f>_xlfn.XLOOKUP(tblDataRequirement[[#This Row],[id_subdomain]],tblDomain[Id_subdomain],tblDomain[domain_sub_domain])</f>
        <v>Service:Access</v>
      </c>
      <c r="D23" s="5" t="s">
        <v>119</v>
      </c>
      <c r="E23" s="36" t="str">
        <f>tblDataRequirement[[#This Row],[domain_sub_domain]]&amp;":"&amp;tblDataRequirement[[#This Row],[data_requirement]]</f>
        <v>Service:Access:Requests for NHS-funded care</v>
      </c>
      <c r="F23" s="36" t="str">
        <f>_xlfn.XLOOKUP(tblDataRequirement[[#This Row],[id_subdomain]],tblDomain[Id_subdomain],tblDomain[domain])</f>
        <v>Service</v>
      </c>
      <c r="G23" s="36" t="str">
        <f>_xlfn.XLOOKUP(tblDataRequirement[[#This Row],[id_subdomain]],tblDomain[Id_subdomain],tblDomain[sub_domain])</f>
        <v>Access</v>
      </c>
      <c r="H23" s="36" t="str">
        <f>tblDataRequirement[[#This Row],[data_requirement]]</f>
        <v>Requests for NHS-funded care</v>
      </c>
      <c r="I23" s="36">
        <f>_xlfn.XLOOKUP(tblDataRequirement[[#This Row],[id_subdomain]],tblDomain[Id_subdomain],tblDomain[sequence_no])</f>
        <v>3.1</v>
      </c>
      <c r="J23" s="36">
        <v>4</v>
      </c>
      <c r="K23" s="36" t="str">
        <f>tblDataRequirement[[#This Row],[domain_seq]]&amp;"."&amp;TEXT(tblDataRequirement[[#This Row],[req_seq]],"00")</f>
        <v>3.1.04</v>
      </c>
      <c r="L23" s="36" t="s">
        <v>116</v>
      </c>
      <c r="M23" s="5"/>
      <c r="N23" s="35"/>
      <c r="O23" s="35"/>
      <c r="P23" s="35" t="s">
        <v>102</v>
      </c>
      <c r="Q23" s="35"/>
      <c r="R23" s="1" t="s">
        <v>103</v>
      </c>
      <c r="S23" s="12">
        <f>COUNTIF(requirement_measure_map!$C$3:$C$1514,data_requirement!A23)</f>
        <v>4</v>
      </c>
      <c r="T23" s="5"/>
      <c r="U23" s="49">
        <f t="shared" si="0"/>
        <v>1</v>
      </c>
    </row>
    <row r="24" spans="1:21" x14ac:dyDescent="0.15">
      <c r="A24" s="35">
        <v>30</v>
      </c>
      <c r="B24" s="35">
        <v>22</v>
      </c>
      <c r="C24" s="5" t="str">
        <f>_xlfn.XLOOKUP(tblDataRequirement[[#This Row],[id_subdomain]],tblDomain[Id_subdomain],tblDomain[domain_sub_domain])</f>
        <v>Service:Access</v>
      </c>
      <c r="D24" s="5" t="s">
        <v>120</v>
      </c>
      <c r="E24" s="36" t="str">
        <f>tblDataRequirement[[#This Row],[domain_sub_domain]]&amp;":"&amp;tblDataRequirement[[#This Row],[data_requirement]]</f>
        <v>Service:Access:Eligible for NHS-funded care</v>
      </c>
      <c r="F24" s="36" t="str">
        <f>_xlfn.XLOOKUP(tblDataRequirement[[#This Row],[id_subdomain]],tblDomain[Id_subdomain],tblDomain[domain])</f>
        <v>Service</v>
      </c>
      <c r="G24" s="36" t="str">
        <f>_xlfn.XLOOKUP(tblDataRequirement[[#This Row],[id_subdomain]],tblDomain[Id_subdomain],tblDomain[sub_domain])</f>
        <v>Access</v>
      </c>
      <c r="H24" s="36" t="str">
        <f>tblDataRequirement[[#This Row],[data_requirement]]</f>
        <v>Eligible for NHS-funded care</v>
      </c>
      <c r="I24" s="36">
        <f>_xlfn.XLOOKUP(tblDataRequirement[[#This Row],[id_subdomain]],tblDomain[Id_subdomain],tblDomain[sequence_no])</f>
        <v>3.1</v>
      </c>
      <c r="J24" s="36">
        <v>5</v>
      </c>
      <c r="K24" s="36" t="str">
        <f>tblDataRequirement[[#This Row],[domain_seq]]&amp;"."&amp;TEXT(tblDataRequirement[[#This Row],[req_seq]],"00")</f>
        <v>3.1.05</v>
      </c>
      <c r="L24" s="36" t="s">
        <v>116</v>
      </c>
      <c r="M24" s="5"/>
      <c r="N24" s="35"/>
      <c r="O24" s="35" t="s">
        <v>102</v>
      </c>
      <c r="P24" s="35"/>
      <c r="Q24" s="35"/>
      <c r="R24" s="1" t="s">
        <v>103</v>
      </c>
      <c r="S24" s="12">
        <f>COUNTIF(requirement_measure_map!$C$3:$C$1514,data_requirement!A24)</f>
        <v>9</v>
      </c>
      <c r="T24" s="5"/>
      <c r="U24" s="49">
        <f t="shared" si="0"/>
        <v>1</v>
      </c>
    </row>
    <row r="25" spans="1:21" x14ac:dyDescent="0.15">
      <c r="A25" s="35">
        <v>58</v>
      </c>
      <c r="B25" s="35">
        <v>22</v>
      </c>
      <c r="C25" s="5" t="str">
        <f>_xlfn.XLOOKUP(tblDataRequirement[[#This Row],[id_subdomain]],tblDomain[Id_subdomain],tblDomain[domain_sub_domain])</f>
        <v>Service:Access</v>
      </c>
      <c r="D25" s="5" t="s">
        <v>121</v>
      </c>
      <c r="E25" s="36" t="str">
        <f>tblDataRequirement[[#This Row],[domain_sub_domain]]&amp;":"&amp;tblDataRequirement[[#This Row],[data_requirement]]</f>
        <v>Service:Access:Not eligible for NHS-funded care</v>
      </c>
      <c r="F25" s="36" t="str">
        <f>_xlfn.XLOOKUP(tblDataRequirement[[#This Row],[id_subdomain]],tblDomain[Id_subdomain],tblDomain[domain])</f>
        <v>Service</v>
      </c>
      <c r="G25" s="36" t="str">
        <f>_xlfn.XLOOKUP(tblDataRequirement[[#This Row],[id_subdomain]],tblDomain[Id_subdomain],tblDomain[sub_domain])</f>
        <v>Access</v>
      </c>
      <c r="H25" s="36" t="str">
        <f>tblDataRequirement[[#This Row],[data_requirement]]</f>
        <v>Not eligible for NHS-funded care</v>
      </c>
      <c r="I25" s="36">
        <f>_xlfn.XLOOKUP(tblDataRequirement[[#This Row],[id_subdomain]],tblDomain[Id_subdomain],tblDomain[sequence_no])</f>
        <v>3.1</v>
      </c>
      <c r="J25" s="36">
        <v>6</v>
      </c>
      <c r="K25" s="36" t="str">
        <f>tblDataRequirement[[#This Row],[domain_seq]]&amp;"."&amp;TEXT(tblDataRequirement[[#This Row],[req_seq]],"00")</f>
        <v>3.1.06</v>
      </c>
      <c r="L25" s="36" t="s">
        <v>116</v>
      </c>
      <c r="M25" s="5"/>
      <c r="N25" s="35"/>
      <c r="O25" s="35"/>
      <c r="P25" s="35"/>
      <c r="Q25" s="35"/>
      <c r="R25" s="1" t="s">
        <v>103</v>
      </c>
      <c r="S25" s="12">
        <f>COUNTIF(requirement_measure_map!$C$3:$C$1514,data_requirement!A25)</f>
        <v>1</v>
      </c>
      <c r="T25" s="5"/>
      <c r="U25" s="49">
        <f t="shared" si="0"/>
        <v>1</v>
      </c>
    </row>
    <row r="26" spans="1:21" x14ac:dyDescent="0.15">
      <c r="A26" s="35">
        <v>31</v>
      </c>
      <c r="B26" s="35">
        <v>22</v>
      </c>
      <c r="C26" s="5" t="str">
        <f>_xlfn.XLOOKUP(tblDataRequirement[[#This Row],[id_subdomain]],tblDomain[Id_subdomain],tblDomain[domain_sub_domain])</f>
        <v>Service:Access</v>
      </c>
      <c r="D26" s="5" t="s">
        <v>122</v>
      </c>
      <c r="E26" s="36" t="str">
        <f>tblDataRequirement[[#This Row],[domain_sub_domain]]&amp;":"&amp;tblDataRequirement[[#This Row],[data_requirement]]</f>
        <v>Service:Access:Public perception</v>
      </c>
      <c r="F26" s="36" t="str">
        <f>_xlfn.XLOOKUP(tblDataRequirement[[#This Row],[id_subdomain]],tblDomain[Id_subdomain],tblDomain[domain])</f>
        <v>Service</v>
      </c>
      <c r="G26" s="36" t="str">
        <f>_xlfn.XLOOKUP(tblDataRequirement[[#This Row],[id_subdomain]],tblDomain[Id_subdomain],tblDomain[sub_domain])</f>
        <v>Access</v>
      </c>
      <c r="H26" s="36" t="str">
        <f>tblDataRequirement[[#This Row],[data_requirement]]</f>
        <v>Public perception</v>
      </c>
      <c r="I26" s="36">
        <f>_xlfn.XLOOKUP(tblDataRequirement[[#This Row],[id_subdomain]],tblDomain[Id_subdomain],tblDomain[sequence_no])</f>
        <v>3.1</v>
      </c>
      <c r="J26" s="36">
        <v>7</v>
      </c>
      <c r="K26" s="36" t="str">
        <f>tblDataRequirement[[#This Row],[domain_seq]]&amp;"."&amp;TEXT(tblDataRequirement[[#This Row],[req_seq]],"00")</f>
        <v>3.1.07</v>
      </c>
      <c r="L26" s="36" t="s">
        <v>123</v>
      </c>
      <c r="M26" s="5"/>
      <c r="N26" s="35"/>
      <c r="O26" s="35" t="s">
        <v>102</v>
      </c>
      <c r="P26" s="35"/>
      <c r="Q26" s="35" t="s">
        <v>102</v>
      </c>
      <c r="R26" s="1" t="s">
        <v>103</v>
      </c>
      <c r="S26" s="12">
        <f>COUNTIF(requirement_measure_map!$C$3:$C$1514,data_requirement!A26)</f>
        <v>0</v>
      </c>
      <c r="T26" s="5"/>
      <c r="U26" s="49">
        <f t="shared" si="0"/>
        <v>1</v>
      </c>
    </row>
    <row r="27" spans="1:21" x14ac:dyDescent="0.15">
      <c r="A27" s="35">
        <v>32</v>
      </c>
      <c r="B27" s="35">
        <v>22</v>
      </c>
      <c r="C27" s="5" t="str">
        <f>_xlfn.XLOOKUP(tblDataRequirement[[#This Row],[id_subdomain]],tblDomain[Id_subdomain],tblDomain[domain_sub_domain])</f>
        <v>Service:Access</v>
      </c>
      <c r="D27" s="5" t="s">
        <v>124</v>
      </c>
      <c r="E27" s="36" t="str">
        <f>tblDataRequirement[[#This Row],[domain_sub_domain]]&amp;":"&amp;tblDataRequirement[[#This Row],[data_requirement]]</f>
        <v>Service:Access:User perception</v>
      </c>
      <c r="F27" s="36" t="str">
        <f>_xlfn.XLOOKUP(tblDataRequirement[[#This Row],[id_subdomain]],tblDomain[Id_subdomain],tblDomain[domain])</f>
        <v>Service</v>
      </c>
      <c r="G27" s="36" t="str">
        <f>_xlfn.XLOOKUP(tblDataRequirement[[#This Row],[id_subdomain]],tblDomain[Id_subdomain],tblDomain[sub_domain])</f>
        <v>Access</v>
      </c>
      <c r="H27" s="36" t="str">
        <f>tblDataRequirement[[#This Row],[data_requirement]]</f>
        <v>User perception</v>
      </c>
      <c r="I27" s="36">
        <f>_xlfn.XLOOKUP(tblDataRequirement[[#This Row],[id_subdomain]],tblDomain[Id_subdomain],tblDomain[sequence_no])</f>
        <v>3.1</v>
      </c>
      <c r="J27" s="36">
        <v>8</v>
      </c>
      <c r="K27" s="36" t="str">
        <f>tblDataRequirement[[#This Row],[domain_seq]]&amp;"."&amp;TEXT(tblDataRequirement[[#This Row],[req_seq]],"00")</f>
        <v>3.1.08</v>
      </c>
      <c r="L27" s="36" t="s">
        <v>123</v>
      </c>
      <c r="M27" s="5"/>
      <c r="N27" s="35"/>
      <c r="O27" s="35" t="s">
        <v>102</v>
      </c>
      <c r="P27" s="35"/>
      <c r="Q27" s="35" t="s">
        <v>102</v>
      </c>
      <c r="R27" s="1" t="s">
        <v>103</v>
      </c>
      <c r="S27" s="12">
        <f>COUNTIF(requirement_measure_map!$C$3:$C$1514,data_requirement!A27)</f>
        <v>1</v>
      </c>
      <c r="T27" s="5"/>
      <c r="U27" s="49">
        <f t="shared" si="0"/>
        <v>1</v>
      </c>
    </row>
    <row r="28" spans="1:21" x14ac:dyDescent="0.15">
      <c r="A28" s="35">
        <v>33</v>
      </c>
      <c r="B28" s="35">
        <v>22</v>
      </c>
      <c r="C28" s="5" t="str">
        <f>_xlfn.XLOOKUP(tblDataRequirement[[#This Row],[id_subdomain]],tblDomain[Id_subdomain],tblDomain[domain_sub_domain])</f>
        <v>Service:Access</v>
      </c>
      <c r="D28" s="5" t="s">
        <v>125</v>
      </c>
      <c r="E28" s="36" t="str">
        <f>tblDataRequirement[[#This Row],[domain_sub_domain]]&amp;":"&amp;tblDataRequirement[[#This Row],[data_requirement]]</f>
        <v>Service:Access:Access route</v>
      </c>
      <c r="F28" s="36" t="str">
        <f>_xlfn.XLOOKUP(tblDataRequirement[[#This Row],[id_subdomain]],tblDomain[Id_subdomain],tblDomain[domain])</f>
        <v>Service</v>
      </c>
      <c r="G28" s="36" t="str">
        <f>_xlfn.XLOOKUP(tblDataRequirement[[#This Row],[id_subdomain]],tblDomain[Id_subdomain],tblDomain[sub_domain])</f>
        <v>Access</v>
      </c>
      <c r="H28" s="36" t="str">
        <f>tblDataRequirement[[#This Row],[data_requirement]]</f>
        <v>Access route</v>
      </c>
      <c r="I28" s="36">
        <f>_xlfn.XLOOKUP(tblDataRequirement[[#This Row],[id_subdomain]],tblDomain[Id_subdomain],tblDomain[sequence_no])</f>
        <v>3.1</v>
      </c>
      <c r="J28" s="36">
        <v>9</v>
      </c>
      <c r="K28" s="36" t="str">
        <f>tblDataRequirement[[#This Row],[domain_seq]]&amp;"."&amp;TEXT(tblDataRequirement[[#This Row],[req_seq]],"00")</f>
        <v>3.1.09</v>
      </c>
      <c r="L28" s="36" t="s">
        <v>116</v>
      </c>
      <c r="M28" s="5"/>
      <c r="N28" s="35"/>
      <c r="O28" s="35"/>
      <c r="P28" s="35"/>
      <c r="Q28" s="35"/>
      <c r="R28" s="1" t="s">
        <v>103</v>
      </c>
      <c r="S28" s="12">
        <f>COUNTIF(requirement_measure_map!$C$3:$C$1514,data_requirement!A28)</f>
        <v>6</v>
      </c>
      <c r="T28" s="5"/>
      <c r="U28" s="49">
        <f t="shared" si="0"/>
        <v>1</v>
      </c>
    </row>
    <row r="29" spans="1:21" x14ac:dyDescent="0.15">
      <c r="A29" s="35">
        <v>69</v>
      </c>
      <c r="B29" s="35">
        <v>22</v>
      </c>
      <c r="C29" s="5" t="str">
        <f>_xlfn.XLOOKUP(tblDataRequirement[[#This Row],[id_subdomain]],tblDomain[Id_subdomain],tblDomain[domain_sub_domain])</f>
        <v>Service:Access</v>
      </c>
      <c r="D29" s="5" t="s">
        <v>126</v>
      </c>
      <c r="E29" s="36" t="str">
        <f>tblDataRequirement[[#This Row],[domain_sub_domain]]&amp;":"&amp;tblDataRequirement[[#This Row],[data_requirement]]</f>
        <v>Service:Access:Reviews</v>
      </c>
      <c r="F29" s="36" t="str">
        <f>_xlfn.XLOOKUP(tblDataRequirement[[#This Row],[id_subdomain]],tblDomain[Id_subdomain],tblDomain[domain])</f>
        <v>Service</v>
      </c>
      <c r="G29" s="36" t="str">
        <f>_xlfn.XLOOKUP(tblDataRequirement[[#This Row],[id_subdomain]],tblDomain[Id_subdomain],tblDomain[sub_domain])</f>
        <v>Access</v>
      </c>
      <c r="H29" s="36" t="str">
        <f>tblDataRequirement[[#This Row],[data_requirement]]</f>
        <v>Reviews</v>
      </c>
      <c r="I29" s="36">
        <f>_xlfn.XLOOKUP(tblDataRequirement[[#This Row],[id_subdomain]],tblDomain[Id_subdomain],tblDomain[sequence_no])</f>
        <v>3.1</v>
      </c>
      <c r="J29" s="36">
        <v>10</v>
      </c>
      <c r="K29" s="36" t="str">
        <f>tblDataRequirement[[#This Row],[domain_seq]]&amp;"."&amp;TEXT(tblDataRequirement[[#This Row],[req_seq]],"00")</f>
        <v>3.1.10</v>
      </c>
      <c r="L29" s="36" t="s">
        <v>116</v>
      </c>
      <c r="M29" s="5"/>
      <c r="N29" s="35"/>
      <c r="O29" s="35" t="s">
        <v>102</v>
      </c>
      <c r="P29" s="35" t="s">
        <v>102</v>
      </c>
      <c r="Q29" s="35"/>
      <c r="R29" s="1" t="s">
        <v>103</v>
      </c>
      <c r="S29" s="12">
        <f>COUNTIF(requirement_measure_map!$C$3:$C$1514,data_requirement!A29)</f>
        <v>5</v>
      </c>
      <c r="T29" s="5"/>
      <c r="U29" s="49">
        <f t="shared" si="0"/>
        <v>1</v>
      </c>
    </row>
    <row r="30" spans="1:21" x14ac:dyDescent="0.15">
      <c r="A30" s="35">
        <v>59</v>
      </c>
      <c r="B30" s="35">
        <v>22</v>
      </c>
      <c r="C30" s="5" t="str">
        <f>_xlfn.XLOOKUP(tblDataRequirement[[#This Row],[id_subdomain]],tblDomain[Id_subdomain],tblDomain[domain_sub_domain])</f>
        <v>Service:Access</v>
      </c>
      <c r="D30" s="5" t="s">
        <v>127</v>
      </c>
      <c r="E30" s="36" t="str">
        <f>tblDataRequirement[[#This Row],[domain_sub_domain]]&amp;":"&amp;tblDataRequirement[[#This Row],[data_requirement]]</f>
        <v>Service:Access:Sequel to service</v>
      </c>
      <c r="F30" s="36" t="str">
        <f>_xlfn.XLOOKUP(tblDataRequirement[[#This Row],[id_subdomain]],tblDomain[Id_subdomain],tblDomain[domain])</f>
        <v>Service</v>
      </c>
      <c r="G30" s="36" t="str">
        <f>_xlfn.XLOOKUP(tblDataRequirement[[#This Row],[id_subdomain]],tblDomain[Id_subdomain],tblDomain[sub_domain])</f>
        <v>Access</v>
      </c>
      <c r="H30" s="36" t="str">
        <f>tblDataRequirement[[#This Row],[data_requirement]]</f>
        <v>Sequel to service</v>
      </c>
      <c r="I30" s="36">
        <f>_xlfn.XLOOKUP(tblDataRequirement[[#This Row],[id_subdomain]],tblDomain[Id_subdomain],tblDomain[sequence_no])</f>
        <v>3.1</v>
      </c>
      <c r="J30" s="36">
        <v>11</v>
      </c>
      <c r="K30" s="36" t="str">
        <f>tblDataRequirement[[#This Row],[domain_seq]]&amp;"."&amp;TEXT(tblDataRequirement[[#This Row],[req_seq]],"00")</f>
        <v>3.1.11</v>
      </c>
      <c r="L30" s="36" t="s">
        <v>116</v>
      </c>
      <c r="M30" s="5"/>
      <c r="N30" s="35"/>
      <c r="O30" s="35"/>
      <c r="P30" s="35"/>
      <c r="Q30" s="35" t="s">
        <v>102</v>
      </c>
      <c r="R30" s="1" t="s">
        <v>103</v>
      </c>
      <c r="S30" s="12">
        <f>COUNTIF(requirement_measure_map!$C$3:$C$1514,data_requirement!A30)</f>
        <v>12</v>
      </c>
      <c r="T30" s="5"/>
      <c r="U30" s="49">
        <f t="shared" si="0"/>
        <v>1</v>
      </c>
    </row>
    <row r="31" spans="1:21" x14ac:dyDescent="0.15">
      <c r="A31" s="35">
        <v>36</v>
      </c>
      <c r="B31" s="35">
        <v>24</v>
      </c>
      <c r="C31" s="5" t="str">
        <f>_xlfn.XLOOKUP(tblDataRequirement[[#This Row],[id_subdomain]],tblDomain[Id_subdomain],tblDomain[domain_sub_domain])</f>
        <v>Service:Integration</v>
      </c>
      <c r="D31" s="5" t="s">
        <v>132</v>
      </c>
      <c r="E31" s="36" t="str">
        <f>tblDataRequirement[[#This Row],[domain_sub_domain]]&amp;":"&amp;tblDataRequirement[[#This Row],[data_requirement]]</f>
        <v>Service:Integration:NHS primary care</v>
      </c>
      <c r="F31" s="36" t="str">
        <f>_xlfn.XLOOKUP(tblDataRequirement[[#This Row],[id_subdomain]],tblDomain[Id_subdomain],tblDomain[domain])</f>
        <v>Service</v>
      </c>
      <c r="G31" s="36" t="str">
        <f>_xlfn.XLOOKUP(tblDataRequirement[[#This Row],[id_subdomain]],tblDomain[Id_subdomain],tblDomain[sub_domain])</f>
        <v>Integration</v>
      </c>
      <c r="H31" s="36" t="str">
        <f>tblDataRequirement[[#This Row],[data_requirement]]</f>
        <v>NHS primary care</v>
      </c>
      <c r="I31" s="36">
        <f>_xlfn.XLOOKUP(tblDataRequirement[[#This Row],[id_subdomain]],tblDomain[Id_subdomain],tblDomain[sequence_no])</f>
        <v>3.2</v>
      </c>
      <c r="J31" s="36">
        <v>1</v>
      </c>
      <c r="K31" s="36" t="str">
        <f>tblDataRequirement[[#This Row],[domain_seq]]&amp;"."&amp;TEXT(tblDataRequirement[[#This Row],[req_seq]],"00")</f>
        <v>3.2.01</v>
      </c>
      <c r="L31" s="36" t="s">
        <v>109</v>
      </c>
      <c r="M31" s="5"/>
      <c r="N31" s="35"/>
      <c r="O31" s="35" t="s">
        <v>102</v>
      </c>
      <c r="P31" s="35"/>
      <c r="Q31" s="35"/>
      <c r="R31" s="1" t="s">
        <v>103</v>
      </c>
      <c r="S31" s="12">
        <f>COUNTIF(requirement_measure_map!$C$3:$C$1514,data_requirement!A31)</f>
        <v>3</v>
      </c>
      <c r="T31" s="5"/>
      <c r="U31" s="49">
        <f t="shared" si="0"/>
        <v>1</v>
      </c>
    </row>
    <row r="32" spans="1:21" x14ac:dyDescent="0.15">
      <c r="A32" s="35">
        <v>37</v>
      </c>
      <c r="B32" s="35">
        <v>24</v>
      </c>
      <c r="C32" s="5" t="str">
        <f>_xlfn.XLOOKUP(tblDataRequirement[[#This Row],[id_subdomain]],tblDomain[Id_subdomain],tblDomain[domain_sub_domain])</f>
        <v>Service:Integration</v>
      </c>
      <c r="D32" s="5" t="s">
        <v>133</v>
      </c>
      <c r="E32" s="36" t="str">
        <f>tblDataRequirement[[#This Row],[domain_sub_domain]]&amp;":"&amp;tblDataRequirement[[#This Row],[data_requirement]]</f>
        <v>Service:Integration:NHS secondary care</v>
      </c>
      <c r="F32" s="36" t="str">
        <f>_xlfn.XLOOKUP(tblDataRequirement[[#This Row],[id_subdomain]],tblDomain[Id_subdomain],tblDomain[domain])</f>
        <v>Service</v>
      </c>
      <c r="G32" s="36" t="str">
        <f>_xlfn.XLOOKUP(tblDataRequirement[[#This Row],[id_subdomain]],tblDomain[Id_subdomain],tblDomain[sub_domain])</f>
        <v>Integration</v>
      </c>
      <c r="H32" s="36" t="str">
        <f>tblDataRequirement[[#This Row],[data_requirement]]</f>
        <v>NHS secondary care</v>
      </c>
      <c r="I32" s="36">
        <f>_xlfn.XLOOKUP(tblDataRequirement[[#This Row],[id_subdomain]],tblDomain[Id_subdomain],tblDomain[sequence_no])</f>
        <v>3.2</v>
      </c>
      <c r="J32" s="36">
        <v>2</v>
      </c>
      <c r="K32" s="36" t="str">
        <f>tblDataRequirement[[#This Row],[domain_seq]]&amp;"."&amp;TEXT(tblDataRequirement[[#This Row],[req_seq]],"00")</f>
        <v>3.2.02</v>
      </c>
      <c r="L32" s="36" t="s">
        <v>109</v>
      </c>
      <c r="M32" s="5"/>
      <c r="N32" s="35"/>
      <c r="O32" s="35" t="s">
        <v>102</v>
      </c>
      <c r="P32" s="35"/>
      <c r="Q32" s="35"/>
      <c r="R32" s="1" t="s">
        <v>103</v>
      </c>
      <c r="S32" s="12">
        <f>COUNTIF(requirement_measure_map!$C$3:$C$1514,data_requirement!A32)</f>
        <v>38</v>
      </c>
      <c r="T32" s="5"/>
      <c r="U32" s="49">
        <f t="shared" si="0"/>
        <v>1</v>
      </c>
    </row>
    <row r="33" spans="1:21" x14ac:dyDescent="0.15">
      <c r="A33" s="35">
        <v>38</v>
      </c>
      <c r="B33" s="35">
        <v>24</v>
      </c>
      <c r="C33" s="5" t="str">
        <f>_xlfn.XLOOKUP(tblDataRequirement[[#This Row],[id_subdomain]],tblDomain[Id_subdomain],tblDomain[domain_sub_domain])</f>
        <v>Service:Integration</v>
      </c>
      <c r="D33" s="5" t="s">
        <v>134</v>
      </c>
      <c r="E33" s="36" t="str">
        <f>tblDataRequirement[[#This Row],[domain_sub_domain]]&amp;":"&amp;tblDataRequirement[[#This Row],[data_requirement]]</f>
        <v>Service:Integration:Care commissioning</v>
      </c>
      <c r="F33" s="36" t="str">
        <f>_xlfn.XLOOKUP(tblDataRequirement[[#This Row],[id_subdomain]],tblDomain[Id_subdomain],tblDomain[domain])</f>
        <v>Service</v>
      </c>
      <c r="G33" s="36" t="str">
        <f>_xlfn.XLOOKUP(tblDataRequirement[[#This Row],[id_subdomain]],tblDomain[Id_subdomain],tblDomain[sub_domain])</f>
        <v>Integration</v>
      </c>
      <c r="H33" s="36" t="str">
        <f>tblDataRequirement[[#This Row],[data_requirement]]</f>
        <v>Care commissioning</v>
      </c>
      <c r="I33" s="36">
        <f>_xlfn.XLOOKUP(tblDataRequirement[[#This Row],[id_subdomain]],tblDomain[Id_subdomain],tblDomain[sequence_no])</f>
        <v>3.2</v>
      </c>
      <c r="J33" s="36">
        <v>3</v>
      </c>
      <c r="K33" s="36" t="str">
        <f>tblDataRequirement[[#This Row],[domain_seq]]&amp;"."&amp;TEXT(tblDataRequirement[[#This Row],[req_seq]],"00")</f>
        <v>3.2.03</v>
      </c>
      <c r="L33" s="36" t="s">
        <v>109</v>
      </c>
      <c r="M33" s="5"/>
      <c r="N33" s="35"/>
      <c r="O33" s="35" t="s">
        <v>102</v>
      </c>
      <c r="P33" s="35"/>
      <c r="Q33" s="35"/>
      <c r="R33" s="1" t="s">
        <v>103</v>
      </c>
      <c r="S33" s="12">
        <f>COUNTIF(requirement_measure_map!$C$3:$C$1514,data_requirement!A33)</f>
        <v>8</v>
      </c>
      <c r="T33" s="5"/>
      <c r="U33" s="49">
        <f t="shared" si="0"/>
        <v>1</v>
      </c>
    </row>
    <row r="34" spans="1:21" x14ac:dyDescent="0.15">
      <c r="A34" s="35">
        <v>39</v>
      </c>
      <c r="B34" s="35">
        <v>24</v>
      </c>
      <c r="C34" s="5" t="str">
        <f>_xlfn.XLOOKUP(tblDataRequirement[[#This Row],[id_subdomain]],tblDomain[Id_subdomain],tblDomain[domain_sub_domain])</f>
        <v>Service:Integration</v>
      </c>
      <c r="D34" s="5" t="s">
        <v>135</v>
      </c>
      <c r="E34" s="5" t="str">
        <f>tblDataRequirement[[#This Row],[domain_sub_domain]]&amp;":"&amp;tblDataRequirement[[#This Row],[data_requirement]]</f>
        <v>Service:Integration:Digital interoperability</v>
      </c>
      <c r="F34" s="5" t="str">
        <f>_xlfn.XLOOKUP(tblDataRequirement[[#This Row],[id_subdomain]],tblDomain[Id_subdomain],tblDomain[domain])</f>
        <v>Service</v>
      </c>
      <c r="G34" s="5" t="str">
        <f>_xlfn.XLOOKUP(tblDataRequirement[[#This Row],[id_subdomain]],tblDomain[Id_subdomain],tblDomain[sub_domain])</f>
        <v>Integration</v>
      </c>
      <c r="H34" s="5" t="str">
        <f>tblDataRequirement[[#This Row],[data_requirement]]</f>
        <v>Digital interoperability</v>
      </c>
      <c r="I34" s="5">
        <f>_xlfn.XLOOKUP(tblDataRequirement[[#This Row],[id_subdomain]],tblDomain[Id_subdomain],tblDomain[sequence_no])</f>
        <v>3.2</v>
      </c>
      <c r="J34" s="5">
        <v>4</v>
      </c>
      <c r="K34" s="5" t="str">
        <f>tblDataRequirement[[#This Row],[domain_seq]]&amp;"."&amp;TEXT(tblDataRequirement[[#This Row],[req_seq]],"00")</f>
        <v>3.2.04</v>
      </c>
      <c r="L34" s="5" t="s">
        <v>109</v>
      </c>
      <c r="M34" s="5"/>
      <c r="N34" s="35"/>
      <c r="O34" s="35" t="s">
        <v>102</v>
      </c>
      <c r="P34" s="35"/>
      <c r="Q34" s="35"/>
      <c r="R34" s="1" t="s">
        <v>103</v>
      </c>
      <c r="S34" s="12">
        <f>COUNTIF(requirement_measure_map!$C$3:$C$1514,data_requirement!A34)</f>
        <v>0</v>
      </c>
      <c r="T34" s="5"/>
      <c r="U34" s="49">
        <f t="shared" si="0"/>
        <v>1</v>
      </c>
    </row>
    <row r="35" spans="1:21" x14ac:dyDescent="0.15">
      <c r="A35" s="35">
        <v>103</v>
      </c>
      <c r="B35" s="35">
        <v>24</v>
      </c>
      <c r="C35" s="5" t="str">
        <f>_xlfn.XLOOKUP(tblDataRequirement[[#This Row],[id_subdomain]],tblDomain[Id_subdomain],tblDomain[domain_sub_domain])</f>
        <v>Service:Integration</v>
      </c>
      <c r="D35" s="5" t="s">
        <v>136</v>
      </c>
      <c r="E35" s="36" t="str">
        <f>tblDataRequirement[[#This Row],[domain_sub_domain]]&amp;":"&amp;tblDataRequirement[[#This Row],[data_requirement]]</f>
        <v>Service:Integration:Funder perception</v>
      </c>
      <c r="F35" s="36" t="str">
        <f>_xlfn.XLOOKUP(tblDataRequirement[[#This Row],[id_subdomain]],tblDomain[Id_subdomain],tblDomain[domain])</f>
        <v>Service</v>
      </c>
      <c r="G35" s="36" t="str">
        <f>_xlfn.XLOOKUP(tblDataRequirement[[#This Row],[id_subdomain]],tblDomain[Id_subdomain],tblDomain[sub_domain])</f>
        <v>Integration</v>
      </c>
      <c r="H35" s="36" t="str">
        <f>tblDataRequirement[[#This Row],[data_requirement]]</f>
        <v>Funder perception</v>
      </c>
      <c r="I35" s="36">
        <f>_xlfn.XLOOKUP(tblDataRequirement[[#This Row],[id_subdomain]],tblDomain[Id_subdomain],tblDomain[sequence_no])</f>
        <v>3.2</v>
      </c>
      <c r="J35" s="36">
        <v>5</v>
      </c>
      <c r="K35" s="36" t="str">
        <f>tblDataRequirement[[#This Row],[domain_seq]]&amp;"."&amp;TEXT(tblDataRequirement[[#This Row],[req_seq]],"00")</f>
        <v>3.2.05</v>
      </c>
      <c r="L35" s="36" t="s">
        <v>109</v>
      </c>
      <c r="M35" s="5"/>
      <c r="N35" s="35"/>
      <c r="O35" s="35"/>
      <c r="P35" s="35"/>
      <c r="Q35" s="35"/>
      <c r="R35" s="1" t="s">
        <v>103</v>
      </c>
      <c r="S35" s="12">
        <f>COUNTIF(requirement_measure_map!$C$3:$C$1514,data_requirement!A35)</f>
        <v>1</v>
      </c>
      <c r="T35" s="5"/>
      <c r="U35" s="48">
        <f t="shared" ref="U35:U66" si="1">COUNTIF($A$3:$A$102,A35)</f>
        <v>1</v>
      </c>
    </row>
    <row r="36" spans="1:21" x14ac:dyDescent="0.15">
      <c r="A36" s="35">
        <v>44</v>
      </c>
      <c r="B36" s="35">
        <v>26</v>
      </c>
      <c r="C36" s="5" t="str">
        <f>_xlfn.XLOOKUP(tblDataRequirement[[#This Row],[id_subdomain]],tblDomain[Id_subdomain],tblDomain[domain_sub_domain])</f>
        <v>Service:Support type</v>
      </c>
      <c r="D36" s="5" t="s">
        <v>146</v>
      </c>
      <c r="E36" s="36" t="str">
        <f>tblDataRequirement[[#This Row],[domain_sub_domain]]&amp;":"&amp;tblDataRequirement[[#This Row],[data_requirement]]</f>
        <v>Service:Support type:Short-term</v>
      </c>
      <c r="F36" s="36" t="str">
        <f>_xlfn.XLOOKUP(tblDataRequirement[[#This Row],[id_subdomain]],tblDomain[Id_subdomain],tblDomain[domain])</f>
        <v>Service</v>
      </c>
      <c r="G36" s="36" t="str">
        <f>_xlfn.XLOOKUP(tblDataRequirement[[#This Row],[id_subdomain]],tblDomain[Id_subdomain],tblDomain[sub_domain])</f>
        <v>Support type</v>
      </c>
      <c r="H36" s="36" t="str">
        <f>tblDataRequirement[[#This Row],[data_requirement]]</f>
        <v>Short-term</v>
      </c>
      <c r="I36" s="36">
        <f>_xlfn.XLOOKUP(tblDataRequirement[[#This Row],[id_subdomain]],tblDomain[Id_subdomain],tblDomain[sequence_no])</f>
        <v>3.3</v>
      </c>
      <c r="J36" s="36">
        <v>1</v>
      </c>
      <c r="K36" s="36" t="str">
        <f>tblDataRequirement[[#This Row],[domain_seq]]&amp;"."&amp;TEXT(tblDataRequirement[[#This Row],[req_seq]],"00")</f>
        <v>3.3.01</v>
      </c>
      <c r="L36" s="36" t="s">
        <v>109</v>
      </c>
      <c r="M36" s="5"/>
      <c r="N36" s="35"/>
      <c r="O36" s="35"/>
      <c r="P36" s="35" t="s">
        <v>102</v>
      </c>
      <c r="Q36" s="35"/>
      <c r="R36" s="1" t="s">
        <v>103</v>
      </c>
      <c r="S36" s="12">
        <f>COUNTIF(requirement_measure_map!$C$3:$C$1514,data_requirement!A36)</f>
        <v>26</v>
      </c>
      <c r="T36" s="5"/>
      <c r="U36" s="49">
        <f t="shared" si="1"/>
        <v>1</v>
      </c>
    </row>
    <row r="37" spans="1:21" x14ac:dyDescent="0.15">
      <c r="A37" s="35">
        <v>46</v>
      </c>
      <c r="B37" s="35">
        <v>26</v>
      </c>
      <c r="C37" s="5" t="str">
        <f>_xlfn.XLOOKUP(tblDataRequirement[[#This Row],[id_subdomain]],tblDomain[Id_subdomain],tblDomain[domain_sub_domain])</f>
        <v>Service:Support type</v>
      </c>
      <c r="D37" s="5" t="s">
        <v>148</v>
      </c>
      <c r="E37" s="5" t="str">
        <f>tblDataRequirement[[#This Row],[domain_sub_domain]]&amp;":"&amp;tblDataRequirement[[#This Row],[data_requirement]]</f>
        <v>Service:Support type:Reablement / ST-MAX</v>
      </c>
      <c r="F37" s="5" t="str">
        <f>_xlfn.XLOOKUP(tblDataRequirement[[#This Row],[id_subdomain]],tblDomain[Id_subdomain],tblDomain[domain])</f>
        <v>Service</v>
      </c>
      <c r="G37" s="5" t="str">
        <f>_xlfn.XLOOKUP(tblDataRequirement[[#This Row],[id_subdomain]],tblDomain[Id_subdomain],tblDomain[sub_domain])</f>
        <v>Support type</v>
      </c>
      <c r="H37" s="5" t="str">
        <f>tblDataRequirement[[#This Row],[data_requirement]]</f>
        <v>Reablement / ST-MAX</v>
      </c>
      <c r="I37" s="5">
        <f>_xlfn.XLOOKUP(tblDataRequirement[[#This Row],[id_subdomain]],tblDomain[Id_subdomain],tblDomain[sequence_no])</f>
        <v>3.3</v>
      </c>
      <c r="J37" s="5">
        <v>2</v>
      </c>
      <c r="K37" s="5" t="str">
        <f>tblDataRequirement[[#This Row],[domain_seq]]&amp;"."&amp;TEXT(tblDataRequirement[[#This Row],[req_seq]],"00")</f>
        <v>3.3.02</v>
      </c>
      <c r="L37" s="5" t="s">
        <v>109</v>
      </c>
      <c r="M37" s="5"/>
      <c r="N37" s="35"/>
      <c r="O37" s="35"/>
      <c r="P37" s="35" t="s">
        <v>102</v>
      </c>
      <c r="Q37" s="35"/>
      <c r="R37" s="1" t="s">
        <v>103</v>
      </c>
      <c r="S37" s="12">
        <f>COUNTIF(requirement_measure_map!$C$3:$C$1514,data_requirement!A37)</f>
        <v>32</v>
      </c>
      <c r="T37" s="5"/>
      <c r="U37" s="49">
        <f t="shared" si="1"/>
        <v>1</v>
      </c>
    </row>
    <row r="38" spans="1:21" x14ac:dyDescent="0.15">
      <c r="A38" s="35">
        <v>45</v>
      </c>
      <c r="B38" s="35">
        <v>26</v>
      </c>
      <c r="C38" s="5" t="str">
        <f>_xlfn.XLOOKUP(tblDataRequirement[[#This Row],[id_subdomain]],tblDomain[Id_subdomain],tblDomain[domain_sub_domain])</f>
        <v>Service:Support type</v>
      </c>
      <c r="D38" s="5" t="s">
        <v>147</v>
      </c>
      <c r="E38" s="36" t="str">
        <f>tblDataRequirement[[#This Row],[domain_sub_domain]]&amp;":"&amp;tblDataRequirement[[#This Row],[data_requirement]]</f>
        <v>Service:Support type:Long-term</v>
      </c>
      <c r="F38" s="36" t="str">
        <f>_xlfn.XLOOKUP(tblDataRequirement[[#This Row],[id_subdomain]],tblDomain[Id_subdomain],tblDomain[domain])</f>
        <v>Service</v>
      </c>
      <c r="G38" s="36" t="str">
        <f>_xlfn.XLOOKUP(tblDataRequirement[[#This Row],[id_subdomain]],tblDomain[Id_subdomain],tblDomain[sub_domain])</f>
        <v>Support type</v>
      </c>
      <c r="H38" s="36" t="str">
        <f>tblDataRequirement[[#This Row],[data_requirement]]</f>
        <v>Long-term</v>
      </c>
      <c r="I38" s="36">
        <f>_xlfn.XLOOKUP(tblDataRequirement[[#This Row],[id_subdomain]],tblDomain[Id_subdomain],tblDomain[sequence_no])</f>
        <v>3.3</v>
      </c>
      <c r="J38" s="36">
        <v>3</v>
      </c>
      <c r="K38" s="36" t="str">
        <f>tblDataRequirement[[#This Row],[domain_seq]]&amp;"."&amp;TEXT(tblDataRequirement[[#This Row],[req_seq]],"00")</f>
        <v>3.3.03</v>
      </c>
      <c r="L38" s="36" t="s">
        <v>109</v>
      </c>
      <c r="M38" s="5"/>
      <c r="N38" s="35"/>
      <c r="O38" s="35"/>
      <c r="P38" s="35" t="s">
        <v>102</v>
      </c>
      <c r="Q38" s="35"/>
      <c r="R38" s="1" t="s">
        <v>103</v>
      </c>
      <c r="S38" s="12">
        <f>COUNTIF(requirement_measure_map!$C$3:$C$1514,data_requirement!A38)</f>
        <v>56</v>
      </c>
      <c r="T38" s="5"/>
      <c r="U38" s="49">
        <f t="shared" si="1"/>
        <v>1</v>
      </c>
    </row>
    <row r="39" spans="1:21" x14ac:dyDescent="0.15">
      <c r="A39" s="35">
        <v>68</v>
      </c>
      <c r="B39" s="35">
        <v>26</v>
      </c>
      <c r="C39" s="5" t="str">
        <f>_xlfn.XLOOKUP(tblDataRequirement[[#This Row],[id_subdomain]],tblDomain[Id_subdomain],tblDomain[domain_sub_domain])</f>
        <v>Service:Support type</v>
      </c>
      <c r="D39" s="5" t="s">
        <v>155</v>
      </c>
      <c r="E39" s="36" t="str">
        <f>tblDataRequirement[[#This Row],[domain_sub_domain]]&amp;":"&amp;tblDataRequirement[[#This Row],[data_requirement]]</f>
        <v>Service:Support type:Other (not ST or LT)</v>
      </c>
      <c r="F39" s="36" t="str">
        <f>_xlfn.XLOOKUP(tblDataRequirement[[#This Row],[id_subdomain]],tblDomain[Id_subdomain],tblDomain[domain])</f>
        <v>Service</v>
      </c>
      <c r="G39" s="36" t="str">
        <f>_xlfn.XLOOKUP(tblDataRequirement[[#This Row],[id_subdomain]],tblDomain[Id_subdomain],tblDomain[sub_domain])</f>
        <v>Support type</v>
      </c>
      <c r="H39" s="36" t="str">
        <f>tblDataRequirement[[#This Row],[data_requirement]]</f>
        <v>Other (not ST or LT)</v>
      </c>
      <c r="I39" s="36">
        <f>_xlfn.XLOOKUP(tblDataRequirement[[#This Row],[id_subdomain]],tblDomain[Id_subdomain],tblDomain[sequence_no])</f>
        <v>3.3</v>
      </c>
      <c r="J39" s="36">
        <v>4</v>
      </c>
      <c r="K39" s="36" t="str">
        <f>tblDataRequirement[[#This Row],[domain_seq]]&amp;"."&amp;TEXT(tblDataRequirement[[#This Row],[req_seq]],"00")</f>
        <v>3.3.04</v>
      </c>
      <c r="L39" s="36" t="s">
        <v>109</v>
      </c>
      <c r="M39" s="3"/>
      <c r="N39" s="35"/>
      <c r="O39" s="35"/>
      <c r="P39" s="35" t="s">
        <v>156</v>
      </c>
      <c r="Q39" s="35"/>
      <c r="R39" s="1" t="s">
        <v>103</v>
      </c>
      <c r="S39" s="12">
        <f>COUNTIF(requirement_measure_map!$C$3:$C$1514,data_requirement!A39)</f>
        <v>20</v>
      </c>
      <c r="T39" s="5" t="s">
        <v>157</v>
      </c>
      <c r="U39" s="49">
        <f t="shared" si="1"/>
        <v>1</v>
      </c>
    </row>
    <row r="40" spans="1:21" x14ac:dyDescent="0.15">
      <c r="A40" s="35">
        <v>47</v>
      </c>
      <c r="B40" s="35">
        <v>26</v>
      </c>
      <c r="C40" s="5" t="str">
        <f>_xlfn.XLOOKUP(tblDataRequirement[[#This Row],[id_subdomain]],tblDomain[Id_subdomain],tblDomain[domain_sub_domain])</f>
        <v>Service:Support type</v>
      </c>
      <c r="D40" s="5" t="s">
        <v>149</v>
      </c>
      <c r="E40" s="36" t="str">
        <f>tblDataRequirement[[#This Row],[domain_sub_domain]]&amp;":"&amp;tblDataRequirement[[#This Row],[data_requirement]]</f>
        <v>Service:Support type:Preventative</v>
      </c>
      <c r="F40" s="36" t="str">
        <f>_xlfn.XLOOKUP(tblDataRequirement[[#This Row],[id_subdomain]],tblDomain[Id_subdomain],tblDomain[domain])</f>
        <v>Service</v>
      </c>
      <c r="G40" s="36" t="str">
        <f>_xlfn.XLOOKUP(tblDataRequirement[[#This Row],[id_subdomain]],tblDomain[Id_subdomain],tblDomain[sub_domain])</f>
        <v>Support type</v>
      </c>
      <c r="H40" s="36" t="str">
        <f>tblDataRequirement[[#This Row],[data_requirement]]</f>
        <v>Preventative</v>
      </c>
      <c r="I40" s="36">
        <f>_xlfn.XLOOKUP(tblDataRequirement[[#This Row],[id_subdomain]],tblDomain[Id_subdomain],tblDomain[sequence_no])</f>
        <v>3.3</v>
      </c>
      <c r="J40" s="36">
        <v>5</v>
      </c>
      <c r="K40" s="36" t="str">
        <f>tblDataRequirement[[#This Row],[domain_seq]]&amp;"."&amp;TEXT(tblDataRequirement[[#This Row],[req_seq]],"00")</f>
        <v>3.3.05</v>
      </c>
      <c r="L40" s="36" t="s">
        <v>109</v>
      </c>
      <c r="M40" s="5"/>
      <c r="N40" s="35"/>
      <c r="O40" s="35"/>
      <c r="P40" s="35" t="s">
        <v>102</v>
      </c>
      <c r="Q40" s="35"/>
      <c r="R40" s="1" t="s">
        <v>103</v>
      </c>
      <c r="S40" s="12">
        <f>COUNTIF(requirement_measure_map!$C$3:$C$1514,data_requirement!A40)</f>
        <v>0</v>
      </c>
      <c r="T40" s="5"/>
      <c r="U40" s="49">
        <f t="shared" si="1"/>
        <v>1</v>
      </c>
    </row>
    <row r="41" spans="1:21" x14ac:dyDescent="0.15">
      <c r="A41" s="35">
        <v>48</v>
      </c>
      <c r="B41" s="35">
        <v>26</v>
      </c>
      <c r="C41" s="5" t="str">
        <f>_xlfn.XLOOKUP(tblDataRequirement[[#This Row],[id_subdomain]],tblDomain[Id_subdomain],tblDomain[domain_sub_domain])</f>
        <v>Service:Support type</v>
      </c>
      <c r="D41" s="5" t="s">
        <v>150</v>
      </c>
      <c r="E41" s="36" t="str">
        <f>tblDataRequirement[[#This Row],[domain_sub_domain]]&amp;":"&amp;tblDataRequirement[[#This Row],[data_requirement]]</f>
        <v>Service:Support type:Community health care</v>
      </c>
      <c r="F41" s="36" t="str">
        <f>_xlfn.XLOOKUP(tblDataRequirement[[#This Row],[id_subdomain]],tblDomain[Id_subdomain],tblDomain[domain])</f>
        <v>Service</v>
      </c>
      <c r="G41" s="36" t="str">
        <f>_xlfn.XLOOKUP(tblDataRequirement[[#This Row],[id_subdomain]],tblDomain[Id_subdomain],tblDomain[sub_domain])</f>
        <v>Support type</v>
      </c>
      <c r="H41" s="36" t="str">
        <f>tblDataRequirement[[#This Row],[data_requirement]]</f>
        <v>Community health care</v>
      </c>
      <c r="I41" s="36">
        <f>_xlfn.XLOOKUP(tblDataRequirement[[#This Row],[id_subdomain]],tblDomain[Id_subdomain],tblDomain[sequence_no])</f>
        <v>3.3</v>
      </c>
      <c r="J41" s="36">
        <v>6</v>
      </c>
      <c r="K41" s="36" t="str">
        <f>tblDataRequirement[[#This Row],[domain_seq]]&amp;"."&amp;TEXT(tblDataRequirement[[#This Row],[req_seq]],"00")</f>
        <v>3.3.06</v>
      </c>
      <c r="L41" s="36" t="s">
        <v>109</v>
      </c>
      <c r="M41" s="3"/>
      <c r="N41" s="35"/>
      <c r="O41" s="35"/>
      <c r="P41" s="35" t="s">
        <v>102</v>
      </c>
      <c r="Q41" s="35"/>
      <c r="R41" s="1" t="s">
        <v>151</v>
      </c>
      <c r="S41" s="12">
        <f>COUNTIF(requirement_measure_map!$C$3:$C$1514,data_requirement!A41)</f>
        <v>0</v>
      </c>
      <c r="T41" s="5" t="s">
        <v>152</v>
      </c>
      <c r="U41" s="49">
        <f t="shared" si="1"/>
        <v>1</v>
      </c>
    </row>
    <row r="42" spans="1:21" x14ac:dyDescent="0.15">
      <c r="A42" s="35">
        <v>49</v>
      </c>
      <c r="B42" s="35">
        <v>26</v>
      </c>
      <c r="C42" s="5" t="str">
        <f>_xlfn.XLOOKUP(tblDataRequirement[[#This Row],[id_subdomain]],tblDomain[Id_subdomain],tblDomain[domain_sub_domain])</f>
        <v>Service:Support type</v>
      </c>
      <c r="D42" s="5" t="s">
        <v>153</v>
      </c>
      <c r="E42" s="36" t="str">
        <f>tblDataRequirement[[#This Row],[domain_sub_domain]]&amp;":"&amp;tblDataRequirement[[#This Row],[data_requirement]]</f>
        <v>Service:Support type:Asset-based (charity/voluntary)</v>
      </c>
      <c r="F42" s="36" t="str">
        <f>_xlfn.XLOOKUP(tblDataRequirement[[#This Row],[id_subdomain]],tblDomain[Id_subdomain],tblDomain[domain])</f>
        <v>Service</v>
      </c>
      <c r="G42" s="36" t="str">
        <f>_xlfn.XLOOKUP(tblDataRequirement[[#This Row],[id_subdomain]],tblDomain[Id_subdomain],tblDomain[sub_domain])</f>
        <v>Support type</v>
      </c>
      <c r="H42" s="36" t="str">
        <f>tblDataRequirement[[#This Row],[data_requirement]]</f>
        <v>Asset-based (charity/voluntary)</v>
      </c>
      <c r="I42" s="36">
        <f>_xlfn.XLOOKUP(tblDataRequirement[[#This Row],[id_subdomain]],tblDomain[Id_subdomain],tblDomain[sequence_no])</f>
        <v>3.3</v>
      </c>
      <c r="J42" s="36">
        <v>7</v>
      </c>
      <c r="K42" s="36" t="str">
        <f>tblDataRequirement[[#This Row],[domain_seq]]&amp;"."&amp;TEXT(tblDataRequirement[[#This Row],[req_seq]],"00")</f>
        <v>3.3.07</v>
      </c>
      <c r="L42" s="36" t="s">
        <v>109</v>
      </c>
      <c r="M42" s="5"/>
      <c r="N42" s="35"/>
      <c r="O42" s="35" t="s">
        <v>102</v>
      </c>
      <c r="P42" s="35" t="s">
        <v>102</v>
      </c>
      <c r="Q42" s="35"/>
      <c r="R42" s="1" t="s">
        <v>103</v>
      </c>
      <c r="S42" s="12">
        <f>COUNTIF(requirement_measure_map!$C$3:$C$1514,data_requirement!A42)</f>
        <v>1</v>
      </c>
      <c r="T42" s="5"/>
      <c r="U42" s="49">
        <f t="shared" si="1"/>
        <v>1</v>
      </c>
    </row>
    <row r="43" spans="1:21" x14ac:dyDescent="0.15">
      <c r="A43" s="35">
        <v>50</v>
      </c>
      <c r="B43" s="35">
        <v>26</v>
      </c>
      <c r="C43" s="5" t="str">
        <f>_xlfn.XLOOKUP(tblDataRequirement[[#This Row],[id_subdomain]],tblDomain[Id_subdomain],tblDomain[domain_sub_domain])</f>
        <v>Service:Support type</v>
      </c>
      <c r="D43" s="5" t="s">
        <v>154</v>
      </c>
      <c r="E43" s="36" t="str">
        <f>tblDataRequirement[[#This Row],[domain_sub_domain]]&amp;":"&amp;tblDataRequirement[[#This Row],[data_requirement]]</f>
        <v>Service:Support type:Strength-based (self-help)</v>
      </c>
      <c r="F43" s="36" t="str">
        <f>_xlfn.XLOOKUP(tblDataRequirement[[#This Row],[id_subdomain]],tblDomain[Id_subdomain],tblDomain[domain])</f>
        <v>Service</v>
      </c>
      <c r="G43" s="36" t="str">
        <f>_xlfn.XLOOKUP(tblDataRequirement[[#This Row],[id_subdomain]],tblDomain[Id_subdomain],tblDomain[sub_domain])</f>
        <v>Support type</v>
      </c>
      <c r="H43" s="36" t="str">
        <f>tblDataRequirement[[#This Row],[data_requirement]]</f>
        <v>Strength-based (self-help)</v>
      </c>
      <c r="I43" s="36">
        <f>_xlfn.XLOOKUP(tblDataRequirement[[#This Row],[id_subdomain]],tblDomain[Id_subdomain],tblDomain[sequence_no])</f>
        <v>3.3</v>
      </c>
      <c r="J43" s="36">
        <v>8</v>
      </c>
      <c r="K43" s="36" t="str">
        <f>tblDataRequirement[[#This Row],[domain_seq]]&amp;"."&amp;TEXT(tblDataRequirement[[#This Row],[req_seq]],"00")</f>
        <v>3.3.08</v>
      </c>
      <c r="L43" s="36" t="s">
        <v>109</v>
      </c>
      <c r="M43" s="5"/>
      <c r="N43" s="35"/>
      <c r="O43" s="35" t="s">
        <v>102</v>
      </c>
      <c r="P43" s="35" t="s">
        <v>102</v>
      </c>
      <c r="Q43" s="35"/>
      <c r="R43" s="1" t="s">
        <v>103</v>
      </c>
      <c r="S43" s="12">
        <f>COUNTIF(requirement_measure_map!$C$3:$C$1514,data_requirement!A43)</f>
        <v>0</v>
      </c>
      <c r="T43" s="5"/>
      <c r="U43" s="49">
        <f t="shared" si="1"/>
        <v>1</v>
      </c>
    </row>
    <row r="44" spans="1:21" x14ac:dyDescent="0.15">
      <c r="A44" s="35">
        <v>77</v>
      </c>
      <c r="B44" s="35">
        <v>26</v>
      </c>
      <c r="C44" s="5" t="str">
        <f>_xlfn.XLOOKUP(tblDataRequirement[[#This Row],[id_subdomain]],tblDomain[Id_subdomain],tblDomain[domain_sub_domain])</f>
        <v>Service:Support type</v>
      </c>
      <c r="D44" s="5" t="s">
        <v>158</v>
      </c>
      <c r="E44" s="36" t="str">
        <f>tblDataRequirement[[#This Row],[domain_sub_domain]]&amp;":"&amp;tblDataRequirement[[#This Row],[data_requirement]]</f>
        <v>Service:Support type:Guardianship</v>
      </c>
      <c r="F44" s="36" t="str">
        <f>_xlfn.XLOOKUP(tblDataRequirement[[#This Row],[id_subdomain]],tblDomain[Id_subdomain],tblDomain[domain])</f>
        <v>Service</v>
      </c>
      <c r="G44" s="36" t="str">
        <f>_xlfn.XLOOKUP(tblDataRequirement[[#This Row],[id_subdomain]],tblDomain[Id_subdomain],tblDomain[sub_domain])</f>
        <v>Support type</v>
      </c>
      <c r="H44" s="36" t="str">
        <f>tblDataRequirement[[#This Row],[data_requirement]]</f>
        <v>Guardianship</v>
      </c>
      <c r="I44" s="36">
        <f>_xlfn.XLOOKUP(tblDataRequirement[[#This Row],[id_subdomain]],tblDomain[Id_subdomain],tblDomain[sequence_no])</f>
        <v>3.3</v>
      </c>
      <c r="J44" s="36">
        <v>9</v>
      </c>
      <c r="K44" s="36" t="str">
        <f>tblDataRequirement[[#This Row],[domain_seq]]&amp;"."&amp;TEXT(tblDataRequirement[[#This Row],[req_seq]],"00")</f>
        <v>3.3.09</v>
      </c>
      <c r="L44" s="36" t="s">
        <v>109</v>
      </c>
      <c r="M44" s="5"/>
      <c r="N44" s="35"/>
      <c r="O44" s="35"/>
      <c r="P44" s="35"/>
      <c r="Q44" s="35"/>
      <c r="R44" s="1" t="s">
        <v>103</v>
      </c>
      <c r="S44" s="12">
        <f>COUNTIF(requirement_measure_map!$C$3:$C$1514,data_requirement!A44)</f>
        <v>6</v>
      </c>
      <c r="T44" s="5"/>
      <c r="U44" s="48">
        <f t="shared" si="1"/>
        <v>1</v>
      </c>
    </row>
    <row r="45" spans="1:21" x14ac:dyDescent="0.15">
      <c r="A45" s="35">
        <v>80</v>
      </c>
      <c r="B45" s="35">
        <v>26</v>
      </c>
      <c r="C45" s="5" t="str">
        <f>_xlfn.XLOOKUP(tblDataRequirement[[#This Row],[id_subdomain]],tblDomain[Id_subdomain],tblDomain[domain_sub_domain])</f>
        <v>Service:Support type</v>
      </c>
      <c r="D45" s="5" t="s">
        <v>159</v>
      </c>
      <c r="E45" s="36" t="str">
        <f>tblDataRequirement[[#This Row],[domain_sub_domain]]&amp;":"&amp;tblDataRequirement[[#This Row],[data_requirement]]</f>
        <v>Service:Support type:Unpaid Carer support</v>
      </c>
      <c r="F45" s="36" t="str">
        <f>_xlfn.XLOOKUP(tblDataRequirement[[#This Row],[id_subdomain]],tblDomain[Id_subdomain],tblDomain[domain])</f>
        <v>Service</v>
      </c>
      <c r="G45" s="36" t="str">
        <f>_xlfn.XLOOKUP(tblDataRequirement[[#This Row],[id_subdomain]],tblDomain[Id_subdomain],tblDomain[sub_domain])</f>
        <v>Support type</v>
      </c>
      <c r="H45" s="36" t="str">
        <f>tblDataRequirement[[#This Row],[data_requirement]]</f>
        <v>Unpaid Carer support</v>
      </c>
      <c r="I45" s="36">
        <f>_xlfn.XLOOKUP(tblDataRequirement[[#This Row],[id_subdomain]],tblDomain[Id_subdomain],tblDomain[sequence_no])</f>
        <v>3.3</v>
      </c>
      <c r="J45" s="36">
        <v>10</v>
      </c>
      <c r="K45" s="36" t="str">
        <f>tblDataRequirement[[#This Row],[domain_seq]]&amp;"."&amp;TEXT(tblDataRequirement[[#This Row],[req_seq]],"00")</f>
        <v>3.3.10</v>
      </c>
      <c r="L45" s="36" t="s">
        <v>109</v>
      </c>
      <c r="M45" s="5"/>
      <c r="N45" s="35"/>
      <c r="O45" s="35"/>
      <c r="P45" s="35"/>
      <c r="Q45" s="35"/>
      <c r="R45" s="1" t="s">
        <v>103</v>
      </c>
      <c r="S45" s="12">
        <f>COUNTIF(requirement_measure_map!$C$3:$C$1514,data_requirement!A45)</f>
        <v>7</v>
      </c>
      <c r="T45" s="5"/>
      <c r="U45" s="48">
        <f t="shared" si="1"/>
        <v>1</v>
      </c>
    </row>
    <row r="46" spans="1:21" x14ac:dyDescent="0.15">
      <c r="A46" s="35">
        <v>40</v>
      </c>
      <c r="B46" s="35">
        <v>25</v>
      </c>
      <c r="C46" s="5" t="str">
        <f>_xlfn.XLOOKUP(tblDataRequirement[[#This Row],[id_subdomain]],tblDomain[Id_subdomain],tblDomain[domain_sub_domain])</f>
        <v>Service:Support setting</v>
      </c>
      <c r="D46" s="5" t="s">
        <v>142</v>
      </c>
      <c r="E46" s="36" t="str">
        <f>tblDataRequirement[[#This Row],[domain_sub_domain]]&amp;":"&amp;tblDataRequirement[[#This Row],[data_requirement]]</f>
        <v>Service:Support setting:Home</v>
      </c>
      <c r="F46" s="36" t="str">
        <f>_xlfn.XLOOKUP(tblDataRequirement[[#This Row],[id_subdomain]],tblDomain[Id_subdomain],tblDomain[domain])</f>
        <v>Service</v>
      </c>
      <c r="G46" s="36" t="str">
        <f>_xlfn.XLOOKUP(tblDataRequirement[[#This Row],[id_subdomain]],tblDomain[Id_subdomain],tblDomain[sub_domain])</f>
        <v>Support setting</v>
      </c>
      <c r="H46" s="36" t="str">
        <f>tblDataRequirement[[#This Row],[data_requirement]]</f>
        <v>Home</v>
      </c>
      <c r="I46" s="36">
        <f>_xlfn.XLOOKUP(tblDataRequirement[[#This Row],[id_subdomain]],tblDomain[Id_subdomain],tblDomain[sequence_no])</f>
        <v>3.4</v>
      </c>
      <c r="J46" s="36">
        <v>1</v>
      </c>
      <c r="K46" s="36" t="str">
        <f>tblDataRequirement[[#This Row],[domain_seq]]&amp;"."&amp;TEXT(tblDataRequirement[[#This Row],[req_seq]],"00")</f>
        <v>3.4.01</v>
      </c>
      <c r="L46" s="36" t="s">
        <v>109</v>
      </c>
      <c r="M46" s="5"/>
      <c r="N46" s="35"/>
      <c r="O46" s="35"/>
      <c r="P46" s="35" t="s">
        <v>102</v>
      </c>
      <c r="Q46" s="35"/>
      <c r="R46" s="1" t="s">
        <v>103</v>
      </c>
      <c r="S46" s="12">
        <f>COUNTIF(requirement_measure_map!$C$3:$C$1514,data_requirement!A46)</f>
        <v>50</v>
      </c>
      <c r="T46" s="5"/>
      <c r="U46" s="49">
        <f t="shared" si="1"/>
        <v>1</v>
      </c>
    </row>
    <row r="47" spans="1:21" x14ac:dyDescent="0.15">
      <c r="A47" s="35">
        <v>43</v>
      </c>
      <c r="B47" s="35">
        <v>25</v>
      </c>
      <c r="C47" s="5" t="str">
        <f>_xlfn.XLOOKUP(tblDataRequirement[[#This Row],[id_subdomain]],tblDomain[Id_subdomain],tblDomain[domain_sub_domain])</f>
        <v>Service:Support setting</v>
      </c>
      <c r="D47" s="5" t="s">
        <v>145</v>
      </c>
      <c r="E47" s="36" t="str">
        <f>tblDataRequirement[[#This Row],[domain_sub_domain]]&amp;":"&amp;tblDataRequirement[[#This Row],[data_requirement]]</f>
        <v>Service:Support setting:Community</v>
      </c>
      <c r="F47" s="36" t="str">
        <f>_xlfn.XLOOKUP(tblDataRequirement[[#This Row],[id_subdomain]],tblDomain[Id_subdomain],tblDomain[domain])</f>
        <v>Service</v>
      </c>
      <c r="G47" s="36" t="str">
        <f>_xlfn.XLOOKUP(tblDataRequirement[[#This Row],[id_subdomain]],tblDomain[Id_subdomain],tblDomain[sub_domain])</f>
        <v>Support setting</v>
      </c>
      <c r="H47" s="36" t="str">
        <f>tblDataRequirement[[#This Row],[data_requirement]]</f>
        <v>Community</v>
      </c>
      <c r="I47" s="36">
        <f>_xlfn.XLOOKUP(tblDataRequirement[[#This Row],[id_subdomain]],tblDomain[Id_subdomain],tblDomain[sequence_no])</f>
        <v>3.4</v>
      </c>
      <c r="J47" s="36">
        <v>2</v>
      </c>
      <c r="K47" s="36" t="str">
        <f>tblDataRequirement[[#This Row],[domain_seq]]&amp;"."&amp;TEXT(tblDataRequirement[[#This Row],[req_seq]],"00")</f>
        <v>3.4.02</v>
      </c>
      <c r="L47" s="36" t="s">
        <v>109</v>
      </c>
      <c r="M47" s="5"/>
      <c r="N47" s="35"/>
      <c r="O47" s="35"/>
      <c r="P47" s="35" t="s">
        <v>102</v>
      </c>
      <c r="Q47" s="35"/>
      <c r="R47" s="1" t="s">
        <v>103</v>
      </c>
      <c r="S47" s="12">
        <f>COUNTIF(requirement_measure_map!$C$3:$C$1514,data_requirement!A47)</f>
        <v>65</v>
      </c>
      <c r="T47" s="5"/>
      <c r="U47" s="49">
        <f t="shared" si="1"/>
        <v>1</v>
      </c>
    </row>
    <row r="48" spans="1:21" x14ac:dyDescent="0.15">
      <c r="A48" s="35">
        <v>41</v>
      </c>
      <c r="B48" s="35">
        <v>25</v>
      </c>
      <c r="C48" s="5" t="str">
        <f>_xlfn.XLOOKUP(tblDataRequirement[[#This Row],[id_subdomain]],tblDomain[Id_subdomain],tblDomain[domain_sub_domain])</f>
        <v>Service:Support setting</v>
      </c>
      <c r="D48" s="5" t="s">
        <v>143</v>
      </c>
      <c r="E48" s="36" t="str">
        <f>tblDataRequirement[[#This Row],[domain_sub_domain]]&amp;":"&amp;tblDataRequirement[[#This Row],[data_requirement]]</f>
        <v>Service:Support setting:Residential care home</v>
      </c>
      <c r="F48" s="36" t="str">
        <f>_xlfn.XLOOKUP(tblDataRequirement[[#This Row],[id_subdomain]],tblDomain[Id_subdomain],tblDomain[domain])</f>
        <v>Service</v>
      </c>
      <c r="G48" s="36" t="str">
        <f>_xlfn.XLOOKUP(tblDataRequirement[[#This Row],[id_subdomain]],tblDomain[Id_subdomain],tblDomain[sub_domain])</f>
        <v>Support setting</v>
      </c>
      <c r="H48" s="36" t="str">
        <f>tblDataRequirement[[#This Row],[data_requirement]]</f>
        <v>Residential care home</v>
      </c>
      <c r="I48" s="36">
        <f>_xlfn.XLOOKUP(tblDataRequirement[[#This Row],[id_subdomain]],tblDomain[Id_subdomain],tblDomain[sequence_no])</f>
        <v>3.4</v>
      </c>
      <c r="J48" s="36">
        <v>3</v>
      </c>
      <c r="K48" s="36" t="str">
        <f>tblDataRequirement[[#This Row],[domain_seq]]&amp;"."&amp;TEXT(tblDataRequirement[[#This Row],[req_seq]],"00")</f>
        <v>3.4.03</v>
      </c>
      <c r="L48" s="36" t="s">
        <v>109</v>
      </c>
      <c r="M48" s="5"/>
      <c r="N48" s="35"/>
      <c r="O48" s="35"/>
      <c r="P48" s="35" t="s">
        <v>102</v>
      </c>
      <c r="Q48" s="35"/>
      <c r="R48" s="1" t="s">
        <v>103</v>
      </c>
      <c r="S48" s="12">
        <f>COUNTIF(requirement_measure_map!$C$3:$C$1514,data_requirement!A48)</f>
        <v>88</v>
      </c>
      <c r="T48" s="5"/>
      <c r="U48" s="49">
        <f t="shared" si="1"/>
        <v>1</v>
      </c>
    </row>
    <row r="49" spans="1:21" x14ac:dyDescent="0.15">
      <c r="A49" s="35">
        <v>42</v>
      </c>
      <c r="B49" s="35">
        <v>25</v>
      </c>
      <c r="C49" s="5" t="str">
        <f>_xlfn.XLOOKUP(tblDataRequirement[[#This Row],[id_subdomain]],tblDomain[Id_subdomain],tblDomain[domain_sub_domain])</f>
        <v>Service:Support setting</v>
      </c>
      <c r="D49" s="5" t="s">
        <v>144</v>
      </c>
      <c r="E49" s="5" t="str">
        <f>tblDataRequirement[[#This Row],[domain_sub_domain]]&amp;":"&amp;tblDataRequirement[[#This Row],[data_requirement]]</f>
        <v>Service:Support setting:Nursing home</v>
      </c>
      <c r="F49" s="5" t="str">
        <f>_xlfn.XLOOKUP(tblDataRequirement[[#This Row],[id_subdomain]],tblDomain[Id_subdomain],tblDomain[domain])</f>
        <v>Service</v>
      </c>
      <c r="G49" s="5" t="str">
        <f>_xlfn.XLOOKUP(tblDataRequirement[[#This Row],[id_subdomain]],tblDomain[Id_subdomain],tblDomain[sub_domain])</f>
        <v>Support setting</v>
      </c>
      <c r="H49" s="5" t="str">
        <f>tblDataRequirement[[#This Row],[data_requirement]]</f>
        <v>Nursing home</v>
      </c>
      <c r="I49" s="5">
        <f>_xlfn.XLOOKUP(tblDataRequirement[[#This Row],[id_subdomain]],tblDomain[Id_subdomain],tblDomain[sequence_no])</f>
        <v>3.4</v>
      </c>
      <c r="J49" s="5">
        <v>4</v>
      </c>
      <c r="K49" s="5" t="str">
        <f>tblDataRequirement[[#This Row],[domain_seq]]&amp;"."&amp;TEXT(tblDataRequirement[[#This Row],[req_seq]],"00")</f>
        <v>3.4.04</v>
      </c>
      <c r="L49" s="5" t="s">
        <v>109</v>
      </c>
      <c r="M49" s="5"/>
      <c r="N49" s="35"/>
      <c r="O49" s="35"/>
      <c r="P49" s="35" t="s">
        <v>102</v>
      </c>
      <c r="Q49" s="35"/>
      <c r="R49" s="1" t="s">
        <v>103</v>
      </c>
      <c r="S49" s="12">
        <f>COUNTIF(requirement_measure_map!$C$3:$C$1514,data_requirement!A49)</f>
        <v>84</v>
      </c>
      <c r="T49" s="5"/>
      <c r="U49" s="49">
        <f t="shared" si="1"/>
        <v>1</v>
      </c>
    </row>
    <row r="50" spans="1:21" x14ac:dyDescent="0.15">
      <c r="A50" s="35">
        <v>26</v>
      </c>
      <c r="B50" s="35">
        <v>21</v>
      </c>
      <c r="C50" s="5" t="str">
        <f>_xlfn.XLOOKUP(tblDataRequirement[[#This Row],[id_subdomain]],tblDomain[Id_subdomain],tblDomain[domain_sub_domain])</f>
        <v>Service:Care models</v>
      </c>
      <c r="D50" s="5" t="s">
        <v>128</v>
      </c>
      <c r="E50" s="36" t="str">
        <f>tblDataRequirement[[#This Row],[domain_sub_domain]]&amp;":"&amp;tblDataRequirement[[#This Row],[data_requirement]]</f>
        <v xml:space="preserve">Service:Care models:Care packages </v>
      </c>
      <c r="F50" s="36" t="str">
        <f>_xlfn.XLOOKUP(tblDataRequirement[[#This Row],[id_subdomain]],tblDomain[Id_subdomain],tblDomain[domain])</f>
        <v>Service</v>
      </c>
      <c r="G50" s="36" t="str">
        <f>_xlfn.XLOOKUP(tblDataRequirement[[#This Row],[id_subdomain]],tblDomain[Id_subdomain],tblDomain[sub_domain])</f>
        <v>Care models</v>
      </c>
      <c r="H50" s="36" t="str">
        <f>tblDataRequirement[[#This Row],[data_requirement]]</f>
        <v xml:space="preserve">Care packages </v>
      </c>
      <c r="I50" s="36">
        <f>_xlfn.XLOOKUP(tblDataRequirement[[#This Row],[id_subdomain]],tblDomain[Id_subdomain],tblDomain[sequence_no])</f>
        <v>3.5</v>
      </c>
      <c r="J50" s="36">
        <v>1</v>
      </c>
      <c r="K50" s="36" t="str">
        <f>tblDataRequirement[[#This Row],[domain_seq]]&amp;"."&amp;TEXT(tblDataRequirement[[#This Row],[req_seq]],"00")</f>
        <v>3.5.01</v>
      </c>
      <c r="L50" s="36" t="s">
        <v>109</v>
      </c>
      <c r="M50" s="5"/>
      <c r="N50" s="35"/>
      <c r="O50" s="35" t="s">
        <v>102</v>
      </c>
      <c r="P50" s="35" t="s">
        <v>102</v>
      </c>
      <c r="Q50" s="35"/>
      <c r="R50" s="1" t="s">
        <v>103</v>
      </c>
      <c r="S50" s="12">
        <f>COUNTIF(requirement_measure_map!$C$3:$C$1514,data_requirement!A50)</f>
        <v>1</v>
      </c>
      <c r="T50" s="5"/>
      <c r="U50" s="49">
        <f t="shared" si="1"/>
        <v>1</v>
      </c>
    </row>
    <row r="51" spans="1:21" x14ac:dyDescent="0.15">
      <c r="A51" s="35">
        <v>70</v>
      </c>
      <c r="B51" s="35">
        <v>21</v>
      </c>
      <c r="C51" s="5" t="str">
        <f>_xlfn.XLOOKUP(tblDataRequirement[[#This Row],[id_subdomain]],tblDomain[Id_subdomain],tblDomain[domain_sub_domain])</f>
        <v>Service:Care models</v>
      </c>
      <c r="D51" s="5" t="s">
        <v>129</v>
      </c>
      <c r="E51" s="36" t="str">
        <f>tblDataRequirement[[#This Row],[domain_sub_domain]]&amp;":"&amp;tblDataRequirement[[#This Row],[data_requirement]]</f>
        <v>Service:Care models:Self-directed support</v>
      </c>
      <c r="F51" s="36" t="str">
        <f>_xlfn.XLOOKUP(tblDataRequirement[[#This Row],[id_subdomain]],tblDomain[Id_subdomain],tblDomain[domain])</f>
        <v>Service</v>
      </c>
      <c r="G51" s="36" t="str">
        <f>_xlfn.XLOOKUP(tblDataRequirement[[#This Row],[id_subdomain]],tblDomain[Id_subdomain],tblDomain[sub_domain])</f>
        <v>Care models</v>
      </c>
      <c r="H51" s="36" t="str">
        <f>tblDataRequirement[[#This Row],[data_requirement]]</f>
        <v>Self-directed support</v>
      </c>
      <c r="I51" s="36">
        <f>_xlfn.XLOOKUP(tblDataRequirement[[#This Row],[id_subdomain]],tblDomain[Id_subdomain],tblDomain[sequence_no])</f>
        <v>3.5</v>
      </c>
      <c r="J51" s="36">
        <v>2</v>
      </c>
      <c r="K51" s="36" t="str">
        <f>tblDataRequirement[[#This Row],[domain_seq]]&amp;"."&amp;TEXT(tblDataRequirement[[#This Row],[req_seq]],"00")</f>
        <v>3.5.02</v>
      </c>
      <c r="L51" s="36" t="s">
        <v>109</v>
      </c>
      <c r="M51" s="5"/>
      <c r="N51" s="35"/>
      <c r="O51" s="35"/>
      <c r="P51" s="35"/>
      <c r="Q51" s="35"/>
      <c r="R51" s="1" t="s">
        <v>103</v>
      </c>
      <c r="S51" s="12">
        <f>COUNTIF(requirement_measure_map!$C$3:$C$1514,data_requirement!A51)</f>
        <v>8</v>
      </c>
      <c r="T51" s="5"/>
      <c r="U51" s="49">
        <f t="shared" si="1"/>
        <v>1</v>
      </c>
    </row>
    <row r="52" spans="1:21" x14ac:dyDescent="0.15">
      <c r="A52" s="35">
        <v>34</v>
      </c>
      <c r="B52" s="35">
        <v>23</v>
      </c>
      <c r="C52" s="5" t="str">
        <f>_xlfn.XLOOKUP(tblDataRequirement[[#This Row],[id_subdomain]],tblDomain[Id_subdomain],tblDomain[domain_sub_domain])</f>
        <v>Service:Cost</v>
      </c>
      <c r="D52" s="5" t="s">
        <v>130</v>
      </c>
      <c r="E52" s="36" t="str">
        <f>tblDataRequirement[[#This Row],[domain_sub_domain]]&amp;":"&amp;tblDataRequirement[[#This Row],[data_requirement]]</f>
        <v>Service:Cost:Unit cost for local authority-funded care</v>
      </c>
      <c r="F52" s="36" t="str">
        <f>_xlfn.XLOOKUP(tblDataRequirement[[#This Row],[id_subdomain]],tblDomain[Id_subdomain],tblDomain[domain])</f>
        <v>Service</v>
      </c>
      <c r="G52" s="36" t="str">
        <f>_xlfn.XLOOKUP(tblDataRequirement[[#This Row],[id_subdomain]],tblDomain[Id_subdomain],tblDomain[sub_domain])</f>
        <v>Cost</v>
      </c>
      <c r="H52" s="36" t="str">
        <f>tblDataRequirement[[#This Row],[data_requirement]]</f>
        <v>Unit cost for local authority-funded care</v>
      </c>
      <c r="I52" s="36">
        <f>_xlfn.XLOOKUP(tblDataRequirement[[#This Row],[id_subdomain]],tblDomain[Id_subdomain],tblDomain[sequence_no])</f>
        <v>3.6</v>
      </c>
      <c r="J52" s="36">
        <v>1</v>
      </c>
      <c r="K52" s="36" t="str">
        <f>tblDataRequirement[[#This Row],[domain_seq]]&amp;"."&amp;TEXT(tblDataRequirement[[#This Row],[req_seq]],"00")</f>
        <v>3.6.01</v>
      </c>
      <c r="L52" s="36" t="s">
        <v>109</v>
      </c>
      <c r="M52" s="5"/>
      <c r="N52" s="35"/>
      <c r="O52" s="35" t="s">
        <v>102</v>
      </c>
      <c r="P52" s="35"/>
      <c r="Q52" s="35"/>
      <c r="R52" s="1" t="s">
        <v>103</v>
      </c>
      <c r="S52" s="12">
        <f>COUNTIF(requirement_measure_map!$C$3:$C$1514,data_requirement!A52)</f>
        <v>9</v>
      </c>
      <c r="T52" s="5"/>
      <c r="U52" s="49">
        <f t="shared" si="1"/>
        <v>1</v>
      </c>
    </row>
    <row r="53" spans="1:21" x14ac:dyDescent="0.15">
      <c r="A53" s="35">
        <v>35</v>
      </c>
      <c r="B53" s="35">
        <v>23</v>
      </c>
      <c r="C53" s="5" t="str">
        <f>_xlfn.XLOOKUP(tblDataRequirement[[#This Row],[id_subdomain]],tblDomain[Id_subdomain],tblDomain[domain_sub_domain])</f>
        <v>Service:Cost</v>
      </c>
      <c r="D53" s="5" t="s">
        <v>131</v>
      </c>
      <c r="E53" s="36" t="str">
        <f>tblDataRequirement[[#This Row],[domain_sub_domain]]&amp;":"&amp;tblDataRequirement[[#This Row],[data_requirement]]</f>
        <v>Service:Cost:Unit cos tfor self-funded care</v>
      </c>
      <c r="F53" s="36" t="str">
        <f>_xlfn.XLOOKUP(tblDataRequirement[[#This Row],[id_subdomain]],tblDomain[Id_subdomain],tblDomain[domain])</f>
        <v>Service</v>
      </c>
      <c r="G53" s="36" t="str">
        <f>_xlfn.XLOOKUP(tblDataRequirement[[#This Row],[id_subdomain]],tblDomain[Id_subdomain],tblDomain[sub_domain])</f>
        <v>Cost</v>
      </c>
      <c r="H53" s="36" t="str">
        <f>tblDataRequirement[[#This Row],[data_requirement]]</f>
        <v>Unit cos tfor self-funded care</v>
      </c>
      <c r="I53" s="36">
        <f>_xlfn.XLOOKUP(tblDataRequirement[[#This Row],[id_subdomain]],tblDomain[Id_subdomain],tblDomain[sequence_no])</f>
        <v>3.6</v>
      </c>
      <c r="J53" s="36">
        <v>2</v>
      </c>
      <c r="K53" s="36" t="str">
        <f>tblDataRequirement[[#This Row],[domain_seq]]&amp;"."&amp;TEXT(tblDataRequirement[[#This Row],[req_seq]],"00")</f>
        <v>3.6.02</v>
      </c>
      <c r="L53" s="36" t="s">
        <v>109</v>
      </c>
      <c r="M53" s="5"/>
      <c r="N53" s="35"/>
      <c r="O53" s="35" t="s">
        <v>102</v>
      </c>
      <c r="P53" s="35"/>
      <c r="Q53" s="35"/>
      <c r="R53" s="1" t="s">
        <v>103</v>
      </c>
      <c r="S53" s="12">
        <f>COUNTIF(requirement_measure_map!$C$3:$C$1514,data_requirement!A53)</f>
        <v>3</v>
      </c>
      <c r="T53" s="5"/>
      <c r="U53" s="49">
        <f t="shared" si="1"/>
        <v>1</v>
      </c>
    </row>
    <row r="54" spans="1:21" x14ac:dyDescent="0.15">
      <c r="A54" s="35">
        <v>21</v>
      </c>
      <c r="B54" s="35">
        <v>20</v>
      </c>
      <c r="C54" s="5" t="str">
        <f>_xlfn.XLOOKUP(tblDataRequirement[[#This Row],[id_subdomain]],tblDomain[Id_subdomain],tblDomain[domain_sub_domain])</f>
        <v>Service:Quality</v>
      </c>
      <c r="D54" s="5" t="s">
        <v>137</v>
      </c>
      <c r="E54" s="36" t="str">
        <f>tblDataRequirement[[#This Row],[domain_sub_domain]]&amp;":"&amp;tblDataRequirement[[#This Row],[data_requirement]]</f>
        <v>Service:Quality:Local authority-funded care</v>
      </c>
      <c r="F54" s="36" t="str">
        <f>_xlfn.XLOOKUP(tblDataRequirement[[#This Row],[id_subdomain]],tblDomain[Id_subdomain],tblDomain[domain])</f>
        <v>Service</v>
      </c>
      <c r="G54" s="36" t="str">
        <f>_xlfn.XLOOKUP(tblDataRequirement[[#This Row],[id_subdomain]],tblDomain[Id_subdomain],tblDomain[sub_domain])</f>
        <v>Quality</v>
      </c>
      <c r="H54" s="36" t="str">
        <f>tblDataRequirement[[#This Row],[data_requirement]]</f>
        <v>Local authority-funded care</v>
      </c>
      <c r="I54" s="36">
        <f>_xlfn.XLOOKUP(tblDataRequirement[[#This Row],[id_subdomain]],tblDomain[Id_subdomain],tblDomain[sequence_no])</f>
        <v>3.7</v>
      </c>
      <c r="J54" s="36">
        <v>1</v>
      </c>
      <c r="K54" s="36" t="str">
        <f>tblDataRequirement[[#This Row],[domain_seq]]&amp;"."&amp;TEXT(tblDataRequirement[[#This Row],[req_seq]],"00")</f>
        <v>3.7.01</v>
      </c>
      <c r="L54" s="36" t="s">
        <v>123</v>
      </c>
      <c r="M54" s="5"/>
      <c r="N54" s="35"/>
      <c r="O54" s="35" t="s">
        <v>102</v>
      </c>
      <c r="P54" s="35"/>
      <c r="Q54" s="35"/>
      <c r="R54" s="1" t="s">
        <v>103</v>
      </c>
      <c r="S54" s="12">
        <f>COUNTIF(requirement_measure_map!$C$3:$C$1514,data_requirement!A54)</f>
        <v>0</v>
      </c>
      <c r="T54" s="5"/>
      <c r="U54" s="49">
        <f t="shared" si="1"/>
        <v>1</v>
      </c>
    </row>
    <row r="55" spans="1:21" x14ac:dyDescent="0.15">
      <c r="A55" s="35">
        <v>22</v>
      </c>
      <c r="B55" s="35">
        <v>20</v>
      </c>
      <c r="C55" s="5" t="str">
        <f>_xlfn.XLOOKUP(tblDataRequirement[[#This Row],[id_subdomain]],tblDomain[Id_subdomain],tblDomain[domain_sub_domain])</f>
        <v>Service:Quality</v>
      </c>
      <c r="D55" s="5" t="s">
        <v>138</v>
      </c>
      <c r="E55" s="36" t="str">
        <f>tblDataRequirement[[#This Row],[domain_sub_domain]]&amp;":"&amp;tblDataRequirement[[#This Row],[data_requirement]]</f>
        <v>Service:Quality:Self-funded care</v>
      </c>
      <c r="F55" s="36" t="str">
        <f>_xlfn.XLOOKUP(tblDataRequirement[[#This Row],[id_subdomain]],tblDomain[Id_subdomain],tblDomain[domain])</f>
        <v>Service</v>
      </c>
      <c r="G55" s="36" t="str">
        <f>_xlfn.XLOOKUP(tblDataRequirement[[#This Row],[id_subdomain]],tblDomain[Id_subdomain],tblDomain[sub_domain])</f>
        <v>Quality</v>
      </c>
      <c r="H55" s="36" t="str">
        <f>tblDataRequirement[[#This Row],[data_requirement]]</f>
        <v>Self-funded care</v>
      </c>
      <c r="I55" s="36">
        <f>_xlfn.XLOOKUP(tblDataRequirement[[#This Row],[id_subdomain]],tblDomain[Id_subdomain],tblDomain[sequence_no])</f>
        <v>3.7</v>
      </c>
      <c r="J55" s="36">
        <v>2</v>
      </c>
      <c r="K55" s="36" t="str">
        <f>tblDataRequirement[[#This Row],[domain_seq]]&amp;"."&amp;TEXT(tblDataRequirement[[#This Row],[req_seq]],"00")</f>
        <v>3.7.02</v>
      </c>
      <c r="L55" s="36" t="s">
        <v>123</v>
      </c>
      <c r="M55" s="5"/>
      <c r="N55" s="35"/>
      <c r="O55" s="35" t="s">
        <v>102</v>
      </c>
      <c r="P55" s="35"/>
      <c r="Q55" s="35"/>
      <c r="R55" s="1" t="s">
        <v>103</v>
      </c>
      <c r="S55" s="12">
        <f>COUNTIF(requirement_measure_map!$C$3:$C$1514,data_requirement!A55)</f>
        <v>0</v>
      </c>
      <c r="T55" s="5"/>
      <c r="U55" s="49">
        <f t="shared" si="1"/>
        <v>1</v>
      </c>
    </row>
    <row r="56" spans="1:21" x14ac:dyDescent="0.15">
      <c r="A56" s="35">
        <v>79</v>
      </c>
      <c r="B56" s="35">
        <v>20</v>
      </c>
      <c r="C56" s="5" t="str">
        <f>_xlfn.XLOOKUP(tblDataRequirement[[#This Row],[id_subdomain]],tblDomain[Id_subdomain],tblDomain[domain_sub_domain])</f>
        <v>Service:Quality</v>
      </c>
      <c r="D56" s="5" t="s">
        <v>139</v>
      </c>
      <c r="E56" s="36" t="str">
        <f>tblDataRequirement[[#This Row],[domain_sub_domain]]&amp;":"&amp;tblDataRequirement[[#This Row],[data_requirement]]</f>
        <v>Service:Quality:Regulatory ratings</v>
      </c>
      <c r="F56" s="36" t="str">
        <f>_xlfn.XLOOKUP(tblDataRequirement[[#This Row],[id_subdomain]],tblDomain[Id_subdomain],tblDomain[domain])</f>
        <v>Service</v>
      </c>
      <c r="G56" s="36" t="str">
        <f>_xlfn.XLOOKUP(tblDataRequirement[[#This Row],[id_subdomain]],tblDomain[Id_subdomain],tblDomain[sub_domain])</f>
        <v>Quality</v>
      </c>
      <c r="H56" s="36" t="str">
        <f>tblDataRequirement[[#This Row],[data_requirement]]</f>
        <v>Regulatory ratings</v>
      </c>
      <c r="I56" s="36">
        <f>_xlfn.XLOOKUP(tblDataRequirement[[#This Row],[id_subdomain]],tblDomain[Id_subdomain],tblDomain[sequence_no])</f>
        <v>3.7</v>
      </c>
      <c r="J56" s="36">
        <v>3</v>
      </c>
      <c r="K56" s="36" t="str">
        <f>tblDataRequirement[[#This Row],[domain_seq]]&amp;"."&amp;TEXT(tblDataRequirement[[#This Row],[req_seq]],"00")</f>
        <v>3.7.03</v>
      </c>
      <c r="L56" s="36" t="s">
        <v>123</v>
      </c>
      <c r="M56" s="5"/>
      <c r="N56" s="35"/>
      <c r="O56" s="35"/>
      <c r="P56" s="35"/>
      <c r="Q56" s="35"/>
      <c r="R56" s="1" t="s">
        <v>103</v>
      </c>
      <c r="S56" s="12">
        <f>COUNTIF(requirement_measure_map!$C$3:$C$1514,data_requirement!A56)</f>
        <v>1</v>
      </c>
      <c r="T56" s="5"/>
      <c r="U56" s="48">
        <f t="shared" si="1"/>
        <v>1</v>
      </c>
    </row>
    <row r="57" spans="1:21" x14ac:dyDescent="0.15">
      <c r="A57" s="35">
        <v>23</v>
      </c>
      <c r="B57" s="35">
        <v>20</v>
      </c>
      <c r="C57" s="5" t="str">
        <f>_xlfn.XLOOKUP(tblDataRequirement[[#This Row],[id_subdomain]],tblDomain[Id_subdomain],tblDomain[domain_sub_domain])</f>
        <v>Service:Quality</v>
      </c>
      <c r="D57" s="5" t="s">
        <v>140</v>
      </c>
      <c r="E57" s="36" t="str">
        <f>tblDataRequirement[[#This Row],[domain_sub_domain]]&amp;":"&amp;tblDataRequirement[[#This Row],[data_requirement]]</f>
        <v>Service:Quality:Unpaid Carer perception</v>
      </c>
      <c r="F57" s="36" t="str">
        <f>_xlfn.XLOOKUP(tblDataRequirement[[#This Row],[id_subdomain]],tblDomain[Id_subdomain],tblDomain[domain])</f>
        <v>Service</v>
      </c>
      <c r="G57" s="36" t="str">
        <f>_xlfn.XLOOKUP(tblDataRequirement[[#This Row],[id_subdomain]],tblDomain[Id_subdomain],tblDomain[sub_domain])</f>
        <v>Quality</v>
      </c>
      <c r="H57" s="36" t="str">
        <f>tblDataRequirement[[#This Row],[data_requirement]]</f>
        <v>Unpaid Carer perception</v>
      </c>
      <c r="I57" s="36">
        <f>_xlfn.XLOOKUP(tblDataRequirement[[#This Row],[id_subdomain]],tblDomain[Id_subdomain],tblDomain[sequence_no])</f>
        <v>3.7</v>
      </c>
      <c r="J57" s="36">
        <v>4</v>
      </c>
      <c r="K57" s="36" t="str">
        <f>tblDataRequirement[[#This Row],[domain_seq]]&amp;"."&amp;TEXT(tblDataRequirement[[#This Row],[req_seq]],"00")</f>
        <v>3.7.04</v>
      </c>
      <c r="L57" s="36" t="s">
        <v>123</v>
      </c>
      <c r="M57" s="5"/>
      <c r="N57" s="35"/>
      <c r="O57" s="35" t="s">
        <v>102</v>
      </c>
      <c r="P57" s="35"/>
      <c r="Q57" s="35"/>
      <c r="R57" s="1" t="s">
        <v>103</v>
      </c>
      <c r="S57" s="12">
        <f>COUNTIF(requirement_measure_map!$C$3:$C$1514,data_requirement!A57)</f>
        <v>5</v>
      </c>
      <c r="T57" s="5"/>
      <c r="U57" s="49">
        <f t="shared" si="1"/>
        <v>1</v>
      </c>
    </row>
    <row r="58" spans="1:21" x14ac:dyDescent="0.15">
      <c r="A58" s="35">
        <v>24</v>
      </c>
      <c r="B58" s="35">
        <v>20</v>
      </c>
      <c r="C58" s="5" t="str">
        <f>_xlfn.XLOOKUP(tblDataRequirement[[#This Row],[id_subdomain]],tblDomain[Id_subdomain],tblDomain[domain_sub_domain])</f>
        <v>Service:Quality</v>
      </c>
      <c r="D58" s="5" t="s">
        <v>122</v>
      </c>
      <c r="E58" s="36" t="str">
        <f>tblDataRequirement[[#This Row],[domain_sub_domain]]&amp;":"&amp;tblDataRequirement[[#This Row],[data_requirement]]</f>
        <v>Service:Quality:Public perception</v>
      </c>
      <c r="F58" s="36" t="str">
        <f>_xlfn.XLOOKUP(tblDataRequirement[[#This Row],[id_subdomain]],tblDomain[Id_subdomain],tblDomain[domain])</f>
        <v>Service</v>
      </c>
      <c r="G58" s="36" t="str">
        <f>_xlfn.XLOOKUP(tblDataRequirement[[#This Row],[id_subdomain]],tblDomain[Id_subdomain],tblDomain[sub_domain])</f>
        <v>Quality</v>
      </c>
      <c r="H58" s="36" t="str">
        <f>tblDataRequirement[[#This Row],[data_requirement]]</f>
        <v>Public perception</v>
      </c>
      <c r="I58" s="36">
        <f>_xlfn.XLOOKUP(tblDataRequirement[[#This Row],[id_subdomain]],tblDomain[Id_subdomain],tblDomain[sequence_no])</f>
        <v>3.7</v>
      </c>
      <c r="J58" s="36">
        <v>5</v>
      </c>
      <c r="K58" s="36" t="str">
        <f>tblDataRequirement[[#This Row],[domain_seq]]&amp;"."&amp;TEXT(tblDataRequirement[[#This Row],[req_seq]],"00")</f>
        <v>3.7.05</v>
      </c>
      <c r="L58" s="36" t="s">
        <v>123</v>
      </c>
      <c r="M58" s="5"/>
      <c r="N58" s="35"/>
      <c r="O58" s="35" t="s">
        <v>102</v>
      </c>
      <c r="P58" s="35"/>
      <c r="Q58" s="35" t="s">
        <v>102</v>
      </c>
      <c r="R58" s="1" t="s">
        <v>103</v>
      </c>
      <c r="S58" s="12">
        <f>COUNTIF(requirement_measure_map!$C$3:$C$1514,data_requirement!A58)</f>
        <v>1</v>
      </c>
      <c r="T58" s="5"/>
      <c r="U58" s="49">
        <f t="shared" si="1"/>
        <v>1</v>
      </c>
    </row>
    <row r="59" spans="1:21" x14ac:dyDescent="0.15">
      <c r="A59" s="35">
        <v>25</v>
      </c>
      <c r="B59" s="35">
        <v>20</v>
      </c>
      <c r="C59" s="5" t="str">
        <f>_xlfn.XLOOKUP(tblDataRequirement[[#This Row],[id_subdomain]],tblDomain[Id_subdomain],tblDomain[domain_sub_domain])</f>
        <v>Service:Quality</v>
      </c>
      <c r="D59" s="5" t="s">
        <v>124</v>
      </c>
      <c r="E59" s="36" t="str">
        <f>tblDataRequirement[[#This Row],[domain_sub_domain]]&amp;":"&amp;tblDataRequirement[[#This Row],[data_requirement]]</f>
        <v>Service:Quality:User perception</v>
      </c>
      <c r="F59" s="36" t="str">
        <f>_xlfn.XLOOKUP(tblDataRequirement[[#This Row],[id_subdomain]],tblDomain[Id_subdomain],tblDomain[domain])</f>
        <v>Service</v>
      </c>
      <c r="G59" s="36" t="str">
        <f>_xlfn.XLOOKUP(tblDataRequirement[[#This Row],[id_subdomain]],tblDomain[Id_subdomain],tblDomain[sub_domain])</f>
        <v>Quality</v>
      </c>
      <c r="H59" s="36" t="str">
        <f>tblDataRequirement[[#This Row],[data_requirement]]</f>
        <v>User perception</v>
      </c>
      <c r="I59" s="36">
        <f>_xlfn.XLOOKUP(tblDataRequirement[[#This Row],[id_subdomain]],tblDomain[Id_subdomain],tblDomain[sequence_no])</f>
        <v>3.7</v>
      </c>
      <c r="J59" s="36">
        <v>6</v>
      </c>
      <c r="K59" s="36" t="str">
        <f>tblDataRequirement[[#This Row],[domain_seq]]&amp;"."&amp;TEXT(tblDataRequirement[[#This Row],[req_seq]],"00")</f>
        <v>3.7.06</v>
      </c>
      <c r="L59" s="36" t="s">
        <v>123</v>
      </c>
      <c r="M59" s="5"/>
      <c r="N59" s="35"/>
      <c r="O59" s="35" t="s">
        <v>102</v>
      </c>
      <c r="P59" s="35"/>
      <c r="Q59" s="35" t="s">
        <v>102</v>
      </c>
      <c r="R59" s="1" t="s">
        <v>103</v>
      </c>
      <c r="S59" s="12">
        <f>COUNTIF(requirement_measure_map!$C$3:$C$1514,data_requirement!A59)</f>
        <v>16</v>
      </c>
      <c r="T59" s="5"/>
      <c r="U59" s="49">
        <f t="shared" si="1"/>
        <v>1</v>
      </c>
    </row>
    <row r="60" spans="1:21" x14ac:dyDescent="0.15">
      <c r="A60" s="35">
        <v>74</v>
      </c>
      <c r="B60" s="35">
        <v>20</v>
      </c>
      <c r="C60" s="5" t="str">
        <f>_xlfn.XLOOKUP(tblDataRequirement[[#This Row],[id_subdomain]],tblDomain[Id_subdomain],tblDomain[domain_sub_domain])</f>
        <v>Service:Quality</v>
      </c>
      <c r="D60" s="5" t="s">
        <v>141</v>
      </c>
      <c r="E60" s="36" t="str">
        <f>tblDataRequirement[[#This Row],[domain_sub_domain]]&amp;":"&amp;tblDataRequirement[[#This Row],[data_requirement]]</f>
        <v>Service:Quality:Safety</v>
      </c>
      <c r="F60" s="36" t="str">
        <f>_xlfn.XLOOKUP(tblDataRequirement[[#This Row],[id_subdomain]],tblDomain[Id_subdomain],tblDomain[domain])</f>
        <v>Service</v>
      </c>
      <c r="G60" s="36" t="str">
        <f>_xlfn.XLOOKUP(tblDataRequirement[[#This Row],[id_subdomain]],tblDomain[Id_subdomain],tblDomain[sub_domain])</f>
        <v>Quality</v>
      </c>
      <c r="H60" s="36" t="str">
        <f>tblDataRequirement[[#This Row],[data_requirement]]</f>
        <v>Safety</v>
      </c>
      <c r="I60" s="36">
        <f>_xlfn.XLOOKUP(tblDataRequirement[[#This Row],[id_subdomain]],tblDomain[Id_subdomain],tblDomain[sequence_no])</f>
        <v>3.7</v>
      </c>
      <c r="J60" s="36">
        <v>7</v>
      </c>
      <c r="K60" s="36" t="str">
        <f>tblDataRequirement[[#This Row],[domain_seq]]&amp;"."&amp;TEXT(tblDataRequirement[[#This Row],[req_seq]],"00")</f>
        <v>3.7.07</v>
      </c>
      <c r="L60" s="36" t="s">
        <v>123</v>
      </c>
      <c r="M60" s="5"/>
      <c r="N60" s="35"/>
      <c r="O60" s="35"/>
      <c r="P60" s="35"/>
      <c r="Q60" s="35"/>
      <c r="R60" s="1" t="s">
        <v>103</v>
      </c>
      <c r="S60" s="12">
        <f>COUNTIF(requirement_measure_map!$C$3:$C$1514,data_requirement!A60)</f>
        <v>31</v>
      </c>
      <c r="T60" s="5"/>
      <c r="U60" s="49">
        <f t="shared" si="1"/>
        <v>1</v>
      </c>
    </row>
    <row r="61" spans="1:21" x14ac:dyDescent="0.15">
      <c r="A61" s="35">
        <v>18</v>
      </c>
      <c r="B61" s="35">
        <v>12</v>
      </c>
      <c r="C61" s="5" t="str">
        <f>_xlfn.XLOOKUP(tblDataRequirement[[#This Row],[id_subdomain]],tblDomain[Id_subdomain],tblDomain[domain_sub_domain])</f>
        <v>Workforce:Type</v>
      </c>
      <c r="D61" s="5" t="s">
        <v>181</v>
      </c>
      <c r="E61" s="36" t="str">
        <f>tblDataRequirement[[#This Row],[domain_sub_domain]]&amp;":"&amp;tblDataRequirement[[#This Row],[data_requirement]]</f>
        <v>Workforce:Type:Employment Status</v>
      </c>
      <c r="F61" s="36" t="str">
        <f>_xlfn.XLOOKUP(tblDataRequirement[[#This Row],[id_subdomain]],tblDomain[Id_subdomain],tblDomain[domain])</f>
        <v>Workforce</v>
      </c>
      <c r="G61" s="36" t="str">
        <f>_xlfn.XLOOKUP(tblDataRequirement[[#This Row],[id_subdomain]],tblDomain[Id_subdomain],tblDomain[sub_domain])</f>
        <v>Type</v>
      </c>
      <c r="H61" s="36" t="str">
        <f>tblDataRequirement[[#This Row],[data_requirement]]</f>
        <v>Employment Status</v>
      </c>
      <c r="I61" s="36">
        <f>_xlfn.XLOOKUP(tblDataRequirement[[#This Row],[id_subdomain]],tblDomain[Id_subdomain],tblDomain[sequence_no])</f>
        <v>4.0999999999999996</v>
      </c>
      <c r="J61" s="36">
        <v>1</v>
      </c>
      <c r="K61" s="36" t="str">
        <f>tblDataRequirement[[#This Row],[domain_seq]]&amp;"."&amp;TEXT(tblDataRequirement[[#This Row],[req_seq]],"00")</f>
        <v>4.1.01</v>
      </c>
      <c r="L61" s="36" t="s">
        <v>109</v>
      </c>
      <c r="N61" s="3"/>
      <c r="O61" s="3"/>
      <c r="P61" s="3"/>
      <c r="Q61" s="3" t="s">
        <v>102</v>
      </c>
      <c r="R61" s="1" t="s">
        <v>103</v>
      </c>
      <c r="S61" s="12">
        <f>COUNTIF(requirement_measure_map!$C$3:$C$1514,data_requirement!A61)</f>
        <v>8</v>
      </c>
      <c r="T61" s="5"/>
      <c r="U61" s="49">
        <f t="shared" si="1"/>
        <v>1</v>
      </c>
    </row>
    <row r="62" spans="1:21" x14ac:dyDescent="0.15">
      <c r="A62" s="35">
        <v>101</v>
      </c>
      <c r="B62" s="35">
        <v>12</v>
      </c>
      <c r="C62" s="5" t="str">
        <f>_xlfn.XLOOKUP(tblDataRequirement[[#This Row],[id_subdomain]],tblDomain[Id_subdomain],tblDomain[domain_sub_domain])</f>
        <v>Workforce:Type</v>
      </c>
      <c r="D62" s="5" t="s">
        <v>182</v>
      </c>
      <c r="E62" s="36" t="str">
        <f>tblDataRequirement[[#This Row],[domain_sub_domain]]&amp;":"&amp;tblDataRequirement[[#This Row],[data_requirement]]</f>
        <v>Workforce:Type:Qualification</v>
      </c>
      <c r="F62" s="36" t="str">
        <f>_xlfn.XLOOKUP(tblDataRequirement[[#This Row],[id_subdomain]],tblDomain[Id_subdomain],tblDomain[domain])</f>
        <v>Workforce</v>
      </c>
      <c r="G62" s="36" t="str">
        <f>_xlfn.XLOOKUP(tblDataRequirement[[#This Row],[id_subdomain]],tblDomain[Id_subdomain],tblDomain[sub_domain])</f>
        <v>Type</v>
      </c>
      <c r="H62" s="36" t="str">
        <f>tblDataRequirement[[#This Row],[data_requirement]]</f>
        <v>Qualification</v>
      </c>
      <c r="I62" s="36">
        <f>_xlfn.XLOOKUP(tblDataRequirement[[#This Row],[id_subdomain]],tblDomain[Id_subdomain],tblDomain[sequence_no])</f>
        <v>4.0999999999999996</v>
      </c>
      <c r="J62" s="36">
        <v>2</v>
      </c>
      <c r="K62" s="36" t="str">
        <f>tblDataRequirement[[#This Row],[domain_seq]]&amp;"."&amp;TEXT(tblDataRequirement[[#This Row],[req_seq]],"00")</f>
        <v>4.1.02</v>
      </c>
      <c r="L62" s="36" t="s">
        <v>101</v>
      </c>
      <c r="N62" s="3"/>
      <c r="O62" s="3"/>
      <c r="P62" s="3"/>
      <c r="Q62" s="3"/>
      <c r="R62" s="1" t="s">
        <v>103</v>
      </c>
      <c r="S62" s="12">
        <f>COUNTIF(requirement_measure_map!$C$3:$C$1514,data_requirement!A62)</f>
        <v>5</v>
      </c>
      <c r="T62" s="5"/>
      <c r="U62" s="48">
        <f t="shared" si="1"/>
        <v>1</v>
      </c>
    </row>
    <row r="63" spans="1:21" x14ac:dyDescent="0.15">
      <c r="A63" s="35">
        <v>16</v>
      </c>
      <c r="B63" s="35">
        <v>9</v>
      </c>
      <c r="C63" s="5" t="str">
        <f>_xlfn.XLOOKUP(tblDataRequirement[[#This Row],[id_subdomain]],tblDomain[Id_subdomain],tblDomain[domain_sub_domain])</f>
        <v>Workforce:Experience</v>
      </c>
      <c r="D63" s="5" t="s">
        <v>72</v>
      </c>
      <c r="E63" s="36" t="str">
        <f>tblDataRequirement[[#This Row],[domain_sub_domain]]&amp;":"&amp;tblDataRequirement[[#This Row],[data_requirement]]</f>
        <v>Workforce:Experience:Experience</v>
      </c>
      <c r="F63" s="36" t="str">
        <f>_xlfn.XLOOKUP(tblDataRequirement[[#This Row],[id_subdomain]],tblDomain[Id_subdomain],tblDomain[domain])</f>
        <v>Workforce</v>
      </c>
      <c r="G63" s="36" t="str">
        <f>_xlfn.XLOOKUP(tblDataRequirement[[#This Row],[id_subdomain]],tblDomain[Id_subdomain],tblDomain[sub_domain])</f>
        <v>Experience</v>
      </c>
      <c r="H63" s="36" t="str">
        <f>tblDataRequirement[[#This Row],[data_requirement]]</f>
        <v>Experience</v>
      </c>
      <c r="I63" s="36">
        <f>_xlfn.XLOOKUP(tblDataRequirement[[#This Row],[id_subdomain]],tblDomain[Id_subdomain],tblDomain[sequence_no])</f>
        <v>4.2</v>
      </c>
      <c r="J63" s="36">
        <v>1</v>
      </c>
      <c r="K63" s="36" t="str">
        <f>tblDataRequirement[[#This Row],[domain_seq]]&amp;"."&amp;TEXT(tblDataRequirement[[#This Row],[req_seq]],"00")</f>
        <v>4.2.01</v>
      </c>
      <c r="L63" s="36" t="s">
        <v>101</v>
      </c>
      <c r="M63" s="5"/>
      <c r="N63" s="35"/>
      <c r="O63" s="35"/>
      <c r="P63" s="35"/>
      <c r="Q63" s="35" t="s">
        <v>102</v>
      </c>
      <c r="R63" s="1" t="s">
        <v>103</v>
      </c>
      <c r="S63" s="12">
        <f>COUNTIF(requirement_measure_map!$C$3:$C$1514,data_requirement!A63)</f>
        <v>2</v>
      </c>
      <c r="T63" s="5"/>
      <c r="U63" s="49">
        <f t="shared" si="1"/>
        <v>1</v>
      </c>
    </row>
    <row r="64" spans="1:21" x14ac:dyDescent="0.15">
      <c r="A64" s="35">
        <v>66</v>
      </c>
      <c r="B64" s="35">
        <v>9</v>
      </c>
      <c r="C64" s="5" t="str">
        <f>_xlfn.XLOOKUP(tblDataRequirement[[#This Row],[id_subdomain]],tblDomain[Id_subdomain],tblDomain[domain_sub_domain])</f>
        <v>Workforce:Experience</v>
      </c>
      <c r="D64" s="5" t="s">
        <v>177</v>
      </c>
      <c r="E64" s="36" t="str">
        <f>tblDataRequirement[[#This Row],[domain_sub_domain]]&amp;":"&amp;tblDataRequirement[[#This Row],[data_requirement]]</f>
        <v>Workforce:Experience:Workload</v>
      </c>
      <c r="F64" s="36" t="str">
        <f>_xlfn.XLOOKUP(tblDataRequirement[[#This Row],[id_subdomain]],tblDomain[Id_subdomain],tblDomain[domain])</f>
        <v>Workforce</v>
      </c>
      <c r="G64" s="36" t="str">
        <f>_xlfn.XLOOKUP(tblDataRequirement[[#This Row],[id_subdomain]],tblDomain[Id_subdomain],tblDomain[sub_domain])</f>
        <v>Experience</v>
      </c>
      <c r="H64" s="36" t="str">
        <f>tblDataRequirement[[#This Row],[data_requirement]]</f>
        <v>Workload</v>
      </c>
      <c r="I64" s="36">
        <f>_xlfn.XLOOKUP(tblDataRequirement[[#This Row],[id_subdomain]],tblDomain[Id_subdomain],tblDomain[sequence_no])</f>
        <v>4.2</v>
      </c>
      <c r="J64" s="36">
        <v>2</v>
      </c>
      <c r="K64" s="36" t="str">
        <f>tblDataRequirement[[#This Row],[domain_seq]]&amp;"."&amp;TEXT(tblDataRequirement[[#This Row],[req_seq]],"00")</f>
        <v>4.2.02</v>
      </c>
      <c r="L64" s="36" t="s">
        <v>116</v>
      </c>
      <c r="M64" s="5"/>
      <c r="N64" s="35"/>
      <c r="O64" s="35"/>
      <c r="P64" s="35"/>
      <c r="Q64" s="35"/>
      <c r="R64" s="1" t="s">
        <v>103</v>
      </c>
      <c r="S64" s="12">
        <f>COUNTIF(requirement_measure_map!$C$3:$C$1514,data_requirement!A64)</f>
        <v>0</v>
      </c>
      <c r="T64" s="5"/>
      <c r="U64" s="49">
        <f t="shared" si="1"/>
        <v>1</v>
      </c>
    </row>
    <row r="65" spans="1:21" x14ac:dyDescent="0.15">
      <c r="A65" s="35">
        <v>72</v>
      </c>
      <c r="B65" s="35">
        <v>9</v>
      </c>
      <c r="C65" s="5" t="str">
        <f>_xlfn.XLOOKUP(tblDataRequirement[[#This Row],[id_subdomain]],tblDomain[Id_subdomain],tblDomain[domain_sub_domain])</f>
        <v>Workforce:Experience</v>
      </c>
      <c r="D65" s="5" t="s">
        <v>178</v>
      </c>
      <c r="E65" s="36" t="str">
        <f>tblDataRequirement[[#This Row],[domain_sub_domain]]&amp;":"&amp;tblDataRequirement[[#This Row],[data_requirement]]</f>
        <v>Workforce:Experience:Quality of Life</v>
      </c>
      <c r="F65" s="36" t="str">
        <f>_xlfn.XLOOKUP(tblDataRequirement[[#This Row],[id_subdomain]],tblDomain[Id_subdomain],tblDomain[domain])</f>
        <v>Workforce</v>
      </c>
      <c r="G65" s="36" t="str">
        <f>_xlfn.XLOOKUP(tblDataRequirement[[#This Row],[id_subdomain]],tblDomain[Id_subdomain],tblDomain[sub_domain])</f>
        <v>Experience</v>
      </c>
      <c r="H65" s="36" t="str">
        <f>tblDataRequirement[[#This Row],[data_requirement]]</f>
        <v>Quality of Life</v>
      </c>
      <c r="I65" s="36">
        <f>_xlfn.XLOOKUP(tblDataRequirement[[#This Row],[id_subdomain]],tblDomain[Id_subdomain],tblDomain[sequence_no])</f>
        <v>4.2</v>
      </c>
      <c r="J65" s="36">
        <v>3</v>
      </c>
      <c r="K65" s="36" t="str">
        <f>tblDataRequirement[[#This Row],[domain_seq]]&amp;"."&amp;TEXT(tblDataRequirement[[#This Row],[req_seq]],"00")</f>
        <v>4.2.03</v>
      </c>
      <c r="L65" s="36" t="s">
        <v>123</v>
      </c>
      <c r="M65" s="5"/>
      <c r="N65" s="35"/>
      <c r="O65" s="35"/>
      <c r="P65" s="35"/>
      <c r="Q65" s="35"/>
      <c r="R65" s="1" t="s">
        <v>103</v>
      </c>
      <c r="S65" s="12">
        <f>COUNTIF(requirement_measure_map!$C$3:$C$1514,data_requirement!A65)</f>
        <v>0</v>
      </c>
      <c r="T65" s="5"/>
      <c r="U65" s="49">
        <f t="shared" si="1"/>
        <v>1</v>
      </c>
    </row>
    <row r="66" spans="1:21" x14ac:dyDescent="0.15">
      <c r="A66" s="35">
        <v>67</v>
      </c>
      <c r="B66" s="35">
        <v>11</v>
      </c>
      <c r="C66" s="5" t="str">
        <f>_xlfn.XLOOKUP(tblDataRequirement[[#This Row],[id_subdomain]],tblDomain[Id_subdomain],tblDomain[domain_sub_domain])</f>
        <v>Workforce:Income</v>
      </c>
      <c r="D66" s="5" t="s">
        <v>180</v>
      </c>
      <c r="E66" s="36" t="str">
        <f>tblDataRequirement[[#This Row],[domain_sub_domain]]&amp;":"&amp;tblDataRequirement[[#This Row],[data_requirement]]</f>
        <v>Workforce:Income:Pay</v>
      </c>
      <c r="F66" s="36" t="str">
        <f>_xlfn.XLOOKUP(tblDataRequirement[[#This Row],[id_subdomain]],tblDomain[Id_subdomain],tblDomain[domain])</f>
        <v>Workforce</v>
      </c>
      <c r="G66" s="36" t="str">
        <f>_xlfn.XLOOKUP(tblDataRequirement[[#This Row],[id_subdomain]],tblDomain[Id_subdomain],tblDomain[sub_domain])</f>
        <v>Income</v>
      </c>
      <c r="H66" s="36" t="str">
        <f>tblDataRequirement[[#This Row],[data_requirement]]</f>
        <v>Pay</v>
      </c>
      <c r="I66" s="36">
        <f>_xlfn.XLOOKUP(tblDataRequirement[[#This Row],[id_subdomain]],tblDomain[Id_subdomain],tblDomain[sequence_no])</f>
        <v>4.3</v>
      </c>
      <c r="J66" s="36">
        <v>1</v>
      </c>
      <c r="K66" s="36" t="str">
        <f>tblDataRequirement[[#This Row],[domain_seq]]&amp;"."&amp;TEXT(tblDataRequirement[[#This Row],[req_seq]],"00")</f>
        <v>4.3.01</v>
      </c>
      <c r="L66" s="36" t="s">
        <v>109</v>
      </c>
      <c r="M66" s="5"/>
      <c r="N66" s="35"/>
      <c r="O66" s="35"/>
      <c r="P66" s="35"/>
      <c r="Q66" s="35"/>
      <c r="R66" s="1" t="s">
        <v>103</v>
      </c>
      <c r="S66" s="12">
        <f>COUNTIF(requirement_measure_map!$C$3:$C$1514,data_requirement!A66)</f>
        <v>4</v>
      </c>
      <c r="T66" s="5"/>
      <c r="U66" s="49">
        <f t="shared" si="1"/>
        <v>1</v>
      </c>
    </row>
    <row r="67" spans="1:21" x14ac:dyDescent="0.15">
      <c r="A67" s="35">
        <v>17</v>
      </c>
      <c r="B67" s="35">
        <v>13</v>
      </c>
      <c r="C67" s="5" t="str">
        <f>_xlfn.XLOOKUP(tblDataRequirement[[#This Row],[id_subdomain]],tblDomain[Id_subdomain],tblDomain[domain_sub_domain])</f>
        <v>Workforce:Demographics</v>
      </c>
      <c r="D67" s="5" t="s">
        <v>164</v>
      </c>
      <c r="E67" s="36" t="str">
        <f>tblDataRequirement[[#This Row],[domain_sub_domain]]&amp;":"&amp;tblDataRequirement[[#This Row],[data_requirement]]</f>
        <v>Workforce:Demographics:Age</v>
      </c>
      <c r="F67" s="36" t="str">
        <f>_xlfn.XLOOKUP(tblDataRequirement[[#This Row],[id_subdomain]],tblDomain[Id_subdomain],tblDomain[domain])</f>
        <v>Workforce</v>
      </c>
      <c r="G67" s="36" t="str">
        <f>_xlfn.XLOOKUP(tblDataRequirement[[#This Row],[id_subdomain]],tblDomain[Id_subdomain],tblDomain[sub_domain])</f>
        <v>Demographics</v>
      </c>
      <c r="H67" s="36" t="str">
        <f>tblDataRequirement[[#This Row],[data_requirement]]</f>
        <v>Age</v>
      </c>
      <c r="I67" s="36">
        <f>_xlfn.XLOOKUP(tblDataRequirement[[#This Row],[id_subdomain]],tblDomain[Id_subdomain],tblDomain[sequence_no])</f>
        <v>4.4000000000000004</v>
      </c>
      <c r="J67" s="36">
        <v>1</v>
      </c>
      <c r="K67" s="36" t="str">
        <f>tblDataRequirement[[#This Row],[domain_seq]]&amp;"."&amp;TEXT(tblDataRequirement[[#This Row],[req_seq]],"00")</f>
        <v>4.4.01</v>
      </c>
      <c r="L67" s="36" t="s">
        <v>101</v>
      </c>
      <c r="M67" s="5"/>
      <c r="N67" s="35"/>
      <c r="O67" s="35"/>
      <c r="P67" s="35"/>
      <c r="Q67" s="35" t="s">
        <v>102</v>
      </c>
      <c r="R67" s="1" t="s">
        <v>103</v>
      </c>
      <c r="S67" s="12">
        <f>COUNTIF(requirement_measure_map!$C$3:$C$1514,data_requirement!A67)</f>
        <v>5</v>
      </c>
      <c r="T67" s="5"/>
      <c r="U67" s="49">
        <f t="shared" ref="U67:U102" si="2">COUNTIF($A$3:$A$102,A67)</f>
        <v>1</v>
      </c>
    </row>
    <row r="68" spans="1:21" x14ac:dyDescent="0.15">
      <c r="A68" s="35">
        <v>65</v>
      </c>
      <c r="B68" s="35">
        <v>13</v>
      </c>
      <c r="C68" s="5" t="str">
        <f>_xlfn.XLOOKUP(tblDataRequirement[[#This Row],[id_subdomain]],tblDomain[Id_subdomain],tblDomain[domain_sub_domain])</f>
        <v>Workforce:Demographics</v>
      </c>
      <c r="D68" s="5" t="s">
        <v>165</v>
      </c>
      <c r="E68" s="36" t="str">
        <f>tblDataRequirement[[#This Row],[domain_sub_domain]]&amp;":"&amp;tblDataRequirement[[#This Row],[data_requirement]]</f>
        <v>Workforce:Demographics:Gender</v>
      </c>
      <c r="F68" s="36" t="str">
        <f>_xlfn.XLOOKUP(tblDataRequirement[[#This Row],[id_subdomain]],tblDomain[Id_subdomain],tblDomain[domain])</f>
        <v>Workforce</v>
      </c>
      <c r="G68" s="36" t="str">
        <f>_xlfn.XLOOKUP(tblDataRequirement[[#This Row],[id_subdomain]],tblDomain[Id_subdomain],tblDomain[sub_domain])</f>
        <v>Demographics</v>
      </c>
      <c r="H68" s="36" t="str">
        <f>tblDataRequirement[[#This Row],[data_requirement]]</f>
        <v>Gender</v>
      </c>
      <c r="I68" s="36">
        <f>_xlfn.XLOOKUP(tblDataRequirement[[#This Row],[id_subdomain]],tblDomain[Id_subdomain],tblDomain[sequence_no])</f>
        <v>4.4000000000000004</v>
      </c>
      <c r="J68" s="36">
        <v>2</v>
      </c>
      <c r="K68" s="36" t="str">
        <f>tblDataRequirement[[#This Row],[domain_seq]]&amp;"."&amp;TEXT(tblDataRequirement[[#This Row],[req_seq]],"00")</f>
        <v>4.4.02</v>
      </c>
      <c r="L68" s="36" t="s">
        <v>101</v>
      </c>
      <c r="M68" s="5"/>
      <c r="N68" s="35"/>
      <c r="O68" s="35"/>
      <c r="P68" s="35"/>
      <c r="Q68" s="35"/>
      <c r="R68" s="1" t="s">
        <v>103</v>
      </c>
      <c r="S68" s="12">
        <f>COUNTIF(requirement_measure_map!$C$3:$C$1514,data_requirement!A68)</f>
        <v>4</v>
      </c>
      <c r="T68" s="5"/>
      <c r="U68" s="49">
        <f t="shared" si="2"/>
        <v>1</v>
      </c>
    </row>
    <row r="69" spans="1:21" x14ac:dyDescent="0.15">
      <c r="A69" s="35">
        <v>97</v>
      </c>
      <c r="B69" s="35">
        <v>13</v>
      </c>
      <c r="C69" s="5" t="str">
        <f>_xlfn.XLOOKUP(tblDataRequirement[[#This Row],[id_subdomain]],tblDomain[Id_subdomain],tblDomain[domain_sub_domain])</f>
        <v>Workforce:Demographics</v>
      </c>
      <c r="D69" s="5" t="s">
        <v>166</v>
      </c>
      <c r="E69" s="36" t="str">
        <f>tblDataRequirement[[#This Row],[domain_sub_domain]]&amp;":"&amp;tblDataRequirement[[#This Row],[data_requirement]]</f>
        <v>Workforce:Demographics:Ethnicity</v>
      </c>
      <c r="F69" s="36" t="str">
        <f>_xlfn.XLOOKUP(tblDataRequirement[[#This Row],[id_subdomain]],tblDomain[Id_subdomain],tblDomain[domain])</f>
        <v>Workforce</v>
      </c>
      <c r="G69" s="36" t="str">
        <f>_xlfn.XLOOKUP(tblDataRequirement[[#This Row],[id_subdomain]],tblDomain[Id_subdomain],tblDomain[sub_domain])</f>
        <v>Demographics</v>
      </c>
      <c r="H69" s="36" t="str">
        <f>tblDataRequirement[[#This Row],[data_requirement]]</f>
        <v>Ethnicity</v>
      </c>
      <c r="I69" s="36">
        <f>_xlfn.XLOOKUP(tblDataRequirement[[#This Row],[id_subdomain]],tblDomain[Id_subdomain],tblDomain[sequence_no])</f>
        <v>4.4000000000000004</v>
      </c>
      <c r="J69" s="36">
        <v>3</v>
      </c>
      <c r="K69" s="36" t="str">
        <f>tblDataRequirement[[#This Row],[domain_seq]]&amp;"."&amp;TEXT(tblDataRequirement[[#This Row],[req_seq]],"00")</f>
        <v>4.4.03</v>
      </c>
      <c r="L69" s="36" t="s">
        <v>101</v>
      </c>
      <c r="M69" s="5"/>
      <c r="N69" s="35"/>
      <c r="O69" s="35"/>
      <c r="P69" s="35"/>
      <c r="Q69" s="35"/>
      <c r="R69" s="1" t="s">
        <v>103</v>
      </c>
      <c r="S69" s="12">
        <f>COUNTIF(requirement_measure_map!$C$3:$C$1514,data_requirement!A69)</f>
        <v>3</v>
      </c>
      <c r="T69" s="5"/>
      <c r="U69" s="48">
        <f t="shared" si="2"/>
        <v>1</v>
      </c>
    </row>
    <row r="70" spans="1:21" x14ac:dyDescent="0.15">
      <c r="A70" s="35">
        <v>98</v>
      </c>
      <c r="B70" s="35">
        <v>13</v>
      </c>
      <c r="C70" s="5" t="str">
        <f>_xlfn.XLOOKUP(tblDataRequirement[[#This Row],[id_subdomain]],tblDomain[Id_subdomain],tblDomain[domain_sub_domain])</f>
        <v>Workforce:Demographics</v>
      </c>
      <c r="D70" s="5" t="s">
        <v>175</v>
      </c>
      <c r="E70" s="36" t="str">
        <f>tblDataRequirement[[#This Row],[domain_sub_domain]]&amp;":"&amp;tblDataRequirement[[#This Row],[data_requirement]]</f>
        <v>Workforce:Demographics:Disability</v>
      </c>
      <c r="F70" s="36" t="str">
        <f>_xlfn.XLOOKUP(tblDataRequirement[[#This Row],[id_subdomain]],tblDomain[Id_subdomain],tblDomain[domain])</f>
        <v>Workforce</v>
      </c>
      <c r="G70" s="36" t="str">
        <f>_xlfn.XLOOKUP(tblDataRequirement[[#This Row],[id_subdomain]],tblDomain[Id_subdomain],tblDomain[sub_domain])</f>
        <v>Demographics</v>
      </c>
      <c r="H70" s="36" t="str">
        <f>tblDataRequirement[[#This Row],[data_requirement]]</f>
        <v>Disability</v>
      </c>
      <c r="I70" s="36">
        <f>_xlfn.XLOOKUP(tblDataRequirement[[#This Row],[id_subdomain]],tblDomain[Id_subdomain],tblDomain[sequence_no])</f>
        <v>4.4000000000000004</v>
      </c>
      <c r="J70" s="36">
        <v>4</v>
      </c>
      <c r="K70" s="36" t="str">
        <f>tblDataRequirement[[#This Row],[domain_seq]]&amp;"."&amp;TEXT(tblDataRequirement[[#This Row],[req_seq]],"00")</f>
        <v>4.4.04</v>
      </c>
      <c r="L70" s="36" t="s">
        <v>101</v>
      </c>
      <c r="M70" s="5"/>
      <c r="N70" s="35"/>
      <c r="O70" s="35"/>
      <c r="P70" s="35"/>
      <c r="Q70" s="35"/>
      <c r="R70" s="1" t="s">
        <v>103</v>
      </c>
      <c r="S70" s="12">
        <f>COUNTIF(requirement_measure_map!$C$3:$C$1514,data_requirement!A70)</f>
        <v>1</v>
      </c>
      <c r="T70" s="5"/>
      <c r="U70" s="48">
        <f t="shared" si="2"/>
        <v>1</v>
      </c>
    </row>
    <row r="71" spans="1:21" x14ac:dyDescent="0.15">
      <c r="A71" s="35">
        <v>99</v>
      </c>
      <c r="B71" s="35">
        <v>13</v>
      </c>
      <c r="C71" s="5" t="str">
        <f>_xlfn.XLOOKUP(tblDataRequirement[[#This Row],[id_subdomain]],tblDomain[Id_subdomain],tblDomain[domain_sub_domain])</f>
        <v>Workforce:Demographics</v>
      </c>
      <c r="D71" s="5" t="s">
        <v>176</v>
      </c>
      <c r="E71" s="36" t="str">
        <f>tblDataRequirement[[#This Row],[domain_sub_domain]]&amp;":"&amp;tblDataRequirement[[#This Row],[data_requirement]]</f>
        <v>Workforce:Demographics:Nationality/Birth/Migration</v>
      </c>
      <c r="F71" s="36" t="str">
        <f>_xlfn.XLOOKUP(tblDataRequirement[[#This Row],[id_subdomain]],tblDomain[Id_subdomain],tblDomain[domain])</f>
        <v>Workforce</v>
      </c>
      <c r="G71" s="36" t="str">
        <f>_xlfn.XLOOKUP(tblDataRequirement[[#This Row],[id_subdomain]],tblDomain[Id_subdomain],tblDomain[sub_domain])</f>
        <v>Demographics</v>
      </c>
      <c r="H71" s="36" t="str">
        <f>tblDataRequirement[[#This Row],[data_requirement]]</f>
        <v>Nationality/Birth/Migration</v>
      </c>
      <c r="I71" s="36">
        <f>_xlfn.XLOOKUP(tblDataRequirement[[#This Row],[id_subdomain]],tblDomain[Id_subdomain],tblDomain[sequence_no])</f>
        <v>4.4000000000000004</v>
      </c>
      <c r="J71" s="36">
        <v>5</v>
      </c>
      <c r="K71" s="36" t="str">
        <f>tblDataRequirement[[#This Row],[domain_seq]]&amp;"."&amp;TEXT(tblDataRequirement[[#This Row],[req_seq]],"00")</f>
        <v>4.4.05</v>
      </c>
      <c r="L71" s="36" t="s">
        <v>101</v>
      </c>
      <c r="M71" s="5"/>
      <c r="N71" s="35"/>
      <c r="O71" s="35"/>
      <c r="P71" s="35"/>
      <c r="Q71" s="35"/>
      <c r="R71" s="1" t="s">
        <v>103</v>
      </c>
      <c r="S71" s="12">
        <f>COUNTIF(requirement_measure_map!$C$3:$C$1514,data_requirement!A71)</f>
        <v>5</v>
      </c>
      <c r="T71" s="5"/>
      <c r="U71" s="48">
        <f t="shared" si="2"/>
        <v>1</v>
      </c>
    </row>
    <row r="72" spans="1:21" x14ac:dyDescent="0.15">
      <c r="A72" s="35">
        <v>19</v>
      </c>
      <c r="B72" s="35">
        <v>14</v>
      </c>
      <c r="C72" s="5" t="str">
        <f>_xlfn.XLOOKUP(tblDataRequirement[[#This Row],[id_subdomain]],tblDomain[Id_subdomain],tblDomain[domain_sub_domain])</f>
        <v>Unpaid Carers:Workforce</v>
      </c>
      <c r="D72" s="5" t="s">
        <v>68</v>
      </c>
      <c r="E72" s="36" t="str">
        <f>tblDataRequirement[[#This Row],[domain_sub_domain]]&amp;":"&amp;tblDataRequirement[[#This Row],[data_requirement]]</f>
        <v>Unpaid Carers:Workforce:Workforce</v>
      </c>
      <c r="F72" s="36" t="str">
        <f>_xlfn.XLOOKUP(tblDataRequirement[[#This Row],[id_subdomain]],tblDomain[Id_subdomain],tblDomain[domain])</f>
        <v>Unpaid Carers</v>
      </c>
      <c r="G72" s="36" t="str">
        <f>_xlfn.XLOOKUP(tblDataRequirement[[#This Row],[id_subdomain]],tblDomain[Id_subdomain],tblDomain[sub_domain])</f>
        <v>Workforce</v>
      </c>
      <c r="H72" s="36" t="str">
        <f>tblDataRequirement[[#This Row],[data_requirement]]</f>
        <v>Workforce</v>
      </c>
      <c r="I72" s="36">
        <f>_xlfn.XLOOKUP(tblDataRequirement[[#This Row],[id_subdomain]],tblDomain[Id_subdomain],tblDomain[sequence_no])</f>
        <v>5.0999999999999996</v>
      </c>
      <c r="J72" s="36">
        <v>1</v>
      </c>
      <c r="K72" s="36" t="str">
        <f>tblDataRequirement[[#This Row],[domain_seq]]&amp;"."&amp;TEXT(tblDataRequirement[[#This Row],[req_seq]],"00")</f>
        <v>5.1.01</v>
      </c>
      <c r="L72" s="36" t="s">
        <v>101</v>
      </c>
      <c r="N72" s="3"/>
      <c r="O72" s="3"/>
      <c r="P72" s="3"/>
      <c r="Q72" s="3" t="s">
        <v>102</v>
      </c>
      <c r="R72" s="1" t="s">
        <v>103</v>
      </c>
      <c r="S72" s="12">
        <f>COUNTIF(requirement_measure_map!$C$3:$C$1514,data_requirement!A72)</f>
        <v>34</v>
      </c>
      <c r="T72" s="5"/>
      <c r="U72" s="49">
        <f t="shared" si="2"/>
        <v>1</v>
      </c>
    </row>
    <row r="73" spans="1:21" x14ac:dyDescent="0.15">
      <c r="A73" s="35">
        <v>81</v>
      </c>
      <c r="B73" s="35">
        <v>15</v>
      </c>
      <c r="C73" s="5" t="str">
        <f>_xlfn.XLOOKUP(tblDataRequirement[[#This Row],[id_subdomain]],tblDomain[Id_subdomain],tblDomain[domain_sub_domain])</f>
        <v>Unpaid Carers:Demographics</v>
      </c>
      <c r="D73" s="5" t="s">
        <v>164</v>
      </c>
      <c r="E73" s="36" t="str">
        <f>tblDataRequirement[[#This Row],[domain_sub_domain]]&amp;":"&amp;tblDataRequirement[[#This Row],[data_requirement]]</f>
        <v>Unpaid Carers:Demographics:Age</v>
      </c>
      <c r="F73" s="36" t="str">
        <f>_xlfn.XLOOKUP(tblDataRequirement[[#This Row],[id_subdomain]],tblDomain[Id_subdomain],tblDomain[domain])</f>
        <v>Unpaid Carers</v>
      </c>
      <c r="G73" s="36" t="str">
        <f>_xlfn.XLOOKUP(tblDataRequirement[[#This Row],[id_subdomain]],tblDomain[Id_subdomain],tblDomain[sub_domain])</f>
        <v>Demographics</v>
      </c>
      <c r="H73" s="36" t="str">
        <f>tblDataRequirement[[#This Row],[data_requirement]]</f>
        <v>Age</v>
      </c>
      <c r="I73" s="36">
        <f>_xlfn.XLOOKUP(tblDataRequirement[[#This Row],[id_subdomain]],tblDomain[Id_subdomain],tblDomain[sequence_no])</f>
        <v>5.2</v>
      </c>
      <c r="J73" s="36">
        <v>1</v>
      </c>
      <c r="K73" s="36" t="str">
        <f>tblDataRequirement[[#This Row],[domain_seq]]&amp;"."&amp;TEXT(tblDataRequirement[[#This Row],[req_seq]],"00")</f>
        <v>5.2.01</v>
      </c>
      <c r="L73" s="36" t="s">
        <v>101</v>
      </c>
      <c r="M73" s="3"/>
      <c r="N73" s="3"/>
      <c r="O73" s="3"/>
      <c r="P73" s="3"/>
      <c r="Q73" s="3"/>
      <c r="R73" s="1" t="s">
        <v>103</v>
      </c>
      <c r="S73" s="12">
        <f>COUNTIF(requirement_measure_map!$C$3:$C$1514,data_requirement!A73)</f>
        <v>18</v>
      </c>
      <c r="T73" s="5"/>
      <c r="U73" s="48">
        <f t="shared" si="2"/>
        <v>1</v>
      </c>
    </row>
    <row r="74" spans="1:21" x14ac:dyDescent="0.15">
      <c r="A74" s="35">
        <v>82</v>
      </c>
      <c r="B74" s="35">
        <v>15</v>
      </c>
      <c r="C74" s="5" t="str">
        <f>_xlfn.XLOOKUP(tblDataRequirement[[#This Row],[id_subdomain]],tblDomain[Id_subdomain],tblDomain[domain_sub_domain])</f>
        <v>Unpaid Carers:Demographics</v>
      </c>
      <c r="D74" s="5" t="s">
        <v>165</v>
      </c>
      <c r="E74" s="36" t="str">
        <f>tblDataRequirement[[#This Row],[domain_sub_domain]]&amp;":"&amp;tblDataRequirement[[#This Row],[data_requirement]]</f>
        <v>Unpaid Carers:Demographics:Gender</v>
      </c>
      <c r="F74" s="36" t="str">
        <f>_xlfn.XLOOKUP(tblDataRequirement[[#This Row],[id_subdomain]],tblDomain[Id_subdomain],tblDomain[domain])</f>
        <v>Unpaid Carers</v>
      </c>
      <c r="G74" s="36" t="str">
        <f>_xlfn.XLOOKUP(tblDataRequirement[[#This Row],[id_subdomain]],tblDomain[Id_subdomain],tblDomain[sub_domain])</f>
        <v>Demographics</v>
      </c>
      <c r="H74" s="36" t="str">
        <f>tblDataRequirement[[#This Row],[data_requirement]]</f>
        <v>Gender</v>
      </c>
      <c r="I74" s="36">
        <f>_xlfn.XLOOKUP(tblDataRequirement[[#This Row],[id_subdomain]],tblDomain[Id_subdomain],tblDomain[sequence_no])</f>
        <v>5.2</v>
      </c>
      <c r="J74" s="36">
        <v>2</v>
      </c>
      <c r="K74" s="36" t="str">
        <f>tblDataRequirement[[#This Row],[domain_seq]]&amp;"."&amp;TEXT(tblDataRequirement[[#This Row],[req_seq]],"00")</f>
        <v>5.2.02</v>
      </c>
      <c r="L74" s="36" t="s">
        <v>101</v>
      </c>
      <c r="M74" s="3"/>
      <c r="N74" s="3"/>
      <c r="O74" s="3"/>
      <c r="P74" s="3"/>
      <c r="Q74" s="3"/>
      <c r="R74" s="1" t="s">
        <v>103</v>
      </c>
      <c r="S74" s="12">
        <f>COUNTIF(requirement_measure_map!$C$3:$C$1514,data_requirement!A74)</f>
        <v>18</v>
      </c>
      <c r="T74" s="5"/>
      <c r="U74" s="48">
        <f t="shared" si="2"/>
        <v>1</v>
      </c>
    </row>
    <row r="75" spans="1:21" x14ac:dyDescent="0.15">
      <c r="A75" s="35">
        <v>83</v>
      </c>
      <c r="B75" s="35">
        <v>15</v>
      </c>
      <c r="C75" s="5" t="str">
        <f>_xlfn.XLOOKUP(tblDataRequirement[[#This Row],[id_subdomain]],tblDomain[Id_subdomain],tblDomain[domain_sub_domain])</f>
        <v>Unpaid Carers:Demographics</v>
      </c>
      <c r="D75" s="5" t="s">
        <v>166</v>
      </c>
      <c r="E75" s="36" t="str">
        <f>tblDataRequirement[[#This Row],[domain_sub_domain]]&amp;":"&amp;tblDataRequirement[[#This Row],[data_requirement]]</f>
        <v>Unpaid Carers:Demographics:Ethnicity</v>
      </c>
      <c r="F75" s="36" t="str">
        <f>_xlfn.XLOOKUP(tblDataRequirement[[#This Row],[id_subdomain]],tblDomain[Id_subdomain],tblDomain[domain])</f>
        <v>Unpaid Carers</v>
      </c>
      <c r="G75" s="36" t="str">
        <f>_xlfn.XLOOKUP(tblDataRequirement[[#This Row],[id_subdomain]],tblDomain[Id_subdomain],tblDomain[sub_domain])</f>
        <v>Demographics</v>
      </c>
      <c r="H75" s="36" t="str">
        <f>tblDataRequirement[[#This Row],[data_requirement]]</f>
        <v>Ethnicity</v>
      </c>
      <c r="I75" s="36">
        <f>_xlfn.XLOOKUP(tblDataRequirement[[#This Row],[id_subdomain]],tblDomain[Id_subdomain],tblDomain[sequence_no])</f>
        <v>5.2</v>
      </c>
      <c r="J75" s="36">
        <v>3</v>
      </c>
      <c r="K75" s="36" t="str">
        <f>tblDataRequirement[[#This Row],[domain_seq]]&amp;"."&amp;TEXT(tblDataRequirement[[#This Row],[req_seq]],"00")</f>
        <v>5.2.03</v>
      </c>
      <c r="L75" s="36" t="s">
        <v>101</v>
      </c>
      <c r="M75" s="3"/>
      <c r="N75" s="3"/>
      <c r="O75" s="3"/>
      <c r="P75" s="3"/>
      <c r="Q75" s="3"/>
      <c r="R75" s="1" t="s">
        <v>103</v>
      </c>
      <c r="S75" s="12">
        <f>COUNTIF(requirement_measure_map!$C$3:$C$1514,data_requirement!A75)</f>
        <v>1</v>
      </c>
      <c r="T75" s="5"/>
      <c r="U75" s="48">
        <f t="shared" si="2"/>
        <v>1</v>
      </c>
    </row>
    <row r="76" spans="1:21" x14ac:dyDescent="0.15">
      <c r="A76" s="35">
        <v>93</v>
      </c>
      <c r="B76" s="35">
        <v>15</v>
      </c>
      <c r="C76" s="5" t="str">
        <f>_xlfn.XLOOKUP(tblDataRequirement[[#This Row],[id_subdomain]],tblDomain[Id_subdomain],tblDomain[domain_sub_domain])</f>
        <v>Unpaid Carers:Demographics</v>
      </c>
      <c r="D76" s="5" t="s">
        <v>167</v>
      </c>
      <c r="E76" s="36" t="str">
        <f>tblDataRequirement[[#This Row],[domain_sub_domain]]&amp;":"&amp;tblDataRequirement[[#This Row],[data_requirement]]</f>
        <v>Unpaid Carers:Demographics:Sexual Orientation</v>
      </c>
      <c r="F76" s="36" t="str">
        <f>_xlfn.XLOOKUP(tblDataRequirement[[#This Row],[id_subdomain]],tblDomain[Id_subdomain],tblDomain[domain])</f>
        <v>Unpaid Carers</v>
      </c>
      <c r="G76" s="36" t="str">
        <f>_xlfn.XLOOKUP(tblDataRequirement[[#This Row],[id_subdomain]],tblDomain[Id_subdomain],tblDomain[sub_domain])</f>
        <v>Demographics</v>
      </c>
      <c r="H76" s="36" t="str">
        <f>tblDataRequirement[[#This Row],[data_requirement]]</f>
        <v>Sexual Orientation</v>
      </c>
      <c r="I76" s="36">
        <f>_xlfn.XLOOKUP(tblDataRequirement[[#This Row],[id_subdomain]],tblDomain[Id_subdomain],tblDomain[sequence_no])</f>
        <v>5.2</v>
      </c>
      <c r="J76" s="36">
        <v>4</v>
      </c>
      <c r="K76" s="36" t="str">
        <f>tblDataRequirement[[#This Row],[domain_seq]]&amp;"."&amp;TEXT(tblDataRequirement[[#This Row],[req_seq]],"00")</f>
        <v>5.2.04</v>
      </c>
      <c r="L76" s="36" t="s">
        <v>101</v>
      </c>
      <c r="M76" s="3"/>
      <c r="N76" s="3"/>
      <c r="O76" s="3"/>
      <c r="P76" s="3"/>
      <c r="Q76" s="3"/>
      <c r="R76" s="1" t="s">
        <v>103</v>
      </c>
      <c r="S76" s="12">
        <f>COUNTIF(requirement_measure_map!$C$3:$C$1514,data_requirement!A76)</f>
        <v>1</v>
      </c>
      <c r="T76" s="5"/>
      <c r="U76" s="48">
        <f t="shared" si="2"/>
        <v>1</v>
      </c>
    </row>
    <row r="77" spans="1:21" x14ac:dyDescent="0.15">
      <c r="A77" s="35">
        <v>92</v>
      </c>
      <c r="B77" s="35">
        <v>15</v>
      </c>
      <c r="C77" s="5" t="str">
        <f>_xlfn.XLOOKUP(tblDataRequirement[[#This Row],[id_subdomain]],tblDomain[Id_subdomain],tblDomain[domain_sub_domain])</f>
        <v>Unpaid Carers:Demographics</v>
      </c>
      <c r="D77" s="5" t="s">
        <v>168</v>
      </c>
      <c r="E77" s="36" t="str">
        <f>tblDataRequirement[[#This Row],[domain_sub_domain]]&amp;":"&amp;tblDataRequirement[[#This Row],[data_requirement]]</f>
        <v>Unpaid Carers:Demographics:Religion</v>
      </c>
      <c r="F77" s="36" t="str">
        <f>_xlfn.XLOOKUP(tblDataRequirement[[#This Row],[id_subdomain]],tblDomain[Id_subdomain],tblDomain[domain])</f>
        <v>Unpaid Carers</v>
      </c>
      <c r="G77" s="36" t="str">
        <f>_xlfn.XLOOKUP(tblDataRequirement[[#This Row],[id_subdomain]],tblDomain[Id_subdomain],tblDomain[sub_domain])</f>
        <v>Demographics</v>
      </c>
      <c r="H77" s="36" t="str">
        <f>tblDataRequirement[[#This Row],[data_requirement]]</f>
        <v>Religion</v>
      </c>
      <c r="I77" s="36">
        <f>_xlfn.XLOOKUP(tblDataRequirement[[#This Row],[id_subdomain]],tblDomain[Id_subdomain],tblDomain[sequence_no])</f>
        <v>5.2</v>
      </c>
      <c r="J77" s="36">
        <v>5</v>
      </c>
      <c r="K77" s="36" t="str">
        <f>tblDataRequirement[[#This Row],[domain_seq]]&amp;"."&amp;TEXT(tblDataRequirement[[#This Row],[req_seq]],"00")</f>
        <v>5.2.05</v>
      </c>
      <c r="L77" s="36" t="s">
        <v>101</v>
      </c>
      <c r="M77" s="3"/>
      <c r="N77" s="3"/>
      <c r="O77" s="3"/>
      <c r="P77" s="3"/>
      <c r="Q77" s="3"/>
      <c r="R77" s="1" t="s">
        <v>103</v>
      </c>
      <c r="S77" s="12">
        <f>COUNTIF(requirement_measure_map!$C$3:$C$1514,data_requirement!A77)</f>
        <v>1</v>
      </c>
      <c r="T77" s="5"/>
      <c r="U77" s="48">
        <f t="shared" si="2"/>
        <v>1</v>
      </c>
    </row>
    <row r="78" spans="1:21" x14ac:dyDescent="0.15">
      <c r="A78" s="35">
        <v>106</v>
      </c>
      <c r="B78" s="35">
        <v>15</v>
      </c>
      <c r="C78" s="5" t="str">
        <f>_xlfn.XLOOKUP(tblDataRequirement[[#This Row],[id_subdomain]],tblDomain[Id_subdomain],tblDomain[domain_sub_domain])</f>
        <v>Unpaid Carers:Demographics</v>
      </c>
      <c r="D78" s="5" t="s">
        <v>169</v>
      </c>
      <c r="E78" s="5" t="str">
        <f>tblDataRequirement[[#This Row],[domain_sub_domain]]&amp;":"&amp;tblDataRequirement[[#This Row],[data_requirement]]</f>
        <v>Unpaid Carers:Demographics:Socioeconomic status / employment / income</v>
      </c>
      <c r="F78" s="5" t="str">
        <f>_xlfn.XLOOKUP(tblDataRequirement[[#This Row],[id_subdomain]],tblDomain[Id_subdomain],tblDomain[domain])</f>
        <v>Unpaid Carers</v>
      </c>
      <c r="G78" s="5" t="str">
        <f>_xlfn.XLOOKUP(tblDataRequirement[[#This Row],[id_subdomain]],tblDomain[Id_subdomain],tblDomain[sub_domain])</f>
        <v>Demographics</v>
      </c>
      <c r="H78" s="5" t="str">
        <f>tblDataRequirement[[#This Row],[data_requirement]]</f>
        <v>Socioeconomic status / employment / income</v>
      </c>
      <c r="I78" s="5">
        <f>_xlfn.XLOOKUP(tblDataRequirement[[#This Row],[id_subdomain]],tblDomain[Id_subdomain],tblDomain[sequence_no])</f>
        <v>5.2</v>
      </c>
      <c r="J78" s="5">
        <v>6</v>
      </c>
      <c r="K78" s="5" t="str">
        <f>tblDataRequirement[[#This Row],[domain_seq]]&amp;"."&amp;TEXT(tblDataRequirement[[#This Row],[req_seq]],"00")</f>
        <v>5.2.06</v>
      </c>
      <c r="L78" s="5" t="s">
        <v>123</v>
      </c>
      <c r="M78" s="3"/>
      <c r="N78" s="3"/>
      <c r="O78" s="3"/>
      <c r="P78" s="3"/>
      <c r="Q78" s="3"/>
      <c r="R78" s="1" t="s">
        <v>103</v>
      </c>
      <c r="S78" s="12">
        <f>COUNTIF(requirement_measure_map!$C$3:$C$1514,data_requirement!A78)</f>
        <v>2</v>
      </c>
      <c r="T78" s="5"/>
      <c r="U78" s="49">
        <f t="shared" si="2"/>
        <v>1</v>
      </c>
    </row>
    <row r="79" spans="1:21" x14ac:dyDescent="0.15">
      <c r="A79" s="35">
        <v>85</v>
      </c>
      <c r="B79" s="35">
        <v>16</v>
      </c>
      <c r="C79" s="5" t="str">
        <f>_xlfn.XLOOKUP(tblDataRequirement[[#This Row],[id_subdomain]],tblDomain[Id_subdomain],tblDomain[domain_sub_domain])</f>
        <v>Unpaid Carers:Experience</v>
      </c>
      <c r="D79" s="5" t="s">
        <v>72</v>
      </c>
      <c r="E79" s="36" t="str">
        <f>tblDataRequirement[[#This Row],[domain_sub_domain]]&amp;":"&amp;tblDataRequirement[[#This Row],[data_requirement]]</f>
        <v>Unpaid Carers:Experience:Experience</v>
      </c>
      <c r="F79" s="36" t="str">
        <f>_xlfn.XLOOKUP(tblDataRequirement[[#This Row],[id_subdomain]],tblDomain[Id_subdomain],tblDomain[domain])</f>
        <v>Unpaid Carers</v>
      </c>
      <c r="G79" s="36" t="str">
        <f>_xlfn.XLOOKUP(tblDataRequirement[[#This Row],[id_subdomain]],tblDomain[Id_subdomain],tblDomain[sub_domain])</f>
        <v>Experience</v>
      </c>
      <c r="H79" s="36" t="str">
        <f>tblDataRequirement[[#This Row],[data_requirement]]</f>
        <v>Experience</v>
      </c>
      <c r="I79" s="36">
        <f>_xlfn.XLOOKUP(tblDataRequirement[[#This Row],[id_subdomain]],tblDomain[Id_subdomain],tblDomain[sequence_no])</f>
        <v>5.3</v>
      </c>
      <c r="J79" s="36">
        <v>1</v>
      </c>
      <c r="K79" s="36" t="str">
        <f>tblDataRequirement[[#This Row],[domain_seq]]&amp;"."&amp;TEXT(tblDataRequirement[[#This Row],[req_seq]],"00")</f>
        <v>5.3.01</v>
      </c>
      <c r="L79" s="36" t="s">
        <v>123</v>
      </c>
      <c r="M79" s="3"/>
      <c r="N79" s="3"/>
      <c r="O79" s="3"/>
      <c r="P79" s="3"/>
      <c r="Q79" s="3"/>
      <c r="R79" s="1" t="s">
        <v>103</v>
      </c>
      <c r="S79" s="12">
        <f>COUNTIF(requirement_measure_map!$C$3:$C$1514,data_requirement!A79)</f>
        <v>3</v>
      </c>
      <c r="T79" s="5"/>
      <c r="U79" s="48">
        <f t="shared" si="2"/>
        <v>1</v>
      </c>
    </row>
    <row r="80" spans="1:21" x14ac:dyDescent="0.15">
      <c r="A80" s="35">
        <v>86</v>
      </c>
      <c r="B80" s="35">
        <v>16</v>
      </c>
      <c r="C80" s="5" t="str">
        <f>_xlfn.XLOOKUP(tblDataRequirement[[#This Row],[id_subdomain]],tblDomain[Id_subdomain],tblDomain[domain_sub_domain])</f>
        <v>Unpaid Carers:Experience</v>
      </c>
      <c r="D80" s="5" t="s">
        <v>177</v>
      </c>
      <c r="E80" s="36" t="str">
        <f>tblDataRequirement[[#This Row],[domain_sub_domain]]&amp;":"&amp;tblDataRequirement[[#This Row],[data_requirement]]</f>
        <v>Unpaid Carers:Experience:Workload</v>
      </c>
      <c r="F80" s="36" t="str">
        <f>_xlfn.XLOOKUP(tblDataRequirement[[#This Row],[id_subdomain]],tblDomain[Id_subdomain],tblDomain[domain])</f>
        <v>Unpaid Carers</v>
      </c>
      <c r="G80" s="36" t="str">
        <f>_xlfn.XLOOKUP(tblDataRequirement[[#This Row],[id_subdomain]],tblDomain[Id_subdomain],tblDomain[sub_domain])</f>
        <v>Experience</v>
      </c>
      <c r="H80" s="36" t="str">
        <f>tblDataRequirement[[#This Row],[data_requirement]]</f>
        <v>Workload</v>
      </c>
      <c r="I80" s="36">
        <f>_xlfn.XLOOKUP(tblDataRequirement[[#This Row],[id_subdomain]],tblDomain[Id_subdomain],tblDomain[sequence_no])</f>
        <v>5.3</v>
      </c>
      <c r="J80" s="36">
        <v>2</v>
      </c>
      <c r="K80" s="36" t="str">
        <f>tblDataRequirement[[#This Row],[domain_seq]]&amp;"."&amp;TEXT(tblDataRequirement[[#This Row],[req_seq]],"00")</f>
        <v>5.3.02</v>
      </c>
      <c r="L80" s="36" t="s">
        <v>116</v>
      </c>
      <c r="M80" s="3"/>
      <c r="N80" s="3"/>
      <c r="O80" s="3"/>
      <c r="P80" s="3"/>
      <c r="Q80" s="3"/>
      <c r="R80" s="1" t="s">
        <v>103</v>
      </c>
      <c r="S80" s="12">
        <f>COUNTIF(requirement_measure_map!$C$3:$C$1514,data_requirement!A80)</f>
        <v>4</v>
      </c>
      <c r="T80" s="5"/>
      <c r="U80" s="48">
        <f t="shared" si="2"/>
        <v>1</v>
      </c>
    </row>
    <row r="81" spans="1:21" x14ac:dyDescent="0.15">
      <c r="A81" s="35">
        <v>89</v>
      </c>
      <c r="B81" s="35">
        <v>17</v>
      </c>
      <c r="C81" s="5" t="str">
        <f>_xlfn.XLOOKUP(tblDataRequirement[[#This Row],[id_subdomain]],tblDomain[Id_subdomain],tblDomain[domain_sub_domain])</f>
        <v>Unpaid Carers:Health</v>
      </c>
      <c r="D81" s="5" t="s">
        <v>73</v>
      </c>
      <c r="E81" s="36" t="str">
        <f>tblDataRequirement[[#This Row],[domain_sub_domain]]&amp;":"&amp;tblDataRequirement[[#This Row],[data_requirement]]</f>
        <v>Unpaid Carers:Health:Health</v>
      </c>
      <c r="F81" s="36" t="str">
        <f>_xlfn.XLOOKUP(tblDataRequirement[[#This Row],[id_subdomain]],tblDomain[Id_subdomain],tblDomain[domain])</f>
        <v>Unpaid Carers</v>
      </c>
      <c r="G81" s="36" t="str">
        <f>_xlfn.XLOOKUP(tblDataRequirement[[#This Row],[id_subdomain]],tblDomain[Id_subdomain],tblDomain[sub_domain])</f>
        <v>Health</v>
      </c>
      <c r="H81" s="36" t="str">
        <f>tblDataRequirement[[#This Row],[data_requirement]]</f>
        <v>Health</v>
      </c>
      <c r="I81" s="36">
        <f>_xlfn.XLOOKUP(tblDataRequirement[[#This Row],[id_subdomain]],tblDomain[Id_subdomain],tblDomain[sequence_no])</f>
        <v>5.4</v>
      </c>
      <c r="J81" s="36">
        <v>1</v>
      </c>
      <c r="K81" s="36" t="str">
        <f>tblDataRequirement[[#This Row],[domain_seq]]&amp;"."&amp;TEXT(tblDataRequirement[[#This Row],[req_seq]],"00")</f>
        <v>5.4.01</v>
      </c>
      <c r="L81" s="36" t="s">
        <v>123</v>
      </c>
      <c r="M81" s="3"/>
      <c r="N81" s="3"/>
      <c r="O81" s="3"/>
      <c r="P81" s="3"/>
      <c r="Q81" s="3"/>
      <c r="R81" s="1" t="s">
        <v>103</v>
      </c>
      <c r="S81" s="12">
        <f>COUNTIF(requirement_measure_map!$C$3:$C$1514,data_requirement!A81)</f>
        <v>2</v>
      </c>
      <c r="T81" s="5"/>
      <c r="U81" s="48">
        <f t="shared" si="2"/>
        <v>1</v>
      </c>
    </row>
    <row r="82" spans="1:21" x14ac:dyDescent="0.15">
      <c r="A82" s="35">
        <v>90</v>
      </c>
      <c r="B82" s="35">
        <v>18</v>
      </c>
      <c r="C82" s="5" t="str">
        <f>_xlfn.XLOOKUP(tblDataRequirement[[#This Row],[id_subdomain]],tblDomain[Id_subdomain],tblDomain[domain_sub_domain])</f>
        <v>Unpaid Carers:Income</v>
      </c>
      <c r="D82" s="5" t="s">
        <v>172</v>
      </c>
      <c r="E82" s="36" t="str">
        <f>tblDataRequirement[[#This Row],[domain_sub_domain]]&amp;":"&amp;tblDataRequirement[[#This Row],[data_requirement]]</f>
        <v>Unpaid Carers:Income:Direct payments</v>
      </c>
      <c r="F82" s="36" t="str">
        <f>_xlfn.XLOOKUP(tblDataRequirement[[#This Row],[id_subdomain]],tblDomain[Id_subdomain],tblDomain[domain])</f>
        <v>Unpaid Carers</v>
      </c>
      <c r="G82" s="36" t="str">
        <f>_xlfn.XLOOKUP(tblDataRequirement[[#This Row],[id_subdomain]],tblDomain[Id_subdomain],tblDomain[sub_domain])</f>
        <v>Income</v>
      </c>
      <c r="H82" s="36" t="str">
        <f>tblDataRequirement[[#This Row],[data_requirement]]</f>
        <v>Direct payments</v>
      </c>
      <c r="I82" s="36">
        <f>_xlfn.XLOOKUP(tblDataRequirement[[#This Row],[id_subdomain]],tblDomain[Id_subdomain],tblDomain[sequence_no])</f>
        <v>5.5</v>
      </c>
      <c r="J82" s="36">
        <v>1</v>
      </c>
      <c r="K82" s="36" t="str">
        <f>tblDataRequirement[[#This Row],[domain_seq]]&amp;"."&amp;TEXT(tblDataRequirement[[#This Row],[req_seq]],"00")</f>
        <v>5.5.01</v>
      </c>
      <c r="L82" s="36" t="s">
        <v>101</v>
      </c>
      <c r="M82" s="3"/>
      <c r="N82" s="3"/>
      <c r="O82" s="3"/>
      <c r="P82" s="3"/>
      <c r="Q82" s="3"/>
      <c r="R82" s="1" t="s">
        <v>103</v>
      </c>
      <c r="S82" s="12">
        <f>COUNTIF(requirement_measure_map!$C$3:$C$1514,data_requirement!A82)</f>
        <v>7</v>
      </c>
      <c r="T82" s="5"/>
      <c r="U82" s="48">
        <f t="shared" si="2"/>
        <v>1</v>
      </c>
    </row>
    <row r="83" spans="1:21" x14ac:dyDescent="0.15">
      <c r="A83" s="35">
        <v>94</v>
      </c>
      <c r="B83" s="35">
        <v>18</v>
      </c>
      <c r="C83" s="5" t="str">
        <f>_xlfn.XLOOKUP(tblDataRequirement[[#This Row],[id_subdomain]],tblDomain[Id_subdomain],tblDomain[domain_sub_domain])</f>
        <v>Unpaid Carers:Income</v>
      </c>
      <c r="D83" s="5" t="s">
        <v>171</v>
      </c>
      <c r="E83" s="36" t="str">
        <f>tblDataRequirement[[#This Row],[domain_sub_domain]]&amp;":"&amp;tblDataRequirement[[#This Row],[data_requirement]]</f>
        <v>Unpaid Carers:Income:State support / benefits</v>
      </c>
      <c r="F83" s="36" t="str">
        <f>_xlfn.XLOOKUP(tblDataRequirement[[#This Row],[id_subdomain]],tblDomain[Id_subdomain],tblDomain[domain])</f>
        <v>Unpaid Carers</v>
      </c>
      <c r="G83" s="36" t="str">
        <f>_xlfn.XLOOKUP(tblDataRequirement[[#This Row],[id_subdomain]],tblDomain[Id_subdomain],tblDomain[sub_domain])</f>
        <v>Income</v>
      </c>
      <c r="H83" s="36" t="str">
        <f>tblDataRequirement[[#This Row],[data_requirement]]</f>
        <v>State support / benefits</v>
      </c>
      <c r="I83" s="36">
        <f>_xlfn.XLOOKUP(tblDataRequirement[[#This Row],[id_subdomain]],tblDomain[Id_subdomain],tblDomain[sequence_no])</f>
        <v>5.5</v>
      </c>
      <c r="J83" s="36">
        <v>2</v>
      </c>
      <c r="K83" s="36" t="str">
        <f>tblDataRequirement[[#This Row],[domain_seq]]&amp;"."&amp;TEXT(tblDataRequirement[[#This Row],[req_seq]],"00")</f>
        <v>5.5.02</v>
      </c>
      <c r="L83" s="36" t="s">
        <v>101</v>
      </c>
      <c r="M83" s="3"/>
      <c r="N83" s="3"/>
      <c r="O83" s="3"/>
      <c r="P83" s="3"/>
      <c r="Q83" s="3"/>
      <c r="R83" s="1" t="s">
        <v>103</v>
      </c>
      <c r="S83" s="12">
        <f>COUNTIF(requirement_measure_map!$C$3:$C$1514,data_requirement!A83)</f>
        <v>8</v>
      </c>
      <c r="T83" s="5"/>
      <c r="U83" s="48">
        <f t="shared" si="2"/>
        <v>1</v>
      </c>
    </row>
    <row r="84" spans="1:21" x14ac:dyDescent="0.15">
      <c r="A84" s="35">
        <v>87</v>
      </c>
      <c r="B84" s="35">
        <v>19</v>
      </c>
      <c r="C84" s="5" t="str">
        <f>_xlfn.XLOOKUP(tblDataRequirement[[#This Row],[id_subdomain]],tblDomain[Id_subdomain],tblDomain[domain_sub_domain])</f>
        <v>Unpaid Carers:Quality of life</v>
      </c>
      <c r="D84" s="5" t="s">
        <v>173</v>
      </c>
      <c r="E84" s="36" t="str">
        <f>tblDataRequirement[[#This Row],[domain_sub_domain]]&amp;":"&amp;tblDataRequirement[[#This Row],[data_requirement]]</f>
        <v>Unpaid Carers:Quality of life:Well-being</v>
      </c>
      <c r="F84" s="36" t="str">
        <f>_xlfn.XLOOKUP(tblDataRequirement[[#This Row],[id_subdomain]],tblDomain[Id_subdomain],tblDomain[domain])</f>
        <v>Unpaid Carers</v>
      </c>
      <c r="G84" s="36" t="str">
        <f>_xlfn.XLOOKUP(tblDataRequirement[[#This Row],[id_subdomain]],tblDomain[Id_subdomain],tblDomain[sub_domain])</f>
        <v>Quality of life</v>
      </c>
      <c r="H84" s="36" t="str">
        <f>tblDataRequirement[[#This Row],[data_requirement]]</f>
        <v>Well-being</v>
      </c>
      <c r="I84" s="36">
        <f>_xlfn.XLOOKUP(tblDataRequirement[[#This Row],[id_subdomain]],tblDomain[Id_subdomain],tblDomain[sequence_no])</f>
        <v>5.6</v>
      </c>
      <c r="J84" s="36">
        <v>1</v>
      </c>
      <c r="K84" s="36" t="str">
        <f>tblDataRequirement[[#This Row],[domain_seq]]&amp;"."&amp;TEXT(tblDataRequirement[[#This Row],[req_seq]],"00")</f>
        <v>5.6.01</v>
      </c>
      <c r="L84" s="36" t="s">
        <v>123</v>
      </c>
      <c r="M84" s="3"/>
      <c r="N84" s="3"/>
      <c r="O84" s="3"/>
      <c r="P84" s="3"/>
      <c r="Q84" s="3"/>
      <c r="R84" s="1" t="s">
        <v>103</v>
      </c>
      <c r="S84" s="12">
        <f>COUNTIF(requirement_measure_map!$C$3:$C$1514,data_requirement!A84)</f>
        <v>4</v>
      </c>
      <c r="T84" s="5"/>
      <c r="U84" s="48">
        <f t="shared" si="2"/>
        <v>1</v>
      </c>
    </row>
    <row r="85" spans="1:21" x14ac:dyDescent="0.15">
      <c r="A85" s="35">
        <v>88</v>
      </c>
      <c r="B85" s="35">
        <v>19</v>
      </c>
      <c r="C85" s="5" t="str">
        <f>_xlfn.XLOOKUP(tblDataRequirement[[#This Row],[id_subdomain]],tblDomain[Id_subdomain],tblDomain[domain_sub_domain])</f>
        <v>Unpaid Carers:Quality of life</v>
      </c>
      <c r="D85" s="5" t="s">
        <v>183</v>
      </c>
      <c r="E85" s="36" t="str">
        <f>tblDataRequirement[[#This Row],[domain_sub_domain]]&amp;":"&amp;tblDataRequirement[[#This Row],[data_requirement]]</f>
        <v>Unpaid Carers:Quality of life:Employment/Income</v>
      </c>
      <c r="F85" s="36" t="str">
        <f>_xlfn.XLOOKUP(tblDataRequirement[[#This Row],[id_subdomain]],tblDomain[Id_subdomain],tblDomain[domain])</f>
        <v>Unpaid Carers</v>
      </c>
      <c r="G85" s="36" t="str">
        <f>_xlfn.XLOOKUP(tblDataRequirement[[#This Row],[id_subdomain]],tblDomain[Id_subdomain],tblDomain[sub_domain])</f>
        <v>Quality of life</v>
      </c>
      <c r="H85" s="36" t="str">
        <f>tblDataRequirement[[#This Row],[data_requirement]]</f>
        <v>Employment/Income</v>
      </c>
      <c r="I85" s="36">
        <f>_xlfn.XLOOKUP(tblDataRequirement[[#This Row],[id_subdomain]],tblDomain[Id_subdomain],tblDomain[sequence_no])</f>
        <v>5.6</v>
      </c>
      <c r="J85" s="36">
        <v>2</v>
      </c>
      <c r="K85" s="36" t="str">
        <f>tblDataRequirement[[#This Row],[domain_seq]]&amp;"."&amp;TEXT(tblDataRequirement[[#This Row],[req_seq]],"00")</f>
        <v>5.6.02</v>
      </c>
      <c r="L85" s="36" t="s">
        <v>123</v>
      </c>
      <c r="M85" s="3"/>
      <c r="N85" s="3"/>
      <c r="O85" s="3"/>
      <c r="P85" s="3"/>
      <c r="Q85" s="3"/>
      <c r="R85" s="1" t="s">
        <v>103</v>
      </c>
      <c r="S85" s="12">
        <f>COUNTIF(requirement_measure_map!$C$3:$C$1514,data_requirement!A85)</f>
        <v>5</v>
      </c>
      <c r="T85" s="5"/>
      <c r="U85" s="48">
        <f t="shared" si="2"/>
        <v>1</v>
      </c>
    </row>
    <row r="86" spans="1:21" x14ac:dyDescent="0.15">
      <c r="A86" s="35">
        <v>63</v>
      </c>
      <c r="B86" s="35">
        <v>34</v>
      </c>
      <c r="C86" s="5" t="str">
        <f>_xlfn.XLOOKUP(tblDataRequirement[[#This Row],[id_subdomain]],tblDomain[Id_subdomain],tblDomain[domain_sub_domain])</f>
        <v>Users:Context</v>
      </c>
      <c r="D86" s="5" t="s">
        <v>162</v>
      </c>
      <c r="E86" s="36" t="str">
        <f>tblDataRequirement[[#This Row],[domain_sub_domain]]&amp;":"&amp;tblDataRequirement[[#This Row],[data_requirement]]</f>
        <v>Users:Context:Family/Household structure</v>
      </c>
      <c r="F86" s="36" t="str">
        <f>_xlfn.XLOOKUP(tblDataRequirement[[#This Row],[id_subdomain]],tblDomain[Id_subdomain],tblDomain[domain])</f>
        <v>Users</v>
      </c>
      <c r="G86" s="36" t="str">
        <f>_xlfn.XLOOKUP(tblDataRequirement[[#This Row],[id_subdomain]],tblDomain[Id_subdomain],tblDomain[sub_domain])</f>
        <v>Context</v>
      </c>
      <c r="H86" s="36" t="str">
        <f>tblDataRequirement[[#This Row],[data_requirement]]</f>
        <v>Family/Household structure</v>
      </c>
      <c r="I86" s="36">
        <f>_xlfn.XLOOKUP(tblDataRequirement[[#This Row],[id_subdomain]],tblDomain[Id_subdomain],tblDomain[sequence_no])</f>
        <v>6.1</v>
      </c>
      <c r="J86" s="36">
        <v>1</v>
      </c>
      <c r="K86" s="36" t="str">
        <f>tblDataRequirement[[#This Row],[domain_seq]]&amp;"."&amp;TEXT(tblDataRequirement[[#This Row],[req_seq]],"00")</f>
        <v>6.1.01</v>
      </c>
      <c r="L86" s="36" t="s">
        <v>116</v>
      </c>
      <c r="M86" s="5"/>
      <c r="N86" s="35"/>
      <c r="O86" s="35"/>
      <c r="P86" s="35"/>
      <c r="Q86" s="35"/>
      <c r="R86" s="1" t="s">
        <v>103</v>
      </c>
      <c r="S86" s="12">
        <f>COUNTIF(requirement_measure_map!$C$3:$C$1514,data_requirement!A86)</f>
        <v>9</v>
      </c>
      <c r="T86" s="5"/>
      <c r="U86" s="49">
        <f t="shared" si="2"/>
        <v>1</v>
      </c>
    </row>
    <row r="87" spans="1:21" x14ac:dyDescent="0.15">
      <c r="A87" s="35">
        <v>75</v>
      </c>
      <c r="B87" s="35">
        <v>34</v>
      </c>
      <c r="C87" s="5" t="str">
        <f>_xlfn.XLOOKUP(tblDataRequirement[[#This Row],[id_subdomain]],tblDomain[Id_subdomain],tblDomain[domain_sub_domain])</f>
        <v>Users:Context</v>
      </c>
      <c r="D87" s="5" t="s">
        <v>163</v>
      </c>
      <c r="E87" s="36" t="str">
        <f>tblDataRequirement[[#This Row],[domain_sub_domain]]&amp;":"&amp;tblDataRequirement[[#This Row],[data_requirement]]</f>
        <v>Users:Context:Accommodation type</v>
      </c>
      <c r="F87" s="36" t="str">
        <f>_xlfn.XLOOKUP(tblDataRequirement[[#This Row],[id_subdomain]],tblDomain[Id_subdomain],tblDomain[domain])</f>
        <v>Users</v>
      </c>
      <c r="G87" s="36" t="str">
        <f>_xlfn.XLOOKUP(tblDataRequirement[[#This Row],[id_subdomain]],tblDomain[Id_subdomain],tblDomain[sub_domain])</f>
        <v>Context</v>
      </c>
      <c r="H87" s="36" t="str">
        <f>tblDataRequirement[[#This Row],[data_requirement]]</f>
        <v>Accommodation type</v>
      </c>
      <c r="I87" s="36">
        <f>_xlfn.XLOOKUP(tblDataRequirement[[#This Row],[id_subdomain]],tblDomain[Id_subdomain],tblDomain[sequence_no])</f>
        <v>6.1</v>
      </c>
      <c r="J87" s="36">
        <v>2</v>
      </c>
      <c r="K87" s="36" t="str">
        <f>tblDataRequirement[[#This Row],[domain_seq]]&amp;"."&amp;TEXT(tblDataRequirement[[#This Row],[req_seq]],"00")</f>
        <v>6.1.02</v>
      </c>
      <c r="L87" s="36" t="s">
        <v>116</v>
      </c>
      <c r="M87" s="5"/>
      <c r="N87" s="35"/>
      <c r="O87" s="35"/>
      <c r="P87" s="35"/>
      <c r="Q87" s="35"/>
      <c r="R87" s="1" t="s">
        <v>103</v>
      </c>
      <c r="S87" s="12">
        <f>COUNTIF(requirement_measure_map!$C$3:$C$1514,data_requirement!A87)</f>
        <v>3</v>
      </c>
      <c r="T87" s="5"/>
      <c r="U87" s="49">
        <f t="shared" si="2"/>
        <v>1</v>
      </c>
    </row>
    <row r="88" spans="1:21" x14ac:dyDescent="0.15">
      <c r="A88" s="35">
        <v>51</v>
      </c>
      <c r="B88" s="35">
        <v>27</v>
      </c>
      <c r="C88" s="5" t="str">
        <f>_xlfn.XLOOKUP(tblDataRequirement[[#This Row],[id_subdomain]],tblDomain[Id_subdomain],tblDomain[domain_sub_domain])</f>
        <v>Users:Demographics</v>
      </c>
      <c r="D88" s="5" t="s">
        <v>164</v>
      </c>
      <c r="E88" s="5" t="str">
        <f>tblDataRequirement[[#This Row],[domain_sub_domain]]&amp;":"&amp;tblDataRequirement[[#This Row],[data_requirement]]</f>
        <v>Users:Demographics:Age</v>
      </c>
      <c r="F88" s="5" t="str">
        <f>_xlfn.XLOOKUP(tblDataRequirement[[#This Row],[id_subdomain]],tblDomain[Id_subdomain],tblDomain[domain])</f>
        <v>Users</v>
      </c>
      <c r="G88" s="5" t="str">
        <f>_xlfn.XLOOKUP(tblDataRequirement[[#This Row],[id_subdomain]],tblDomain[Id_subdomain],tblDomain[sub_domain])</f>
        <v>Demographics</v>
      </c>
      <c r="H88" s="5" t="str">
        <f>tblDataRequirement[[#This Row],[data_requirement]]</f>
        <v>Age</v>
      </c>
      <c r="I88" s="5">
        <f>_xlfn.XLOOKUP(tblDataRequirement[[#This Row],[id_subdomain]],tblDomain[Id_subdomain],tblDomain[sequence_no])</f>
        <v>6.2</v>
      </c>
      <c r="J88" s="5">
        <v>1</v>
      </c>
      <c r="K88" s="5" t="str">
        <f>tblDataRequirement[[#This Row],[domain_seq]]&amp;"."&amp;TEXT(tblDataRequirement[[#This Row],[req_seq]],"00")</f>
        <v>6.2.01</v>
      </c>
      <c r="L88" s="5" t="s">
        <v>116</v>
      </c>
      <c r="M88" s="5"/>
      <c r="N88" s="35"/>
      <c r="O88" s="35"/>
      <c r="P88" s="35" t="s">
        <v>102</v>
      </c>
      <c r="Q88" s="35"/>
      <c r="R88" s="1" t="s">
        <v>103</v>
      </c>
      <c r="S88" s="12">
        <f>COUNTIF(requirement_measure_map!$C$3:$C$1514,data_requirement!A88)</f>
        <v>130</v>
      </c>
      <c r="T88" s="5"/>
      <c r="U88" s="49">
        <f t="shared" si="2"/>
        <v>1</v>
      </c>
    </row>
    <row r="89" spans="1:21" x14ac:dyDescent="0.15">
      <c r="A89" s="35">
        <v>61</v>
      </c>
      <c r="B89" s="35">
        <v>31</v>
      </c>
      <c r="C89" s="5" t="str">
        <f>_xlfn.XLOOKUP(tblDataRequirement[[#This Row],[id_subdomain]],tblDomain[Id_subdomain],tblDomain[domain_sub_domain])</f>
        <v>Users:Care need</v>
      </c>
      <c r="D89" s="5" t="s">
        <v>160</v>
      </c>
      <c r="E89" s="36" t="str">
        <f>tblDataRequirement[[#This Row],[domain_sub_domain]]&amp;":"&amp;tblDataRequirement[[#This Row],[data_requirement]]</f>
        <v>Users:Care need:Disability/Dependence</v>
      </c>
      <c r="F89" s="36" t="str">
        <f>_xlfn.XLOOKUP(tblDataRequirement[[#This Row],[id_subdomain]],tblDomain[Id_subdomain],tblDomain[domain])</f>
        <v>Users</v>
      </c>
      <c r="G89" s="36" t="str">
        <f>_xlfn.XLOOKUP(tblDataRequirement[[#This Row],[id_subdomain]],tblDomain[Id_subdomain],tblDomain[sub_domain])</f>
        <v>Care need</v>
      </c>
      <c r="H89" s="36" t="str">
        <f>tblDataRequirement[[#This Row],[data_requirement]]</f>
        <v>Disability/Dependence</v>
      </c>
      <c r="I89" s="36">
        <f>_xlfn.XLOOKUP(tblDataRequirement[[#This Row],[id_subdomain]],tblDomain[Id_subdomain],tblDomain[sequence_no])</f>
        <v>6.2</v>
      </c>
      <c r="J89" s="36">
        <v>1</v>
      </c>
      <c r="K89" s="36" t="str">
        <f>tblDataRequirement[[#This Row],[domain_seq]]&amp;"."&amp;TEXT(tblDataRequirement[[#This Row],[req_seq]],"00")</f>
        <v>6.2.01</v>
      </c>
      <c r="L89" s="36" t="s">
        <v>116</v>
      </c>
      <c r="M89" s="5"/>
      <c r="N89" s="35"/>
      <c r="O89" s="35"/>
      <c r="P89" s="35"/>
      <c r="Q89" s="35"/>
      <c r="R89" s="1" t="s">
        <v>103</v>
      </c>
      <c r="S89" s="12">
        <f>COUNTIF(requirement_measure_map!$C$3:$C$1514,data_requirement!A89)</f>
        <v>57</v>
      </c>
      <c r="T89" s="5"/>
      <c r="U89" s="49">
        <f t="shared" si="2"/>
        <v>1</v>
      </c>
    </row>
    <row r="90" spans="1:21" x14ac:dyDescent="0.15">
      <c r="A90" s="35">
        <v>62</v>
      </c>
      <c r="B90" s="35">
        <v>27</v>
      </c>
      <c r="C90" s="5" t="str">
        <f>_xlfn.XLOOKUP(tblDataRequirement[[#This Row],[id_subdomain]],tblDomain[Id_subdomain],tblDomain[domain_sub_domain])</f>
        <v>Users:Demographics</v>
      </c>
      <c r="D90" s="5" t="s">
        <v>165</v>
      </c>
      <c r="E90" s="36" t="str">
        <f>tblDataRequirement[[#This Row],[domain_sub_domain]]&amp;":"&amp;tblDataRequirement[[#This Row],[data_requirement]]</f>
        <v>Users:Demographics:Gender</v>
      </c>
      <c r="F90" s="36" t="str">
        <f>_xlfn.XLOOKUP(tblDataRequirement[[#This Row],[id_subdomain]],tblDomain[Id_subdomain],tblDomain[domain])</f>
        <v>Users</v>
      </c>
      <c r="G90" s="36" t="str">
        <f>_xlfn.XLOOKUP(tblDataRequirement[[#This Row],[id_subdomain]],tblDomain[Id_subdomain],tblDomain[sub_domain])</f>
        <v>Demographics</v>
      </c>
      <c r="H90" s="36" t="str">
        <f>tblDataRequirement[[#This Row],[data_requirement]]</f>
        <v>Gender</v>
      </c>
      <c r="I90" s="36">
        <f>_xlfn.XLOOKUP(tblDataRequirement[[#This Row],[id_subdomain]],tblDomain[Id_subdomain],tblDomain[sequence_no])</f>
        <v>6.2</v>
      </c>
      <c r="J90" s="36">
        <v>2</v>
      </c>
      <c r="K90" s="36" t="str">
        <f>tblDataRequirement[[#This Row],[domain_seq]]&amp;"."&amp;TEXT(tblDataRequirement[[#This Row],[req_seq]],"00")</f>
        <v>6.2.02</v>
      </c>
      <c r="L90" s="36" t="s">
        <v>116</v>
      </c>
      <c r="M90" s="5"/>
      <c r="N90" s="35"/>
      <c r="O90" s="35"/>
      <c r="P90" s="35"/>
      <c r="Q90" s="35"/>
      <c r="R90" s="1" t="s">
        <v>103</v>
      </c>
      <c r="S90" s="12">
        <f>COUNTIF(requirement_measure_map!$C$3:$C$1514,data_requirement!A90)</f>
        <v>50</v>
      </c>
      <c r="T90" s="5"/>
      <c r="U90" s="49">
        <f t="shared" si="2"/>
        <v>1</v>
      </c>
    </row>
    <row r="91" spans="1:21" x14ac:dyDescent="0.15">
      <c r="A91" s="35">
        <v>56</v>
      </c>
      <c r="B91" s="35">
        <v>31</v>
      </c>
      <c r="C91" s="5" t="str">
        <f>_xlfn.XLOOKUP(tblDataRequirement[[#This Row],[id_subdomain]],tblDomain[Id_subdomain],tblDomain[domain_sub_domain])</f>
        <v>Users:Care need</v>
      </c>
      <c r="D91" s="5" t="s">
        <v>161</v>
      </c>
      <c r="E91" s="36" t="str">
        <f>tblDataRequirement[[#This Row],[domain_sub_domain]]&amp;":"&amp;tblDataRequirement[[#This Row],[data_requirement]]</f>
        <v>Users:Care need:Support reason</v>
      </c>
      <c r="F91" s="36" t="str">
        <f>_xlfn.XLOOKUP(tblDataRequirement[[#This Row],[id_subdomain]],tblDomain[Id_subdomain],tblDomain[domain])</f>
        <v>Users</v>
      </c>
      <c r="G91" s="36" t="str">
        <f>_xlfn.XLOOKUP(tblDataRequirement[[#This Row],[id_subdomain]],tblDomain[Id_subdomain],tblDomain[sub_domain])</f>
        <v>Care need</v>
      </c>
      <c r="H91" s="36" t="str">
        <f>tblDataRequirement[[#This Row],[data_requirement]]</f>
        <v>Support reason</v>
      </c>
      <c r="I91" s="36">
        <f>_xlfn.XLOOKUP(tblDataRequirement[[#This Row],[id_subdomain]],tblDomain[Id_subdomain],tblDomain[sequence_no])</f>
        <v>6.2</v>
      </c>
      <c r="J91" s="36">
        <v>2</v>
      </c>
      <c r="K91" s="36" t="str">
        <f>tblDataRequirement[[#This Row],[domain_seq]]&amp;"."&amp;TEXT(tblDataRequirement[[#This Row],[req_seq]],"00")</f>
        <v>6.2.02</v>
      </c>
      <c r="L91" s="36" t="s">
        <v>116</v>
      </c>
      <c r="M91" s="5"/>
      <c r="N91" s="35"/>
      <c r="O91" s="35"/>
      <c r="P91" s="35" t="s">
        <v>102</v>
      </c>
      <c r="Q91" s="35"/>
      <c r="R91" s="1" t="s">
        <v>103</v>
      </c>
      <c r="S91" s="12">
        <f>COUNTIF(requirement_measure_map!$C$3:$C$1514,data_requirement!A91)</f>
        <v>72</v>
      </c>
      <c r="T91" s="5"/>
      <c r="U91" s="49">
        <f t="shared" si="2"/>
        <v>1</v>
      </c>
    </row>
    <row r="92" spans="1:21" x14ac:dyDescent="0.15">
      <c r="A92" s="35">
        <v>73</v>
      </c>
      <c r="B92" s="35">
        <v>27</v>
      </c>
      <c r="C92" s="5" t="str">
        <f>_xlfn.XLOOKUP(tblDataRequirement[[#This Row],[id_subdomain]],tblDomain[Id_subdomain],tblDomain[domain_sub_domain])</f>
        <v>Users:Demographics</v>
      </c>
      <c r="D92" s="5" t="s">
        <v>166</v>
      </c>
      <c r="E92" s="36" t="str">
        <f>tblDataRequirement[[#This Row],[domain_sub_domain]]&amp;":"&amp;tblDataRequirement[[#This Row],[data_requirement]]</f>
        <v>Users:Demographics:Ethnicity</v>
      </c>
      <c r="F92" s="36" t="str">
        <f>_xlfn.XLOOKUP(tblDataRequirement[[#This Row],[id_subdomain]],tblDomain[Id_subdomain],tblDomain[domain])</f>
        <v>Users</v>
      </c>
      <c r="G92" s="36" t="str">
        <f>_xlfn.XLOOKUP(tblDataRequirement[[#This Row],[id_subdomain]],tblDomain[Id_subdomain],tblDomain[sub_domain])</f>
        <v>Demographics</v>
      </c>
      <c r="H92" s="36" t="str">
        <f>tblDataRequirement[[#This Row],[data_requirement]]</f>
        <v>Ethnicity</v>
      </c>
      <c r="I92" s="36">
        <f>_xlfn.XLOOKUP(tblDataRequirement[[#This Row],[id_subdomain]],tblDomain[Id_subdomain],tblDomain[sequence_no])</f>
        <v>6.2</v>
      </c>
      <c r="J92" s="36">
        <v>3</v>
      </c>
      <c r="K92" s="36" t="str">
        <f>tblDataRequirement[[#This Row],[domain_seq]]&amp;"."&amp;TEXT(tblDataRequirement[[#This Row],[req_seq]],"00")</f>
        <v>6.2.03</v>
      </c>
      <c r="L92" s="36" t="s">
        <v>116</v>
      </c>
      <c r="M92" s="5"/>
      <c r="N92" s="35"/>
      <c r="O92" s="35"/>
      <c r="P92" s="35"/>
      <c r="Q92" s="35"/>
      <c r="R92" s="1" t="s">
        <v>103</v>
      </c>
      <c r="S92" s="12">
        <f>COUNTIF(requirement_measure_map!$C$3:$C$1514,data_requirement!A92)</f>
        <v>8</v>
      </c>
      <c r="T92" s="5"/>
      <c r="U92" s="49">
        <f t="shared" si="2"/>
        <v>1</v>
      </c>
    </row>
    <row r="93" spans="1:21" x14ac:dyDescent="0.15">
      <c r="A93" s="35">
        <v>76</v>
      </c>
      <c r="B93" s="35">
        <v>27</v>
      </c>
      <c r="C93" s="5" t="str">
        <f>_xlfn.XLOOKUP(tblDataRequirement[[#This Row],[id_subdomain]],tblDomain[Id_subdomain],tblDomain[domain_sub_domain])</f>
        <v>Users:Demographics</v>
      </c>
      <c r="D93" s="5" t="s">
        <v>167</v>
      </c>
      <c r="E93" s="36" t="str">
        <f>tblDataRequirement[[#This Row],[domain_sub_domain]]&amp;":"&amp;tblDataRequirement[[#This Row],[data_requirement]]</f>
        <v>Users:Demographics:Sexual Orientation</v>
      </c>
      <c r="F93" s="36" t="str">
        <f>_xlfn.XLOOKUP(tblDataRequirement[[#This Row],[id_subdomain]],tblDomain[Id_subdomain],tblDomain[domain])</f>
        <v>Users</v>
      </c>
      <c r="G93" s="36" t="str">
        <f>_xlfn.XLOOKUP(tblDataRequirement[[#This Row],[id_subdomain]],tblDomain[Id_subdomain],tblDomain[sub_domain])</f>
        <v>Demographics</v>
      </c>
      <c r="H93" s="36" t="str">
        <f>tblDataRequirement[[#This Row],[data_requirement]]</f>
        <v>Sexual Orientation</v>
      </c>
      <c r="I93" s="36">
        <f>_xlfn.XLOOKUP(tblDataRequirement[[#This Row],[id_subdomain]],tblDomain[Id_subdomain],tblDomain[sequence_no])</f>
        <v>6.2</v>
      </c>
      <c r="J93" s="36">
        <v>4</v>
      </c>
      <c r="K93" s="36" t="str">
        <f>tblDataRequirement[[#This Row],[domain_seq]]&amp;"."&amp;TEXT(tblDataRequirement[[#This Row],[req_seq]],"00")</f>
        <v>6.2.04</v>
      </c>
      <c r="L93" s="36" t="s">
        <v>116</v>
      </c>
      <c r="M93" s="5"/>
      <c r="N93" s="35"/>
      <c r="O93" s="35"/>
      <c r="P93" s="35"/>
      <c r="Q93" s="35"/>
      <c r="R93" s="1" t="s">
        <v>103</v>
      </c>
      <c r="S93" s="12">
        <f>COUNTIF(requirement_measure_map!$C$3:$C$1514,data_requirement!A93)</f>
        <v>2</v>
      </c>
      <c r="T93" s="5"/>
      <c r="U93" s="48">
        <f t="shared" si="2"/>
        <v>1</v>
      </c>
    </row>
    <row r="94" spans="1:21" x14ac:dyDescent="0.15">
      <c r="A94" s="35">
        <v>95</v>
      </c>
      <c r="B94" s="35">
        <v>27</v>
      </c>
      <c r="C94" s="5" t="str">
        <f>_xlfn.XLOOKUP(tblDataRequirement[[#This Row],[id_subdomain]],tblDomain[Id_subdomain],tblDomain[domain_sub_domain])</f>
        <v>Users:Demographics</v>
      </c>
      <c r="D94" s="5" t="s">
        <v>168</v>
      </c>
      <c r="E94" s="36" t="str">
        <f>tblDataRequirement[[#This Row],[domain_sub_domain]]&amp;":"&amp;tblDataRequirement[[#This Row],[data_requirement]]</f>
        <v>Users:Demographics:Religion</v>
      </c>
      <c r="F94" s="36" t="str">
        <f>_xlfn.XLOOKUP(tblDataRequirement[[#This Row],[id_subdomain]],tblDomain[Id_subdomain],tblDomain[domain])</f>
        <v>Users</v>
      </c>
      <c r="G94" s="36" t="str">
        <f>_xlfn.XLOOKUP(tblDataRequirement[[#This Row],[id_subdomain]],tblDomain[Id_subdomain],tblDomain[sub_domain])</f>
        <v>Demographics</v>
      </c>
      <c r="H94" s="36" t="str">
        <f>tblDataRequirement[[#This Row],[data_requirement]]</f>
        <v>Religion</v>
      </c>
      <c r="I94" s="36">
        <f>_xlfn.XLOOKUP(tblDataRequirement[[#This Row],[id_subdomain]],tblDomain[Id_subdomain],tblDomain[sequence_no])</f>
        <v>6.2</v>
      </c>
      <c r="J94" s="36">
        <v>5</v>
      </c>
      <c r="K94" s="36" t="str">
        <f>tblDataRequirement[[#This Row],[domain_seq]]&amp;"."&amp;TEXT(tblDataRequirement[[#This Row],[req_seq]],"00")</f>
        <v>6.2.05</v>
      </c>
      <c r="L94" s="36" t="s">
        <v>116</v>
      </c>
      <c r="M94" s="5"/>
      <c r="N94" s="35"/>
      <c r="O94" s="35"/>
      <c r="P94" s="35"/>
      <c r="Q94" s="35"/>
      <c r="R94" s="1" t="s">
        <v>103</v>
      </c>
      <c r="S94" s="12">
        <f>COUNTIF(requirement_measure_map!$C$3:$C$1514,data_requirement!A94)</f>
        <v>1</v>
      </c>
      <c r="T94" s="5"/>
      <c r="U94" s="48">
        <f t="shared" si="2"/>
        <v>1</v>
      </c>
    </row>
    <row r="95" spans="1:21" x14ac:dyDescent="0.15">
      <c r="A95" s="35">
        <v>105</v>
      </c>
      <c r="B95" s="35">
        <v>27</v>
      </c>
      <c r="C95" s="5" t="str">
        <f>_xlfn.XLOOKUP(tblDataRequirement[[#This Row],[id_subdomain]],tblDomain[Id_subdomain],tblDomain[domain_sub_domain])</f>
        <v>Users:Demographics</v>
      </c>
      <c r="D95" s="5" t="s">
        <v>169</v>
      </c>
      <c r="E95" s="5" t="str">
        <f>tblDataRequirement[[#This Row],[domain_sub_domain]]&amp;":"&amp;tblDataRequirement[[#This Row],[data_requirement]]</f>
        <v>Users:Demographics:Socioeconomic status / employment / income</v>
      </c>
      <c r="F95" s="5" t="str">
        <f>_xlfn.XLOOKUP(tblDataRequirement[[#This Row],[id_subdomain]],tblDomain[Id_subdomain],tblDomain[domain])</f>
        <v>Users</v>
      </c>
      <c r="G95" s="5" t="str">
        <f>_xlfn.XLOOKUP(tblDataRequirement[[#This Row],[id_subdomain]],tblDomain[Id_subdomain],tblDomain[sub_domain])</f>
        <v>Demographics</v>
      </c>
      <c r="H95" s="5" t="str">
        <f>tblDataRequirement[[#This Row],[data_requirement]]</f>
        <v>Socioeconomic status / employment / income</v>
      </c>
      <c r="I95" s="5">
        <f>_xlfn.XLOOKUP(tblDataRequirement[[#This Row],[id_subdomain]],tblDomain[Id_subdomain],tblDomain[sequence_no])</f>
        <v>6.2</v>
      </c>
      <c r="J95" s="5">
        <v>6</v>
      </c>
      <c r="K95" s="5" t="str">
        <f>tblDataRequirement[[#This Row],[domain_seq]]&amp;"."&amp;TEXT(tblDataRequirement[[#This Row],[req_seq]],"00")</f>
        <v>6.2.06</v>
      </c>
      <c r="L95" s="5" t="s">
        <v>123</v>
      </c>
      <c r="N95" s="3"/>
      <c r="O95" s="3"/>
      <c r="P95" s="3"/>
      <c r="Q95" s="3"/>
      <c r="R95" s="1" t="s">
        <v>103</v>
      </c>
      <c r="S95" s="12">
        <f>COUNTIF(requirement_measure_map!$C$3:$C$1514,data_requirement!A95)</f>
        <v>19</v>
      </c>
      <c r="T95" s="5"/>
      <c r="U95" s="49">
        <f t="shared" si="2"/>
        <v>1</v>
      </c>
    </row>
    <row r="96" spans="1:21" x14ac:dyDescent="0.15">
      <c r="A96" s="35">
        <v>64</v>
      </c>
      <c r="B96" s="35">
        <v>33</v>
      </c>
      <c r="C96" s="5" t="str">
        <f>_xlfn.XLOOKUP(tblDataRequirement[[#This Row],[id_subdomain]],tblDomain[Id_subdomain],tblDomain[domain_sub_domain])</f>
        <v>Users:Income</v>
      </c>
      <c r="D96" s="5" t="s">
        <v>171</v>
      </c>
      <c r="E96" s="36" t="str">
        <f>tblDataRequirement[[#This Row],[domain_sub_domain]]&amp;":"&amp;tblDataRequirement[[#This Row],[data_requirement]]</f>
        <v>Users:Income:State support / benefits</v>
      </c>
      <c r="F96" s="36" t="str">
        <f>_xlfn.XLOOKUP(tblDataRequirement[[#This Row],[id_subdomain]],tblDomain[Id_subdomain],tblDomain[domain])</f>
        <v>Users</v>
      </c>
      <c r="G96" s="36" t="str">
        <f>_xlfn.XLOOKUP(tblDataRequirement[[#This Row],[id_subdomain]],tblDomain[Id_subdomain],tblDomain[sub_domain])</f>
        <v>Income</v>
      </c>
      <c r="H96" s="36" t="str">
        <f>tblDataRequirement[[#This Row],[data_requirement]]</f>
        <v>State support / benefits</v>
      </c>
      <c r="I96" s="36">
        <f>_xlfn.XLOOKUP(tblDataRequirement[[#This Row],[id_subdomain]],tblDomain[Id_subdomain],tblDomain[sequence_no])</f>
        <v>6.3</v>
      </c>
      <c r="J96" s="36">
        <v>1</v>
      </c>
      <c r="K96" s="36" t="str">
        <f>tblDataRequirement[[#This Row],[domain_seq]]&amp;"."&amp;TEXT(tblDataRequirement[[#This Row],[req_seq]],"00")</f>
        <v>6.3.01</v>
      </c>
      <c r="L96" s="36" t="s">
        <v>101</v>
      </c>
      <c r="M96" s="5"/>
      <c r="N96" s="35"/>
      <c r="O96" s="35"/>
      <c r="P96" s="35"/>
      <c r="Q96" s="35"/>
      <c r="R96" s="1" t="s">
        <v>103</v>
      </c>
      <c r="S96" s="12">
        <f>COUNTIF(requirement_measure_map!$C$3:$C$1514,data_requirement!A96)</f>
        <v>17</v>
      </c>
      <c r="T96" s="5"/>
      <c r="U96" s="49">
        <f t="shared" si="2"/>
        <v>1</v>
      </c>
    </row>
    <row r="97" spans="1:21" x14ac:dyDescent="0.15">
      <c r="A97" s="35">
        <v>71</v>
      </c>
      <c r="B97" s="35">
        <v>33</v>
      </c>
      <c r="C97" s="5" t="str">
        <f>_xlfn.XLOOKUP(tblDataRequirement[[#This Row],[id_subdomain]],tblDomain[Id_subdomain],tblDomain[domain_sub_domain])</f>
        <v>Users:Income</v>
      </c>
      <c r="D97" s="5" t="s">
        <v>172</v>
      </c>
      <c r="E97" s="36" t="str">
        <f>tblDataRequirement[[#This Row],[domain_sub_domain]]&amp;":"&amp;tblDataRequirement[[#This Row],[data_requirement]]</f>
        <v>Users:Income:Direct payments</v>
      </c>
      <c r="F97" s="36" t="str">
        <f>_xlfn.XLOOKUP(tblDataRequirement[[#This Row],[id_subdomain]],tblDomain[Id_subdomain],tblDomain[domain])</f>
        <v>Users</v>
      </c>
      <c r="G97" s="36" t="str">
        <f>_xlfn.XLOOKUP(tblDataRequirement[[#This Row],[id_subdomain]],tblDomain[Id_subdomain],tblDomain[sub_domain])</f>
        <v>Income</v>
      </c>
      <c r="H97" s="36" t="str">
        <f>tblDataRequirement[[#This Row],[data_requirement]]</f>
        <v>Direct payments</v>
      </c>
      <c r="I97" s="36">
        <f>_xlfn.XLOOKUP(tblDataRequirement[[#This Row],[id_subdomain]],tblDomain[Id_subdomain],tblDomain[sequence_no])</f>
        <v>6.3</v>
      </c>
      <c r="J97" s="36">
        <v>2</v>
      </c>
      <c r="K97" s="36" t="str">
        <f>tblDataRequirement[[#This Row],[domain_seq]]&amp;"."&amp;TEXT(tblDataRequirement[[#This Row],[req_seq]],"00")</f>
        <v>6.3.02</v>
      </c>
      <c r="L97" s="36" t="s">
        <v>101</v>
      </c>
      <c r="M97" s="5"/>
      <c r="N97" s="35"/>
      <c r="O97" s="35"/>
      <c r="P97" s="35"/>
      <c r="Q97" s="35"/>
      <c r="R97" s="1" t="s">
        <v>103</v>
      </c>
      <c r="S97" s="12">
        <f>COUNTIF(requirement_measure_map!$C$3:$C$1514,data_requirement!A97)</f>
        <v>31</v>
      </c>
      <c r="T97" s="5"/>
      <c r="U97" s="49">
        <f t="shared" si="2"/>
        <v>1</v>
      </c>
    </row>
    <row r="98" spans="1:21" x14ac:dyDescent="0.15">
      <c r="A98" s="35">
        <v>5</v>
      </c>
      <c r="B98" s="35">
        <v>32</v>
      </c>
      <c r="C98" s="5" t="str">
        <f>_xlfn.XLOOKUP(tblDataRequirement[[#This Row],[id_subdomain]],tblDomain[Id_subdomain],tblDomain[domain_sub_domain])</f>
        <v>Users:Expenditure</v>
      </c>
      <c r="D98" s="5" t="s">
        <v>170</v>
      </c>
      <c r="E98" s="5" t="str">
        <f>tblDataRequirement[[#This Row],[domain_sub_domain]]&amp;":"&amp;tblDataRequirement[[#This Row],[data_requirement]]</f>
        <v>Users:Expenditure:Self-funders</v>
      </c>
      <c r="F98" s="5" t="str">
        <f>_xlfn.XLOOKUP(tblDataRequirement[[#This Row],[id_subdomain]],tblDomain[Id_subdomain],tblDomain[domain])</f>
        <v>Users</v>
      </c>
      <c r="G98" s="5" t="str">
        <f>_xlfn.XLOOKUP(tblDataRequirement[[#This Row],[id_subdomain]],tblDomain[Id_subdomain],tblDomain[sub_domain])</f>
        <v>Expenditure</v>
      </c>
      <c r="H98" s="5" t="str">
        <f>tblDataRequirement[[#This Row],[data_requirement]]</f>
        <v>Self-funders</v>
      </c>
      <c r="I98" s="5">
        <f>_xlfn.XLOOKUP(tblDataRequirement[[#This Row],[id_subdomain]],tblDomain[Id_subdomain],tblDomain[sequence_no])</f>
        <v>6.4</v>
      </c>
      <c r="J98" s="5">
        <v>1</v>
      </c>
      <c r="K98" s="5" t="str">
        <f>tblDataRequirement[[#This Row],[domain_seq]]&amp;"."&amp;TEXT(tblDataRequirement[[#This Row],[req_seq]],"00")</f>
        <v>6.4.01</v>
      </c>
      <c r="L98" s="5" t="s">
        <v>101</v>
      </c>
      <c r="M98" s="5"/>
      <c r="N98" s="35"/>
      <c r="O98" s="35" t="s">
        <v>102</v>
      </c>
      <c r="P98" s="35"/>
      <c r="Q98" s="35"/>
      <c r="R98" s="1" t="s">
        <v>103</v>
      </c>
      <c r="S98" s="12">
        <f>COUNTIF(requirement_measure_map!$C$3:$C$1514,data_requirement!A98)</f>
        <v>17</v>
      </c>
      <c r="T98" s="5"/>
      <c r="U98" s="49">
        <f t="shared" si="2"/>
        <v>1</v>
      </c>
    </row>
    <row r="99" spans="1:21" x14ac:dyDescent="0.15">
      <c r="A99" s="35">
        <v>52</v>
      </c>
      <c r="B99" s="35">
        <v>28</v>
      </c>
      <c r="C99" s="5" t="str">
        <f>_xlfn.XLOOKUP(tblDataRequirement[[#This Row],[id_subdomain]],tblDomain[Id_subdomain],tblDomain[domain_sub_domain])</f>
        <v>Users:Experience</v>
      </c>
      <c r="D99" s="5" t="s">
        <v>72</v>
      </c>
      <c r="E99" s="36" t="str">
        <f>tblDataRequirement[[#This Row],[domain_sub_domain]]&amp;":"&amp;tblDataRequirement[[#This Row],[data_requirement]]</f>
        <v>Users:Experience:Experience</v>
      </c>
      <c r="F99" s="36" t="str">
        <f>_xlfn.XLOOKUP(tblDataRequirement[[#This Row],[id_subdomain]],tblDomain[Id_subdomain],tblDomain[domain])</f>
        <v>Users</v>
      </c>
      <c r="G99" s="36" t="str">
        <f>_xlfn.XLOOKUP(tblDataRequirement[[#This Row],[id_subdomain]],tblDomain[Id_subdomain],tblDomain[sub_domain])</f>
        <v>Experience</v>
      </c>
      <c r="H99" s="36" t="str">
        <f>tblDataRequirement[[#This Row],[data_requirement]]</f>
        <v>Experience</v>
      </c>
      <c r="I99" s="36">
        <f>_xlfn.XLOOKUP(tblDataRequirement[[#This Row],[id_subdomain]],tblDomain[Id_subdomain],tblDomain[sequence_no])</f>
        <v>6.5</v>
      </c>
      <c r="J99" s="36">
        <v>2</v>
      </c>
      <c r="K99" s="36" t="str">
        <f>tblDataRequirement[[#This Row],[domain_seq]]&amp;"."&amp;TEXT(tblDataRequirement[[#This Row],[req_seq]],"00")</f>
        <v>6.5.02</v>
      </c>
      <c r="L99" s="36" t="s">
        <v>123</v>
      </c>
      <c r="M99" s="5"/>
      <c r="N99" s="35"/>
      <c r="O99" s="35"/>
      <c r="P99" s="35"/>
      <c r="Q99" s="35" t="s">
        <v>102</v>
      </c>
      <c r="R99" s="1" t="s">
        <v>103</v>
      </c>
      <c r="S99" s="12">
        <f>COUNTIF(requirement_measure_map!$C$3:$C$1514,data_requirement!A99)</f>
        <v>1</v>
      </c>
      <c r="T99" s="5"/>
      <c r="U99" s="49">
        <f t="shared" si="2"/>
        <v>1</v>
      </c>
    </row>
    <row r="100" spans="1:21" x14ac:dyDescent="0.15">
      <c r="A100" s="35">
        <v>53</v>
      </c>
      <c r="B100" s="35">
        <v>29</v>
      </c>
      <c r="C100" s="5" t="str">
        <f>_xlfn.XLOOKUP(tblDataRequirement[[#This Row],[id_subdomain]],tblDomain[Id_subdomain],tblDomain[domain_sub_domain])</f>
        <v>Users:Health</v>
      </c>
      <c r="D100" s="5" t="s">
        <v>73</v>
      </c>
      <c r="E100" s="36" t="str">
        <f>tblDataRequirement[[#This Row],[domain_sub_domain]]&amp;":"&amp;tblDataRequirement[[#This Row],[data_requirement]]</f>
        <v>Users:Health:Health</v>
      </c>
      <c r="F100" s="36" t="str">
        <f>_xlfn.XLOOKUP(tblDataRequirement[[#This Row],[id_subdomain]],tblDomain[Id_subdomain],tblDomain[domain])</f>
        <v>Users</v>
      </c>
      <c r="G100" s="36" t="str">
        <f>_xlfn.XLOOKUP(tblDataRequirement[[#This Row],[id_subdomain]],tblDomain[Id_subdomain],tblDomain[sub_domain])</f>
        <v>Health</v>
      </c>
      <c r="H100" s="36" t="str">
        <f>tblDataRequirement[[#This Row],[data_requirement]]</f>
        <v>Health</v>
      </c>
      <c r="I100" s="36">
        <f>_xlfn.XLOOKUP(tblDataRequirement[[#This Row],[id_subdomain]],tblDomain[Id_subdomain],tblDomain[sequence_no])</f>
        <v>6.6</v>
      </c>
      <c r="J100" s="36">
        <v>1</v>
      </c>
      <c r="K100" s="36" t="str">
        <f>tblDataRequirement[[#This Row],[domain_seq]]&amp;"."&amp;TEXT(tblDataRequirement[[#This Row],[req_seq]],"00")</f>
        <v>6.6.01</v>
      </c>
      <c r="L100" s="36" t="s">
        <v>123</v>
      </c>
      <c r="M100" s="5"/>
      <c r="N100" s="35"/>
      <c r="O100" s="35"/>
      <c r="P100" s="35"/>
      <c r="Q100" s="35" t="s">
        <v>102</v>
      </c>
      <c r="R100" s="1" t="s">
        <v>103</v>
      </c>
      <c r="S100" s="12">
        <f>COUNTIF(requirement_measure_map!$C$3:$C$1514,data_requirement!A100)</f>
        <v>4</v>
      </c>
      <c r="T100" s="5"/>
      <c r="U100" s="49">
        <f t="shared" si="2"/>
        <v>1</v>
      </c>
    </row>
    <row r="101" spans="1:21" x14ac:dyDescent="0.15">
      <c r="A101" s="35">
        <v>54</v>
      </c>
      <c r="B101" s="35">
        <v>30</v>
      </c>
      <c r="C101" s="5" t="str">
        <f>_xlfn.XLOOKUP(tblDataRequirement[[#This Row],[id_subdomain]],tblDomain[Id_subdomain],tblDomain[domain_sub_domain])</f>
        <v>Users:Quality of life</v>
      </c>
      <c r="D101" s="5" t="s">
        <v>173</v>
      </c>
      <c r="E101" s="36" t="str">
        <f>tblDataRequirement[[#This Row],[domain_sub_domain]]&amp;":"&amp;tblDataRequirement[[#This Row],[data_requirement]]</f>
        <v>Users:Quality of life:Well-being</v>
      </c>
      <c r="F101" s="36" t="str">
        <f>_xlfn.XLOOKUP(tblDataRequirement[[#This Row],[id_subdomain]],tblDomain[Id_subdomain],tblDomain[domain])</f>
        <v>Users</v>
      </c>
      <c r="G101" s="36" t="str">
        <f>_xlfn.XLOOKUP(tblDataRequirement[[#This Row],[id_subdomain]],tblDomain[Id_subdomain],tblDomain[sub_domain])</f>
        <v>Quality of life</v>
      </c>
      <c r="H101" s="36" t="str">
        <f>tblDataRequirement[[#This Row],[data_requirement]]</f>
        <v>Well-being</v>
      </c>
      <c r="I101" s="36">
        <f>_xlfn.XLOOKUP(tblDataRequirement[[#This Row],[id_subdomain]],tblDomain[Id_subdomain],tblDomain[sequence_no])</f>
        <v>6.7</v>
      </c>
      <c r="J101" s="36">
        <v>1</v>
      </c>
      <c r="K101" s="36" t="str">
        <f>tblDataRequirement[[#This Row],[domain_seq]]&amp;"."&amp;TEXT(tblDataRequirement[[#This Row],[req_seq]],"00")</f>
        <v>6.7.01</v>
      </c>
      <c r="L101" s="36" t="s">
        <v>123</v>
      </c>
      <c r="M101" s="5"/>
      <c r="N101" s="35"/>
      <c r="O101" s="35"/>
      <c r="P101" s="35"/>
      <c r="Q101" s="35" t="s">
        <v>102</v>
      </c>
      <c r="R101" s="1" t="s">
        <v>103</v>
      </c>
      <c r="S101" s="12">
        <f>COUNTIF(requirement_measure_map!$C$3:$C$1514,data_requirement!A101)</f>
        <v>8</v>
      </c>
      <c r="T101" s="5"/>
      <c r="U101" s="49">
        <f t="shared" si="2"/>
        <v>1</v>
      </c>
    </row>
    <row r="102" spans="1:21" x14ac:dyDescent="0.15">
      <c r="A102" s="35">
        <v>104</v>
      </c>
      <c r="B102" s="35">
        <v>30</v>
      </c>
      <c r="C102" s="5" t="str">
        <f>_xlfn.XLOOKUP(tblDataRequirement[[#This Row],[id_subdomain]],tblDomain[Id_subdomain],tblDomain[domain_sub_domain])</f>
        <v>Users:Quality of life</v>
      </c>
      <c r="D102" s="44" t="s">
        <v>174</v>
      </c>
      <c r="E102" s="36" t="str">
        <f>tblDataRequirement[[#This Row],[domain_sub_domain]]&amp;":"&amp;tblDataRequirement[[#This Row],[data_requirement]]</f>
        <v>Users:Quality of life:Independence/Mobility</v>
      </c>
      <c r="F102" s="36" t="str">
        <f>_xlfn.XLOOKUP(tblDataRequirement[[#This Row],[id_subdomain]],tblDomain[Id_subdomain],tblDomain[domain])</f>
        <v>Users</v>
      </c>
      <c r="G102" s="36" t="str">
        <f>_xlfn.XLOOKUP(tblDataRequirement[[#This Row],[id_subdomain]],tblDomain[Id_subdomain],tblDomain[sub_domain])</f>
        <v>Quality of life</v>
      </c>
      <c r="H102" s="36" t="str">
        <f>tblDataRequirement[[#This Row],[data_requirement]]</f>
        <v>Independence/Mobility</v>
      </c>
      <c r="I102" s="36">
        <f>_xlfn.XLOOKUP(tblDataRequirement[[#This Row],[id_subdomain]],tblDomain[Id_subdomain],tblDomain[sequence_no])</f>
        <v>6.7</v>
      </c>
      <c r="J102" s="36">
        <v>2</v>
      </c>
      <c r="K102" s="36" t="str">
        <f>tblDataRequirement[[#This Row],[domain_seq]]&amp;"."&amp;TEXT(tblDataRequirement[[#This Row],[req_seq]],"00")</f>
        <v>6.7.02</v>
      </c>
      <c r="L102" s="36" t="s">
        <v>123</v>
      </c>
      <c r="M102" s="5"/>
      <c r="N102" s="35"/>
      <c r="O102" s="35"/>
      <c r="P102" s="35"/>
      <c r="Q102" s="35"/>
      <c r="R102" s="1" t="s">
        <v>103</v>
      </c>
      <c r="S102" s="12">
        <f>COUNTIF(requirement_measure_map!$C$3:$C$1514,data_requirement!A102)</f>
        <v>5</v>
      </c>
      <c r="T102" s="5"/>
      <c r="U102" s="48">
        <f t="shared" si="2"/>
        <v>1</v>
      </c>
    </row>
  </sheetData>
  <mergeCells count="1">
    <mergeCell ref="A1:J1"/>
  </mergeCells>
  <dataValidations count="3">
    <dataValidation type="list" allowBlank="1" showInputMessage="1" showErrorMessage="1" sqref="M1 C3:C102" xr:uid="{C488203E-D1C5-4EB2-80EC-9909993868E3}">
      <formula1>INDIRECT("tblDomain[domain_sub_domain]")</formula1>
    </dataValidation>
    <dataValidation type="list" allowBlank="1" showInputMessage="1" showErrorMessage="1" sqref="R3:R102" xr:uid="{53E6FD41-1420-4060-9565-CA11AF317D74}">
      <formula1>"Proposed,Approved"</formula1>
    </dataValidation>
    <dataValidation allowBlank="1" showInputMessage="1" showErrorMessage="1" sqref="S3:S102" xr:uid="{3AC324D1-087F-4D20-90E7-18F1DE6D1CBB}"/>
  </dataValidations>
  <pageMargins left="0.7" right="0.7" top="0.75" bottom="0.75" header="0.3" footer="0.3"/>
  <pageSetup paperSize="9" scale="52" orientation="landscape"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27F3F-55DD-4918-A712-54670E98185D}">
  <sheetPr>
    <tabColor theme="8" tint="-0.499984740745262"/>
  </sheetPr>
  <dimension ref="A1:L1514"/>
  <sheetViews>
    <sheetView zoomScale="130" zoomScaleNormal="130" workbookViewId="0">
      <pane ySplit="2" topLeftCell="A3" activePane="bottomLeft" state="frozen"/>
      <selection pane="bottomLeft" activeCell="D1520" sqref="D1520"/>
    </sheetView>
  </sheetViews>
  <sheetFormatPr baseColWidth="10" defaultColWidth="8.83203125" defaultRowHeight="12" x14ac:dyDescent="0.15"/>
  <cols>
    <col min="1" max="1" width="39" style="1" customWidth="1"/>
    <col min="2" max="3" width="7.5" style="1" customWidth="1"/>
    <col min="4" max="4" width="12.5" style="1" customWidth="1"/>
    <col min="5" max="5" width="8.83203125" style="1"/>
    <col min="6" max="6" width="6.83203125" style="1" customWidth="1"/>
    <col min="7" max="7" width="8.1640625" style="61" customWidth="1"/>
    <col min="8" max="8" width="66.33203125" style="1" customWidth="1"/>
    <col min="9" max="9" width="20.83203125" style="1" customWidth="1"/>
    <col min="10" max="10" width="14.33203125" style="1" customWidth="1"/>
    <col min="11" max="11" width="98.33203125" style="1" bestFit="1" customWidth="1"/>
    <col min="12" max="16384" width="8.83203125" style="1"/>
  </cols>
  <sheetData>
    <row r="1" spans="1:12" s="12" customFormat="1" ht="66" customHeight="1" x14ac:dyDescent="0.2">
      <c r="A1" s="97" t="s">
        <v>184</v>
      </c>
      <c r="B1" s="97"/>
      <c r="C1" s="98"/>
      <c r="D1" s="98"/>
      <c r="E1" s="98"/>
      <c r="F1" s="98"/>
      <c r="G1" s="99" t="s">
        <v>185</v>
      </c>
      <c r="H1" s="99"/>
      <c r="I1" s="99"/>
      <c r="J1" s="99"/>
      <c r="K1" s="99"/>
    </row>
    <row r="2" spans="1:12" s="44" customFormat="1" x14ac:dyDescent="0.15">
      <c r="A2" s="55" t="s">
        <v>91</v>
      </c>
      <c r="B2" s="55" t="s">
        <v>2004</v>
      </c>
      <c r="C2" s="87" t="s">
        <v>1996</v>
      </c>
      <c r="D2" s="87" t="s">
        <v>1963</v>
      </c>
      <c r="E2" s="44" t="s">
        <v>186</v>
      </c>
      <c r="F2" s="53" t="s">
        <v>97</v>
      </c>
      <c r="G2" s="53" t="s">
        <v>61</v>
      </c>
      <c r="H2" s="60" t="s">
        <v>187</v>
      </c>
      <c r="I2" s="56" t="s">
        <v>188</v>
      </c>
      <c r="J2" s="56" t="s">
        <v>189</v>
      </c>
      <c r="K2" s="56" t="s">
        <v>190</v>
      </c>
      <c r="L2" s="56" t="s">
        <v>191</v>
      </c>
    </row>
    <row r="3" spans="1:12" x14ac:dyDescent="0.15">
      <c r="A3" s="1" t="str">
        <f>_xlfn.XLOOKUP(tblRequirementMeasureXref[[#This Row],[dm_id]],tblDataRequirement[dm_id],tblDataRequirement[domain_sub_requirement])</f>
        <v>Funders:Expenditure:Local authorities</v>
      </c>
      <c r="B3" s="1" t="str">
        <f>_xlfn.XLOOKUP(tblRequirementMeasureXref[[#This Row],[dm_id]],tblDataRequirement[dm_id],tblDataRequirement[dm_phase])</f>
        <v>supply</v>
      </c>
      <c r="C3" s="1">
        <v>3</v>
      </c>
      <c r="D3" s="1">
        <v>1</v>
      </c>
      <c r="G3" s="1"/>
      <c r="H3" s="61" t="str">
        <f>_xlfn.XLOOKUP(tblRequirementMeasureXref[[#This Row],[msr_id]],tblMeasure[msr_id],tblMeasure[msr_table])</f>
        <v>T1</v>
      </c>
      <c r="I3" s="1" t="str">
        <f>_xlfn.XLOOKUP(tblRequirementMeasureXref[[#This Row],[msr_id]],tblMeasure[msr_id],tblMeasure[msr_name])</f>
        <v>Summary figures regarding Adult Social Care activity and finance, 2018-19</v>
      </c>
      <c r="J3" s="1" t="str">
        <f>_xlfn.XLOOKUP(tblRequirementMeasureXref[[#This Row],[msr_id]],tblMeasure[msr_id],tblMeasure[primary_dimensions])</f>
        <v>expenditure, new requests, carer support</v>
      </c>
      <c r="K3" s="1" t="str">
        <f>_xlfn.XLOOKUP(tblRequirementMeasureXref[[#This Row],[msr_id]],tblMeasure[msr_id],tblMeasure[msr_min_geo_resolution])</f>
        <v>LA</v>
      </c>
      <c r="L3" s="1" t="str">
        <f>_xlfn.XLOOKUP(tblRequirementMeasureXref[[#This Row],[msr_id]],tblMeasure[msr_id],tblMeasure[src_name])</f>
        <v>Adult Social Care Activity and Finance Report</v>
      </c>
    </row>
    <row r="4" spans="1:12" x14ac:dyDescent="0.15">
      <c r="A4" s="1" t="str">
        <f>_xlfn.XLOOKUP(tblRequirementMeasureXref[[#This Row],[dm_id]],tblDataRequirement[dm_id],tblDataRequirement[domain_sub_requirement])</f>
        <v>Service:Support type:Unpaid Carer support</v>
      </c>
      <c r="B4" s="1" t="str">
        <f>_xlfn.XLOOKUP(tblRequirementMeasureXref[[#This Row],[dm_id]],tblDataRequirement[dm_id],tblDataRequirement[dm_phase])</f>
        <v>operate</v>
      </c>
      <c r="C4" s="1">
        <v>80</v>
      </c>
      <c r="D4" s="1">
        <v>1</v>
      </c>
      <c r="G4" s="1"/>
      <c r="H4" s="61" t="str">
        <f>_xlfn.XLOOKUP(tblRequirementMeasureXref[[#This Row],[msr_id]],tblMeasure[msr_id],tblMeasure[msr_table])</f>
        <v>T1</v>
      </c>
      <c r="I4" s="1" t="str">
        <f>_xlfn.XLOOKUP(tblRequirementMeasureXref[[#This Row],[msr_id]],tblMeasure[msr_id],tblMeasure[msr_name])</f>
        <v>Summary figures regarding Adult Social Care activity and finance, 2018-19</v>
      </c>
      <c r="J4" s="1" t="str">
        <f>_xlfn.XLOOKUP(tblRequirementMeasureXref[[#This Row],[msr_id]],tblMeasure[msr_id],tblMeasure[primary_dimensions])</f>
        <v>expenditure, new requests, carer support</v>
      </c>
      <c r="K4" s="1" t="str">
        <f>_xlfn.XLOOKUP(tblRequirementMeasureXref[[#This Row],[msr_id]],tblMeasure[msr_id],tblMeasure[msr_min_geo_resolution])</f>
        <v>LA</v>
      </c>
      <c r="L4" s="1" t="str">
        <f>_xlfn.XLOOKUP(tblRequirementMeasureXref[[#This Row],[msr_id]],tblMeasure[msr_id],tblMeasure[src_name])</f>
        <v>Adult Social Care Activity and Finance Report</v>
      </c>
    </row>
    <row r="5" spans="1:12" x14ac:dyDescent="0.15">
      <c r="A5" s="1" t="str">
        <f>_xlfn.XLOOKUP(tblRequirementMeasureXref[[#This Row],[dm_id]],tblDataRequirement[dm_id],tblDataRequirement[domain_sub_requirement])</f>
        <v>Service:Access:Requests for local authority-funded care</v>
      </c>
      <c r="B5" s="1" t="str">
        <f>_xlfn.XLOOKUP(tblRequirementMeasureXref[[#This Row],[dm_id]],tblDataRequirement[dm_id],tblDataRequirement[dm_phase])</f>
        <v>demand</v>
      </c>
      <c r="C5" s="1">
        <v>27</v>
      </c>
      <c r="D5" s="1">
        <v>1</v>
      </c>
      <c r="G5" s="1"/>
      <c r="H5" s="61" t="str">
        <f>_xlfn.XLOOKUP(tblRequirementMeasureXref[[#This Row],[msr_id]],tblMeasure[msr_id],tblMeasure[msr_table])</f>
        <v>T1</v>
      </c>
      <c r="I5" s="1" t="str">
        <f>_xlfn.XLOOKUP(tblRequirementMeasureXref[[#This Row],[msr_id]],tblMeasure[msr_id],tblMeasure[msr_name])</f>
        <v>Summary figures regarding Adult Social Care activity and finance, 2018-19</v>
      </c>
      <c r="J5" s="1" t="str">
        <f>_xlfn.XLOOKUP(tblRequirementMeasureXref[[#This Row],[msr_id]],tblMeasure[msr_id],tblMeasure[primary_dimensions])</f>
        <v>expenditure, new requests, carer support</v>
      </c>
      <c r="K5" s="1" t="str">
        <f>_xlfn.XLOOKUP(tblRequirementMeasureXref[[#This Row],[msr_id]],tblMeasure[msr_id],tblMeasure[msr_min_geo_resolution])</f>
        <v>LA</v>
      </c>
      <c r="L5" s="1" t="str">
        <f>_xlfn.XLOOKUP(tblRequirementMeasureXref[[#This Row],[msr_id]],tblMeasure[msr_id],tblMeasure[src_name])</f>
        <v>Adult Social Care Activity and Finance Report</v>
      </c>
    </row>
    <row r="6" spans="1:12" x14ac:dyDescent="0.15">
      <c r="A6" s="1" t="str">
        <f>_xlfn.XLOOKUP(tblRequirementMeasureXref[[#This Row],[dm_id]],tblDataRequirement[dm_id],tblDataRequirement[domain_sub_requirement])</f>
        <v>Service:Support type:Long-term</v>
      </c>
      <c r="B6" s="1" t="str">
        <f>_xlfn.XLOOKUP(tblRequirementMeasureXref[[#This Row],[dm_id]],tblDataRequirement[dm_id],tblDataRequirement[dm_phase])</f>
        <v>operate</v>
      </c>
      <c r="C6" s="1">
        <v>45</v>
      </c>
      <c r="D6" s="1">
        <v>1</v>
      </c>
      <c r="G6" s="1"/>
      <c r="H6" s="61" t="str">
        <f>_xlfn.XLOOKUP(tblRequirementMeasureXref[[#This Row],[msr_id]],tblMeasure[msr_id],tblMeasure[msr_table])</f>
        <v>T1</v>
      </c>
      <c r="I6" s="1" t="str">
        <f>_xlfn.XLOOKUP(tblRequirementMeasureXref[[#This Row],[msr_id]],tblMeasure[msr_id],tblMeasure[msr_name])</f>
        <v>Summary figures regarding Adult Social Care activity and finance, 2018-19</v>
      </c>
      <c r="J6" s="1" t="str">
        <f>_xlfn.XLOOKUP(tblRequirementMeasureXref[[#This Row],[msr_id]],tblMeasure[msr_id],tblMeasure[primary_dimensions])</f>
        <v>expenditure, new requests, carer support</v>
      </c>
      <c r="K6" s="1" t="str">
        <f>_xlfn.XLOOKUP(tblRequirementMeasureXref[[#This Row],[msr_id]],tblMeasure[msr_id],tblMeasure[msr_min_geo_resolution])</f>
        <v>LA</v>
      </c>
      <c r="L6" s="1" t="str">
        <f>_xlfn.XLOOKUP(tblRequirementMeasureXref[[#This Row],[msr_id]],tblMeasure[msr_id],tblMeasure[src_name])</f>
        <v>Adult Social Care Activity and Finance Report</v>
      </c>
    </row>
    <row r="7" spans="1:12" x14ac:dyDescent="0.15">
      <c r="A7" s="1" t="str">
        <f>_xlfn.XLOOKUP(tblRequirementMeasureXref[[#This Row],[dm_id]],tblDataRequirement[dm_id],tblDataRequirement[domain_sub_requirement])</f>
        <v>Service:Support type:Reablement / ST-MAX</v>
      </c>
      <c r="B7" s="1" t="str">
        <f>_xlfn.XLOOKUP(tblRequirementMeasureXref[[#This Row],[dm_id]],tblDataRequirement[dm_id],tblDataRequirement[dm_phase])</f>
        <v>operate</v>
      </c>
      <c r="C7" s="1">
        <v>46</v>
      </c>
      <c r="D7" s="1">
        <v>1</v>
      </c>
      <c r="G7" s="1"/>
      <c r="H7" s="61" t="str">
        <f>_xlfn.XLOOKUP(tblRequirementMeasureXref[[#This Row],[msr_id]],tblMeasure[msr_id],tblMeasure[msr_table])</f>
        <v>T1</v>
      </c>
      <c r="I7" s="1" t="str">
        <f>_xlfn.XLOOKUP(tblRequirementMeasureXref[[#This Row],[msr_id]],tblMeasure[msr_id],tblMeasure[msr_name])</f>
        <v>Summary figures regarding Adult Social Care activity and finance, 2018-19</v>
      </c>
      <c r="J7" s="1" t="str">
        <f>_xlfn.XLOOKUP(tblRequirementMeasureXref[[#This Row],[msr_id]],tblMeasure[msr_id],tblMeasure[primary_dimensions])</f>
        <v>expenditure, new requests, carer support</v>
      </c>
      <c r="K7" s="1" t="str">
        <f>_xlfn.XLOOKUP(tblRequirementMeasureXref[[#This Row],[msr_id]],tblMeasure[msr_id],tblMeasure[msr_min_geo_resolution])</f>
        <v>LA</v>
      </c>
      <c r="L7" s="1" t="str">
        <f>_xlfn.XLOOKUP(tblRequirementMeasureXref[[#This Row],[msr_id]],tblMeasure[msr_id],tblMeasure[src_name])</f>
        <v>Adult Social Care Activity and Finance Report</v>
      </c>
    </row>
    <row r="8" spans="1:12" x14ac:dyDescent="0.15">
      <c r="A8" s="1" t="str">
        <f>_xlfn.XLOOKUP(tblRequirementMeasureXref[[#This Row],[dm_id]],tblDataRequirement[dm_id],tblDataRequirement[domain_sub_requirement])</f>
        <v>Service:Access:Eligible for local authority funded care</v>
      </c>
      <c r="B8" s="1" t="str">
        <f>_xlfn.XLOOKUP(tblRequirementMeasureXref[[#This Row],[dm_id]],tblDataRequirement[dm_id],tblDataRequirement[dm_phase])</f>
        <v>demand</v>
      </c>
      <c r="C8" s="1">
        <v>28</v>
      </c>
      <c r="D8" s="1">
        <v>1</v>
      </c>
      <c r="G8" s="1"/>
      <c r="H8" s="61" t="str">
        <f>_xlfn.XLOOKUP(tblRequirementMeasureXref[[#This Row],[msr_id]],tblMeasure[msr_id],tblMeasure[msr_table])</f>
        <v>T1</v>
      </c>
      <c r="I8" s="1" t="str">
        <f>_xlfn.XLOOKUP(tblRequirementMeasureXref[[#This Row],[msr_id]],tblMeasure[msr_id],tblMeasure[msr_name])</f>
        <v>Summary figures regarding Adult Social Care activity and finance, 2018-19</v>
      </c>
      <c r="J8" s="1" t="str">
        <f>_xlfn.XLOOKUP(tblRequirementMeasureXref[[#This Row],[msr_id]],tblMeasure[msr_id],tblMeasure[primary_dimensions])</f>
        <v>expenditure, new requests, carer support</v>
      </c>
      <c r="K8" s="1" t="str">
        <f>_xlfn.XLOOKUP(tblRequirementMeasureXref[[#This Row],[msr_id]],tblMeasure[msr_id],tblMeasure[msr_min_geo_resolution])</f>
        <v>LA</v>
      </c>
      <c r="L8" s="1" t="str">
        <f>_xlfn.XLOOKUP(tblRequirementMeasureXref[[#This Row],[msr_id]],tblMeasure[msr_id],tblMeasure[src_name])</f>
        <v>Adult Social Care Activity and Finance Report</v>
      </c>
    </row>
    <row r="9" spans="1:12" x14ac:dyDescent="0.15">
      <c r="A9" s="1" t="str">
        <f>_xlfn.XLOOKUP(tblRequirementMeasureXref[[#This Row],[dm_id]],tblDataRequirement[dm_id],tblDataRequirement[domain_sub_requirement])</f>
        <v>Users:Demographics:Age</v>
      </c>
      <c r="B9" s="1" t="str">
        <f>_xlfn.XLOOKUP(tblRequirementMeasureXref[[#This Row],[dm_id]],tblDataRequirement[dm_id],tblDataRequirement[dm_phase])</f>
        <v>demand</v>
      </c>
      <c r="C9" s="1">
        <v>51</v>
      </c>
      <c r="D9" s="1">
        <v>1</v>
      </c>
      <c r="G9" s="1"/>
      <c r="H9" s="61" t="str">
        <f>_xlfn.XLOOKUP(tblRequirementMeasureXref[[#This Row],[msr_id]],tblMeasure[msr_id],tblMeasure[msr_table])</f>
        <v>T1</v>
      </c>
      <c r="I9" s="1" t="str">
        <f>_xlfn.XLOOKUP(tblRequirementMeasureXref[[#This Row],[msr_id]],tblMeasure[msr_id],tblMeasure[msr_name])</f>
        <v>Summary figures regarding Adult Social Care activity and finance, 2018-19</v>
      </c>
      <c r="J9" s="1" t="str">
        <f>_xlfn.XLOOKUP(tblRequirementMeasureXref[[#This Row],[msr_id]],tblMeasure[msr_id],tblMeasure[primary_dimensions])</f>
        <v>expenditure, new requests, carer support</v>
      </c>
      <c r="K9" s="1" t="str">
        <f>_xlfn.XLOOKUP(tblRequirementMeasureXref[[#This Row],[msr_id]],tblMeasure[msr_id],tblMeasure[msr_min_geo_resolution])</f>
        <v>LA</v>
      </c>
      <c r="L9" s="1" t="str">
        <f>_xlfn.XLOOKUP(tblRequirementMeasureXref[[#This Row],[msr_id]],tblMeasure[msr_id],tblMeasure[src_name])</f>
        <v>Adult Social Care Activity and Finance Report</v>
      </c>
    </row>
    <row r="10" spans="1:12" x14ac:dyDescent="0.15">
      <c r="A10" s="1" t="str">
        <f>_xlfn.XLOOKUP(tblRequirementMeasureXref[[#This Row],[dm_id]],tblDataRequirement[dm_id],tblDataRequirement[domain_sub_requirement])</f>
        <v>Funders:Expenditure:Local authorities</v>
      </c>
      <c r="B10" s="1" t="str">
        <f>_xlfn.XLOOKUP(tblRequirementMeasureXref[[#This Row],[dm_id]],tblDataRequirement[dm_id],tblDataRequirement[dm_phase])</f>
        <v>supply</v>
      </c>
      <c r="C10" s="1">
        <v>3</v>
      </c>
      <c r="D10" s="1">
        <v>3</v>
      </c>
      <c r="G10" s="1"/>
      <c r="H10" s="61" t="str">
        <f>_xlfn.XLOOKUP(tblRequirementMeasureXref[[#This Row],[msr_id]],tblMeasure[msr_id],tblMeasure[msr_table])</f>
        <v>T3</v>
      </c>
      <c r="I10" s="1" t="str">
        <f>_xlfn.XLOOKUP(tblRequirementMeasureXref[[#This Row],[msr_id]],tblMeasure[msr_id],tblMeasure[msr_name])</f>
        <v>Expenditure and income, by finance type and finance description, 2018-19</v>
      </c>
      <c r="J10" s="1" t="str">
        <f>_xlfn.XLOOKUP(tblRequirementMeasureXref[[#This Row],[msr_id]],tblMeasure[msr_id],tblMeasure[primary_dimensions])</f>
        <v>expenditure, income</v>
      </c>
      <c r="K10" s="1" t="str">
        <f>_xlfn.XLOOKUP(tblRequirementMeasureXref[[#This Row],[msr_id]],tblMeasure[msr_id],tblMeasure[msr_min_geo_resolution])</f>
        <v>LA</v>
      </c>
      <c r="L10" s="1" t="str">
        <f>_xlfn.XLOOKUP(tblRequirementMeasureXref[[#This Row],[msr_id]],tblMeasure[msr_id],tblMeasure[src_name])</f>
        <v>Adult Social Care Activity and Finance Report</v>
      </c>
    </row>
    <row r="11" spans="1:12" x14ac:dyDescent="0.15">
      <c r="A11" s="1" t="str">
        <f>_xlfn.XLOOKUP(tblRequirementMeasureXref[[#This Row],[dm_id]],tblDataRequirement[dm_id],tblDataRequirement[domain_sub_requirement])</f>
        <v>Funders:Income:Local authority</v>
      </c>
      <c r="B11" s="1" t="str">
        <f>_xlfn.XLOOKUP(tblRequirementMeasureXref[[#This Row],[dm_id]],tblDataRequirement[dm_id],tblDataRequirement[dm_phase])</f>
        <v>supply</v>
      </c>
      <c r="C11" s="1">
        <v>8</v>
      </c>
      <c r="D11" s="1">
        <v>3</v>
      </c>
      <c r="G11" s="1"/>
      <c r="H11" s="61" t="str">
        <f>_xlfn.XLOOKUP(tblRequirementMeasureXref[[#This Row],[msr_id]],tblMeasure[msr_id],tblMeasure[msr_table])</f>
        <v>T3</v>
      </c>
      <c r="I11" s="1" t="str">
        <f>_xlfn.XLOOKUP(tblRequirementMeasureXref[[#This Row],[msr_id]],tblMeasure[msr_id],tblMeasure[msr_name])</f>
        <v>Expenditure and income, by finance type and finance description, 2018-19</v>
      </c>
      <c r="J11" s="1" t="str">
        <f>_xlfn.XLOOKUP(tblRequirementMeasureXref[[#This Row],[msr_id]],tblMeasure[msr_id],tblMeasure[primary_dimensions])</f>
        <v>expenditure, income</v>
      </c>
      <c r="K11" s="1" t="str">
        <f>_xlfn.XLOOKUP(tblRequirementMeasureXref[[#This Row],[msr_id]],tblMeasure[msr_id],tblMeasure[msr_min_geo_resolution])</f>
        <v>LA</v>
      </c>
      <c r="L11" s="1" t="str">
        <f>_xlfn.XLOOKUP(tblRequirementMeasureXref[[#This Row],[msr_id]],tblMeasure[msr_id],tblMeasure[src_name])</f>
        <v>Adult Social Care Activity and Finance Report</v>
      </c>
    </row>
    <row r="12" spans="1:12" x14ac:dyDescent="0.15">
      <c r="A12" s="1" t="str">
        <f>_xlfn.XLOOKUP(tblRequirementMeasureXref[[#This Row],[dm_id]],tblDataRequirement[dm_id],tblDataRequirement[domain_sub_requirement])</f>
        <v>Funders:Expenditure:Local authority clients</v>
      </c>
      <c r="B12" s="1" t="str">
        <f>_xlfn.XLOOKUP(tblRequirementMeasureXref[[#This Row],[dm_id]],tblDataRequirement[dm_id],tblDataRequirement[dm_phase])</f>
        <v>supply</v>
      </c>
      <c r="C12" s="1">
        <v>7</v>
      </c>
      <c r="D12" s="1">
        <v>3</v>
      </c>
      <c r="G12" s="1"/>
      <c r="H12" s="61" t="str">
        <f>_xlfn.XLOOKUP(tblRequirementMeasureXref[[#This Row],[msr_id]],tblMeasure[msr_id],tblMeasure[msr_table])</f>
        <v>T3</v>
      </c>
      <c r="I12" s="22" t="str">
        <f>_xlfn.XLOOKUP(tblRequirementMeasureXref[[#This Row],[msr_id]],tblMeasure[msr_id],tblMeasure[msr_name])</f>
        <v>Expenditure and income, by finance type and finance description, 2018-19</v>
      </c>
      <c r="J12" s="22" t="str">
        <f>_xlfn.XLOOKUP(tblRequirementMeasureXref[[#This Row],[msr_id]],tblMeasure[msr_id],tblMeasure[primary_dimensions])</f>
        <v>expenditure, income</v>
      </c>
      <c r="K12" s="22" t="str">
        <f>_xlfn.XLOOKUP(tblRequirementMeasureXref[[#This Row],[msr_id]],tblMeasure[msr_id],tblMeasure[msr_min_geo_resolution])</f>
        <v>LA</v>
      </c>
      <c r="L12" s="22" t="str">
        <f>_xlfn.XLOOKUP(tblRequirementMeasureXref[[#This Row],[msr_id]],tblMeasure[msr_id],tblMeasure[src_name])</f>
        <v>Adult Social Care Activity and Finance Report</v>
      </c>
    </row>
    <row r="13" spans="1:12" x14ac:dyDescent="0.15">
      <c r="A13" s="1" t="str">
        <f>_xlfn.XLOOKUP(tblRequirementMeasureXref[[#This Row],[dm_id]],tblDataRequirement[dm_id],tblDataRequirement[domain_sub_requirement])</f>
        <v>Service:Support type:Asset-based (charity/voluntary)</v>
      </c>
      <c r="B13" s="1" t="str">
        <f>_xlfn.XLOOKUP(tblRequirementMeasureXref[[#This Row],[dm_id]],tblDataRequirement[dm_id],tblDataRequirement[dm_phase])</f>
        <v>operate</v>
      </c>
      <c r="C13" s="1">
        <v>49</v>
      </c>
      <c r="D13" s="1">
        <v>5</v>
      </c>
      <c r="G13" s="1"/>
      <c r="H13" s="61" t="str">
        <f>_xlfn.XLOOKUP(tblRequirementMeasureXref[[#This Row],[msr_id]],tblMeasure[msr_id],tblMeasure[msr_table])</f>
        <v>T5</v>
      </c>
      <c r="I13" s="1" t="str">
        <f>_xlfn.XLOOKUP(tblRequirementMeasureXref[[#This Row],[msr_id]],tblMeasure[msr_id],tblMeasure[msr_name])</f>
        <v>Expenditure, by finance description, year on year comparison, 2017-18 and 2018-19</v>
      </c>
      <c r="J13" s="1" t="str">
        <f>_xlfn.XLOOKUP(tblRequirementMeasureXref[[#This Row],[msr_id]],tblMeasure[msr_id],tblMeasure[primary_dimensions])</f>
        <v>expenditure</v>
      </c>
      <c r="K13" s="1" t="str">
        <f>_xlfn.XLOOKUP(tblRequirementMeasureXref[[#This Row],[msr_id]],tblMeasure[msr_id],tblMeasure[msr_min_geo_resolution])</f>
        <v>LA</v>
      </c>
      <c r="L13" s="1" t="str">
        <f>_xlfn.XLOOKUP(tblRequirementMeasureXref[[#This Row],[msr_id]],tblMeasure[msr_id],tblMeasure[src_name])</f>
        <v>Adult Social Care Activity and Finance Report</v>
      </c>
    </row>
    <row r="14" spans="1:12" x14ac:dyDescent="0.15">
      <c r="A14" s="1" t="str">
        <f>_xlfn.XLOOKUP(tblRequirementMeasureXref[[#This Row],[dm_id]],tblDataRequirement[dm_id],tblDataRequirement[domain_sub_requirement])</f>
        <v>Funders:Expenditure:Local authorities</v>
      </c>
      <c r="B14" s="1" t="str">
        <f>_xlfn.XLOOKUP(tblRequirementMeasureXref[[#This Row],[dm_id]],tblDataRequirement[dm_id],tblDataRequirement[dm_phase])</f>
        <v>supply</v>
      </c>
      <c r="C14" s="1">
        <v>3</v>
      </c>
      <c r="D14" s="1">
        <v>5</v>
      </c>
      <c r="G14" s="1"/>
      <c r="H14" s="61" t="str">
        <f>_xlfn.XLOOKUP(tblRequirementMeasureXref[[#This Row],[msr_id]],tblMeasure[msr_id],tblMeasure[msr_table])</f>
        <v>T5</v>
      </c>
      <c r="I14" s="1" t="str">
        <f>_xlfn.XLOOKUP(tblRequirementMeasureXref[[#This Row],[msr_id]],tblMeasure[msr_id],tblMeasure[msr_name])</f>
        <v>Expenditure, by finance description, year on year comparison, 2017-18 and 2018-19</v>
      </c>
      <c r="J14" s="1" t="str">
        <f>_xlfn.XLOOKUP(tblRequirementMeasureXref[[#This Row],[msr_id]],tblMeasure[msr_id],tblMeasure[primary_dimensions])</f>
        <v>expenditure</v>
      </c>
      <c r="K14" s="1" t="str">
        <f>_xlfn.XLOOKUP(tblRequirementMeasureXref[[#This Row],[msr_id]],tblMeasure[msr_id],tblMeasure[msr_min_geo_resolution])</f>
        <v>LA</v>
      </c>
      <c r="L14" s="1" t="str">
        <f>_xlfn.XLOOKUP(tblRequirementMeasureXref[[#This Row],[msr_id]],tblMeasure[msr_id],tblMeasure[src_name])</f>
        <v>Adult Social Care Activity and Finance Report</v>
      </c>
    </row>
    <row r="15" spans="1:12" x14ac:dyDescent="0.15">
      <c r="A15" s="1" t="str">
        <f>_xlfn.XLOOKUP(tblRequirementMeasureXref[[#This Row],[dm_id]],tblDataRequirement[dm_id],tblDataRequirement[domain_sub_requirement])</f>
        <v>Service:Integration:Care commissioning</v>
      </c>
      <c r="B15" s="1" t="str">
        <f>_xlfn.XLOOKUP(tblRequirementMeasureXref[[#This Row],[dm_id]],tblDataRequirement[dm_id],tblDataRequirement[dm_phase])</f>
        <v>operate</v>
      </c>
      <c r="C15" s="1">
        <v>38</v>
      </c>
      <c r="D15" s="1">
        <v>7</v>
      </c>
      <c r="G15" s="1"/>
      <c r="H15" s="61" t="str">
        <f>_xlfn.XLOOKUP(tblRequirementMeasureXref[[#This Row],[msr_id]],tblMeasure[msr_id],tblMeasure[msr_table])</f>
        <v>T7</v>
      </c>
      <c r="I15" s="1" t="str">
        <f>_xlfn.XLOOKUP(tblRequirementMeasureXref[[#This Row],[msr_id]],tblMeasure[msr_id],tblMeasure[msr_name])</f>
        <v>Income, by finance description, care type and age band, 2018-19</v>
      </c>
      <c r="J15" s="1" t="str">
        <f>_xlfn.XLOOKUP(tblRequirementMeasureXref[[#This Row],[msr_id]],tblMeasure[msr_id],tblMeasure[primary_dimensions])</f>
        <v>income</v>
      </c>
      <c r="K15" s="1" t="str">
        <f>_xlfn.XLOOKUP(tblRequirementMeasureXref[[#This Row],[msr_id]],tblMeasure[msr_id],tblMeasure[msr_min_geo_resolution])</f>
        <v>LA</v>
      </c>
      <c r="L15" s="1" t="str">
        <f>_xlfn.XLOOKUP(tblRequirementMeasureXref[[#This Row],[msr_id]],tblMeasure[msr_id],tblMeasure[src_name])</f>
        <v>Adult Social Care Activity and Finance Report</v>
      </c>
    </row>
    <row r="16" spans="1:12" x14ac:dyDescent="0.15">
      <c r="A16" s="1" t="str">
        <f>_xlfn.XLOOKUP(tblRequirementMeasureXref[[#This Row],[dm_id]],tblDataRequirement[dm_id],tblDataRequirement[domain_sub_requirement])</f>
        <v>Funders:Income:Local authority</v>
      </c>
      <c r="B16" s="1" t="str">
        <f>_xlfn.XLOOKUP(tblRequirementMeasureXref[[#This Row],[dm_id]],tblDataRequirement[dm_id],tblDataRequirement[dm_phase])</f>
        <v>supply</v>
      </c>
      <c r="C16" s="1">
        <v>8</v>
      </c>
      <c r="D16" s="1">
        <v>7</v>
      </c>
      <c r="G16" s="1"/>
      <c r="H16" s="61" t="str">
        <f>_xlfn.XLOOKUP(tblRequirementMeasureXref[[#This Row],[msr_id]],tblMeasure[msr_id],tblMeasure[msr_table])</f>
        <v>T7</v>
      </c>
      <c r="I16" s="1" t="str">
        <f>_xlfn.XLOOKUP(tblRequirementMeasureXref[[#This Row],[msr_id]],tblMeasure[msr_id],tblMeasure[msr_name])</f>
        <v>Income, by finance description, care type and age band, 2018-19</v>
      </c>
      <c r="J16" s="1" t="str">
        <f>_xlfn.XLOOKUP(tblRequirementMeasureXref[[#This Row],[msr_id]],tblMeasure[msr_id],tblMeasure[primary_dimensions])</f>
        <v>income</v>
      </c>
      <c r="K16" s="1" t="str">
        <f>_xlfn.XLOOKUP(tblRequirementMeasureXref[[#This Row],[msr_id]],tblMeasure[msr_id],tblMeasure[msr_min_geo_resolution])</f>
        <v>LA</v>
      </c>
      <c r="L16" s="1" t="str">
        <f>_xlfn.XLOOKUP(tblRequirementMeasureXref[[#This Row],[msr_id]],tblMeasure[msr_id],tblMeasure[src_name])</f>
        <v>Adult Social Care Activity and Finance Report</v>
      </c>
    </row>
    <row r="17" spans="1:12" x14ac:dyDescent="0.15">
      <c r="A17" s="1" t="str">
        <f>_xlfn.XLOOKUP(tblRequirementMeasureXref[[#This Row],[dm_id]],tblDataRequirement[dm_id],tblDataRequirement[domain_sub_requirement])</f>
        <v>Funders:Expenditure:Local authority clients</v>
      </c>
      <c r="B17" s="1" t="str">
        <f>_xlfn.XLOOKUP(tblRequirementMeasureXref[[#This Row],[dm_id]],tblDataRequirement[dm_id],tblDataRequirement[dm_phase])</f>
        <v>supply</v>
      </c>
      <c r="C17" s="1">
        <v>7</v>
      </c>
      <c r="D17" s="1">
        <v>7</v>
      </c>
      <c r="G17" s="1"/>
      <c r="H17" s="61" t="str">
        <f>_xlfn.XLOOKUP(tblRequirementMeasureXref[[#This Row],[msr_id]],tblMeasure[msr_id],tblMeasure[msr_table])</f>
        <v>T7</v>
      </c>
      <c r="I17" s="1" t="str">
        <f>_xlfn.XLOOKUP(tblRequirementMeasureXref[[#This Row],[msr_id]],tblMeasure[msr_id],tblMeasure[msr_name])</f>
        <v>Income, by finance description, care type and age band, 2018-19</v>
      </c>
      <c r="J17" s="1" t="str">
        <f>_xlfn.XLOOKUP(tblRequirementMeasureXref[[#This Row],[msr_id]],tblMeasure[msr_id],tblMeasure[primary_dimensions])</f>
        <v>income</v>
      </c>
      <c r="K17" s="1" t="str">
        <f>_xlfn.XLOOKUP(tblRequirementMeasureXref[[#This Row],[msr_id]],tblMeasure[msr_id],tblMeasure[msr_min_geo_resolution])</f>
        <v>LA</v>
      </c>
      <c r="L17" s="1" t="str">
        <f>_xlfn.XLOOKUP(tblRequirementMeasureXref[[#This Row],[msr_id]],tblMeasure[msr_id],tblMeasure[src_name])</f>
        <v>Adult Social Care Activity and Finance Report</v>
      </c>
    </row>
    <row r="18" spans="1:12" x14ac:dyDescent="0.15">
      <c r="A18" s="1" t="str">
        <f>_xlfn.XLOOKUP(tblRequirementMeasureXref[[#This Row],[dm_id]],tblDataRequirement[dm_id],tblDataRequirement[domain_sub_requirement])</f>
        <v>Service:Access:Requests for local authority-funded care</v>
      </c>
      <c r="B18" s="1" t="str">
        <f>_xlfn.XLOOKUP(tblRequirementMeasureXref[[#This Row],[dm_id]],tblDataRequirement[dm_id],tblDataRequirement[dm_phase])</f>
        <v>demand</v>
      </c>
      <c r="C18" s="1">
        <v>27</v>
      </c>
      <c r="D18" s="1">
        <v>8</v>
      </c>
      <c r="G18" s="1"/>
      <c r="H18" s="61" t="str">
        <f>_xlfn.XLOOKUP(tblRequirementMeasureXref[[#This Row],[msr_id]],tblMeasure[msr_id],tblMeasure[msr_table])</f>
        <v>T8</v>
      </c>
      <c r="I18" s="1" t="str">
        <f>_xlfn.XLOOKUP(tblRequirementMeasureXref[[#This Row],[msr_id]],tblMeasure[msr_id],tblMeasure[msr_name])</f>
        <v>Number of requests for support received from new clients, by age band and route of access, 2018-19</v>
      </c>
      <c r="J18" s="1" t="str">
        <f>_xlfn.XLOOKUP(tblRequirementMeasureXref[[#This Row],[msr_id]],tblMeasure[msr_id],tblMeasure[primary_dimensions])</f>
        <v>new requests, access route</v>
      </c>
      <c r="K18" s="1" t="str">
        <f>_xlfn.XLOOKUP(tblRequirementMeasureXref[[#This Row],[msr_id]],tblMeasure[msr_id],tblMeasure[msr_min_geo_resolution])</f>
        <v>LA</v>
      </c>
      <c r="L18" s="1" t="str">
        <f>_xlfn.XLOOKUP(tblRequirementMeasureXref[[#This Row],[msr_id]],tblMeasure[msr_id],tblMeasure[src_name])</f>
        <v>Adult Social Care Activity and Finance Report</v>
      </c>
    </row>
    <row r="19" spans="1:12" x14ac:dyDescent="0.15">
      <c r="A19" s="1" t="str">
        <f>_xlfn.XLOOKUP(tblRequirementMeasureXref[[#This Row],[dm_id]],tblDataRequirement[dm_id],tblDataRequirement[domain_sub_requirement])</f>
        <v>Users:Demographics:Age</v>
      </c>
      <c r="B19" s="1" t="str">
        <f>_xlfn.XLOOKUP(tblRequirementMeasureXref[[#This Row],[dm_id]],tblDataRequirement[dm_id],tblDataRequirement[dm_phase])</f>
        <v>demand</v>
      </c>
      <c r="C19" s="1">
        <v>51</v>
      </c>
      <c r="D19" s="1">
        <v>8</v>
      </c>
      <c r="G19" s="1"/>
      <c r="H19" s="61" t="str">
        <f>_xlfn.XLOOKUP(tblRequirementMeasureXref[[#This Row],[msr_id]],tblMeasure[msr_id],tblMeasure[msr_table])</f>
        <v>T8</v>
      </c>
      <c r="I19" s="22" t="str">
        <f>_xlfn.XLOOKUP(tblRequirementMeasureXref[[#This Row],[msr_id]],tblMeasure[msr_id],tblMeasure[msr_name])</f>
        <v>Number of requests for support received from new clients, by age band and route of access, 2018-19</v>
      </c>
      <c r="J19" s="22" t="str">
        <f>_xlfn.XLOOKUP(tblRequirementMeasureXref[[#This Row],[msr_id]],tblMeasure[msr_id],tblMeasure[primary_dimensions])</f>
        <v>new requests, access route</v>
      </c>
      <c r="K19" s="22" t="str">
        <f>_xlfn.XLOOKUP(tblRequirementMeasureXref[[#This Row],[msr_id]],tblMeasure[msr_id],tblMeasure[msr_min_geo_resolution])</f>
        <v>LA</v>
      </c>
      <c r="L19" s="22" t="str">
        <f>_xlfn.XLOOKUP(tblRequirementMeasureXref[[#This Row],[msr_id]],tblMeasure[msr_id],tblMeasure[src_name])</f>
        <v>Adult Social Care Activity and Finance Report</v>
      </c>
    </row>
    <row r="20" spans="1:12" x14ac:dyDescent="0.15">
      <c r="A20" s="1" t="str">
        <f>_xlfn.XLOOKUP(tblRequirementMeasureXref[[#This Row],[dm_id]],tblDataRequirement[dm_id],tblDataRequirement[domain_sub_requirement])</f>
        <v>Service:Access:Access route</v>
      </c>
      <c r="B20" s="1" t="str">
        <f>_xlfn.XLOOKUP(tblRequirementMeasureXref[[#This Row],[dm_id]],tblDataRequirement[dm_id],tblDataRequirement[dm_phase])</f>
        <v>demand</v>
      </c>
      <c r="C20" s="1">
        <v>33</v>
      </c>
      <c r="D20" s="1">
        <v>8</v>
      </c>
      <c r="G20" s="1"/>
      <c r="H20" s="61" t="str">
        <f>_xlfn.XLOOKUP(tblRequirementMeasureXref[[#This Row],[msr_id]],tblMeasure[msr_id],tblMeasure[msr_table])</f>
        <v>T8</v>
      </c>
      <c r="I20" s="1" t="str">
        <f>_xlfn.XLOOKUP(tblRequirementMeasureXref[[#This Row],[msr_id]],tblMeasure[msr_id],tblMeasure[msr_name])</f>
        <v>Number of requests for support received from new clients, by age band and route of access, 2018-19</v>
      </c>
      <c r="J20" s="1" t="str">
        <f>_xlfn.XLOOKUP(tblRequirementMeasureXref[[#This Row],[msr_id]],tblMeasure[msr_id],tblMeasure[primary_dimensions])</f>
        <v>new requests, access route</v>
      </c>
      <c r="K20" s="1" t="str">
        <f>_xlfn.XLOOKUP(tblRequirementMeasureXref[[#This Row],[msr_id]],tblMeasure[msr_id],tblMeasure[msr_min_geo_resolution])</f>
        <v>LA</v>
      </c>
      <c r="L20" s="1" t="str">
        <f>_xlfn.XLOOKUP(tblRequirementMeasureXref[[#This Row],[msr_id]],tblMeasure[msr_id],tblMeasure[src_name])</f>
        <v>Adult Social Care Activity and Finance Report</v>
      </c>
    </row>
    <row r="21" spans="1:12" x14ac:dyDescent="0.15">
      <c r="A21" s="1" t="str">
        <f>_xlfn.XLOOKUP(tblRequirementMeasureXref[[#This Row],[dm_id]],tblDataRequirement[dm_id],tblDataRequirement[domain_sub_requirement])</f>
        <v>Users:Demographics:Age</v>
      </c>
      <c r="B21" s="1" t="str">
        <f>_xlfn.XLOOKUP(tblRequirementMeasureXref[[#This Row],[dm_id]],tblDataRequirement[dm_id],tblDataRequirement[dm_phase])</f>
        <v>demand</v>
      </c>
      <c r="C21" s="1">
        <v>51</v>
      </c>
      <c r="D21" s="1">
        <v>9</v>
      </c>
      <c r="G21" s="1"/>
      <c r="H21" s="61" t="str">
        <f>_xlfn.XLOOKUP(tblRequirementMeasureXref[[#This Row],[msr_id]],tblMeasure[msr_id],tblMeasure[msr_table])</f>
        <v>T9</v>
      </c>
      <c r="I21" s="22" t="str">
        <f>_xlfn.XLOOKUP(tblRequirementMeasureXref[[#This Row],[msr_id]],tblMeasure[msr_id],tblMeasure[msr_name])</f>
        <v>Number of requests for support received from new clients, by route of access, age band and what happened next, 2018-19</v>
      </c>
      <c r="J21" s="22" t="str">
        <f>_xlfn.XLOOKUP(tblRequirementMeasureXref[[#This Row],[msr_id]],tblMeasure[msr_id],tblMeasure[primary_dimensions])</f>
        <v>new requests, access route, sequel</v>
      </c>
      <c r="K21" s="22" t="str">
        <f>_xlfn.XLOOKUP(tblRequirementMeasureXref[[#This Row],[msr_id]],tblMeasure[msr_id],tblMeasure[msr_min_geo_resolution])</f>
        <v>England</v>
      </c>
      <c r="L21" s="22" t="str">
        <f>_xlfn.XLOOKUP(tblRequirementMeasureXref[[#This Row],[msr_id]],tblMeasure[msr_id],tblMeasure[src_name])</f>
        <v>Adult Social Care Activity and Finance Report</v>
      </c>
    </row>
    <row r="22" spans="1:12" x14ac:dyDescent="0.15">
      <c r="A22" s="1" t="str">
        <f>_xlfn.XLOOKUP(tblRequirementMeasureXref[[#This Row],[dm_id]],tblDataRequirement[dm_id],tblDataRequirement[domain_sub_requirement])</f>
        <v>Service:Access:Access route</v>
      </c>
      <c r="B22" s="1" t="str">
        <f>_xlfn.XLOOKUP(tblRequirementMeasureXref[[#This Row],[dm_id]],tblDataRequirement[dm_id],tblDataRequirement[dm_phase])</f>
        <v>demand</v>
      </c>
      <c r="C22" s="1">
        <v>33</v>
      </c>
      <c r="D22" s="1">
        <v>9</v>
      </c>
      <c r="G22" s="1"/>
      <c r="H22" s="61" t="str">
        <f>_xlfn.XLOOKUP(tblRequirementMeasureXref[[#This Row],[msr_id]],tblMeasure[msr_id],tblMeasure[msr_table])</f>
        <v>T9</v>
      </c>
      <c r="I22" s="22" t="str">
        <f>_xlfn.XLOOKUP(tblRequirementMeasureXref[[#This Row],[msr_id]],tblMeasure[msr_id],tblMeasure[msr_name])</f>
        <v>Number of requests for support received from new clients, by route of access, age band and what happened next, 2018-19</v>
      </c>
      <c r="J22" s="22" t="str">
        <f>_xlfn.XLOOKUP(tblRequirementMeasureXref[[#This Row],[msr_id]],tblMeasure[msr_id],tblMeasure[primary_dimensions])</f>
        <v>new requests, access route, sequel</v>
      </c>
      <c r="K22" s="22" t="str">
        <f>_xlfn.XLOOKUP(tblRequirementMeasureXref[[#This Row],[msr_id]],tblMeasure[msr_id],tblMeasure[msr_min_geo_resolution])</f>
        <v>England</v>
      </c>
      <c r="L22" s="22" t="str">
        <f>_xlfn.XLOOKUP(tblRequirementMeasureXref[[#This Row],[msr_id]],tblMeasure[msr_id],tblMeasure[src_name])</f>
        <v>Adult Social Care Activity and Finance Report</v>
      </c>
    </row>
    <row r="23" spans="1:12" x14ac:dyDescent="0.15">
      <c r="A23" s="1" t="str">
        <f>_xlfn.XLOOKUP(tblRequirementMeasureXref[[#This Row],[dm_id]],tblDataRequirement[dm_id],tblDataRequirement[domain_sub_requirement])</f>
        <v>Service:Support type:Short-term</v>
      </c>
      <c r="B23" s="1" t="str">
        <f>_xlfn.XLOOKUP(tblRequirementMeasureXref[[#This Row],[dm_id]],tblDataRequirement[dm_id],tblDataRequirement[dm_phase])</f>
        <v>operate</v>
      </c>
      <c r="C23" s="1">
        <v>44</v>
      </c>
      <c r="D23" s="1">
        <v>9</v>
      </c>
      <c r="G23" s="1"/>
      <c r="H23" s="61" t="str">
        <f>_xlfn.XLOOKUP(tblRequirementMeasureXref[[#This Row],[msr_id]],tblMeasure[msr_id],tblMeasure[msr_table])</f>
        <v>T9</v>
      </c>
      <c r="I23" s="22" t="str">
        <f>_xlfn.XLOOKUP(tblRequirementMeasureXref[[#This Row],[msr_id]],tblMeasure[msr_id],tblMeasure[msr_name])</f>
        <v>Number of requests for support received from new clients, by route of access, age band and what happened next, 2018-19</v>
      </c>
      <c r="J23" s="22" t="str">
        <f>_xlfn.XLOOKUP(tblRequirementMeasureXref[[#This Row],[msr_id]],tblMeasure[msr_id],tblMeasure[primary_dimensions])</f>
        <v>new requests, access route, sequel</v>
      </c>
      <c r="K23" s="22" t="str">
        <f>_xlfn.XLOOKUP(tblRequirementMeasureXref[[#This Row],[msr_id]],tblMeasure[msr_id],tblMeasure[msr_min_geo_resolution])</f>
        <v>England</v>
      </c>
      <c r="L23" s="22" t="str">
        <f>_xlfn.XLOOKUP(tblRequirementMeasureXref[[#This Row],[msr_id]],tblMeasure[msr_id],tblMeasure[src_name])</f>
        <v>Adult Social Care Activity and Finance Report</v>
      </c>
    </row>
    <row r="24" spans="1:12" x14ac:dyDescent="0.15">
      <c r="A24" s="1" t="str">
        <f>_xlfn.XLOOKUP(tblRequirementMeasureXref[[#This Row],[dm_id]],tblDataRequirement[dm_id],tblDataRequirement[domain_sub_requirement])</f>
        <v>Service:Support type:Long-term</v>
      </c>
      <c r="B24" s="1" t="str">
        <f>_xlfn.XLOOKUP(tblRequirementMeasureXref[[#This Row],[dm_id]],tblDataRequirement[dm_id],tblDataRequirement[dm_phase])</f>
        <v>operate</v>
      </c>
      <c r="C24" s="1">
        <v>45</v>
      </c>
      <c r="D24" s="1">
        <v>9</v>
      </c>
      <c r="G24" s="1"/>
      <c r="H24" s="61" t="str">
        <f>_xlfn.XLOOKUP(tblRequirementMeasureXref[[#This Row],[msr_id]],tblMeasure[msr_id],tblMeasure[msr_table])</f>
        <v>T9</v>
      </c>
      <c r="I24" s="22" t="str">
        <f>_xlfn.XLOOKUP(tblRequirementMeasureXref[[#This Row],[msr_id]],tblMeasure[msr_id],tblMeasure[msr_name])</f>
        <v>Number of requests for support received from new clients, by route of access, age band and what happened next, 2018-19</v>
      </c>
      <c r="J24" s="22" t="str">
        <f>_xlfn.XLOOKUP(tblRequirementMeasureXref[[#This Row],[msr_id]],tblMeasure[msr_id],tblMeasure[primary_dimensions])</f>
        <v>new requests, access route, sequel</v>
      </c>
      <c r="K24" s="22" t="str">
        <f>_xlfn.XLOOKUP(tblRequirementMeasureXref[[#This Row],[msr_id]],tblMeasure[msr_id],tblMeasure[msr_min_geo_resolution])</f>
        <v>England</v>
      </c>
      <c r="L24" s="22" t="str">
        <f>_xlfn.XLOOKUP(tblRequirementMeasureXref[[#This Row],[msr_id]],tblMeasure[msr_id],tblMeasure[src_name])</f>
        <v>Adult Social Care Activity and Finance Report</v>
      </c>
    </row>
    <row r="25" spans="1:12" x14ac:dyDescent="0.15">
      <c r="A25" s="1" t="str">
        <f>_xlfn.XLOOKUP(tblRequirementMeasureXref[[#This Row],[dm_id]],tblDataRequirement[dm_id],tblDataRequirement[domain_sub_requirement])</f>
        <v>Service:Support type:Reablement / ST-MAX</v>
      </c>
      <c r="B25" s="1" t="str">
        <f>_xlfn.XLOOKUP(tblRequirementMeasureXref[[#This Row],[dm_id]],tblDataRequirement[dm_id],tblDataRequirement[dm_phase])</f>
        <v>operate</v>
      </c>
      <c r="C25" s="1">
        <v>46</v>
      </c>
      <c r="D25" s="1">
        <v>9</v>
      </c>
      <c r="G25" s="1"/>
      <c r="H25" s="61" t="str">
        <f>_xlfn.XLOOKUP(tblRequirementMeasureXref[[#This Row],[msr_id]],tblMeasure[msr_id],tblMeasure[msr_table])</f>
        <v>T9</v>
      </c>
      <c r="I25" s="22" t="str">
        <f>_xlfn.XLOOKUP(tblRequirementMeasureXref[[#This Row],[msr_id]],tblMeasure[msr_id],tblMeasure[msr_name])</f>
        <v>Number of requests for support received from new clients, by route of access, age band and what happened next, 2018-19</v>
      </c>
      <c r="J25" s="22" t="str">
        <f>_xlfn.XLOOKUP(tblRequirementMeasureXref[[#This Row],[msr_id]],tblMeasure[msr_id],tblMeasure[primary_dimensions])</f>
        <v>new requests, access route, sequel</v>
      </c>
      <c r="K25" s="22" t="str">
        <f>_xlfn.XLOOKUP(tblRequirementMeasureXref[[#This Row],[msr_id]],tblMeasure[msr_id],tblMeasure[msr_min_geo_resolution])</f>
        <v>England</v>
      </c>
      <c r="L25" s="22" t="str">
        <f>_xlfn.XLOOKUP(tblRequirementMeasureXref[[#This Row],[msr_id]],tblMeasure[msr_id],tblMeasure[src_name])</f>
        <v>Adult Social Care Activity and Finance Report</v>
      </c>
    </row>
    <row r="26" spans="1:12" x14ac:dyDescent="0.15">
      <c r="A26" s="1" t="str">
        <f>_xlfn.XLOOKUP(tblRequirementMeasureXref[[#This Row],[dm_id]],tblDataRequirement[dm_id],tblDataRequirement[domain_sub_requirement])</f>
        <v>Service:Support setting:Residential care home</v>
      </c>
      <c r="B26" s="1" t="str">
        <f>_xlfn.XLOOKUP(tblRequirementMeasureXref[[#This Row],[dm_id]],tblDataRequirement[dm_id],tblDataRequirement[dm_phase])</f>
        <v>operate</v>
      </c>
      <c r="C26" s="1">
        <v>41</v>
      </c>
      <c r="D26" s="1">
        <v>9</v>
      </c>
      <c r="G26" s="1"/>
      <c r="H26" s="61" t="str">
        <f>_xlfn.XLOOKUP(tblRequirementMeasureXref[[#This Row],[msr_id]],tblMeasure[msr_id],tblMeasure[msr_table])</f>
        <v>T9</v>
      </c>
      <c r="I26" s="22" t="str">
        <f>_xlfn.XLOOKUP(tblRequirementMeasureXref[[#This Row],[msr_id]],tblMeasure[msr_id],tblMeasure[msr_name])</f>
        <v>Number of requests for support received from new clients, by route of access, age band and what happened next, 2018-19</v>
      </c>
      <c r="J26" s="22" t="str">
        <f>_xlfn.XLOOKUP(tblRequirementMeasureXref[[#This Row],[msr_id]],tblMeasure[msr_id],tblMeasure[primary_dimensions])</f>
        <v>new requests, access route, sequel</v>
      </c>
      <c r="K26" s="22" t="str">
        <f>_xlfn.XLOOKUP(tblRequirementMeasureXref[[#This Row],[msr_id]],tblMeasure[msr_id],tblMeasure[msr_min_geo_resolution])</f>
        <v>England</v>
      </c>
      <c r="L26" s="22" t="str">
        <f>_xlfn.XLOOKUP(tblRequirementMeasureXref[[#This Row],[msr_id]],tblMeasure[msr_id],tblMeasure[src_name])</f>
        <v>Adult Social Care Activity and Finance Report</v>
      </c>
    </row>
    <row r="27" spans="1:12" x14ac:dyDescent="0.15">
      <c r="A27" s="1" t="str">
        <f>_xlfn.XLOOKUP(tblRequirementMeasureXref[[#This Row],[dm_id]],tblDataRequirement[dm_id],tblDataRequirement[domain_sub_requirement])</f>
        <v>Service:Support setting:Nursing home</v>
      </c>
      <c r="B27" s="1" t="str">
        <f>_xlfn.XLOOKUP(tblRequirementMeasureXref[[#This Row],[dm_id]],tblDataRequirement[dm_id],tblDataRequirement[dm_phase])</f>
        <v>operate</v>
      </c>
      <c r="C27" s="1">
        <v>42</v>
      </c>
      <c r="D27" s="1">
        <v>9</v>
      </c>
      <c r="G27" s="1"/>
      <c r="H27" s="61" t="str">
        <f>_xlfn.XLOOKUP(tblRequirementMeasureXref[[#This Row],[msr_id]],tblMeasure[msr_id],tblMeasure[msr_table])</f>
        <v>T9</v>
      </c>
      <c r="I27" s="22" t="str">
        <f>_xlfn.XLOOKUP(tblRequirementMeasureXref[[#This Row],[msr_id]],tblMeasure[msr_id],tblMeasure[msr_name])</f>
        <v>Number of requests for support received from new clients, by route of access, age band and what happened next, 2018-19</v>
      </c>
      <c r="J27" s="22" t="str">
        <f>_xlfn.XLOOKUP(tblRequirementMeasureXref[[#This Row],[msr_id]],tblMeasure[msr_id],tblMeasure[primary_dimensions])</f>
        <v>new requests, access route, sequel</v>
      </c>
      <c r="K27" s="22" t="str">
        <f>_xlfn.XLOOKUP(tblRequirementMeasureXref[[#This Row],[msr_id]],tblMeasure[msr_id],tblMeasure[msr_min_geo_resolution])</f>
        <v>England</v>
      </c>
      <c r="L27" s="22" t="str">
        <f>_xlfn.XLOOKUP(tblRequirementMeasureXref[[#This Row],[msr_id]],tblMeasure[msr_id],tblMeasure[src_name])</f>
        <v>Adult Social Care Activity and Finance Report</v>
      </c>
    </row>
    <row r="28" spans="1:12" x14ac:dyDescent="0.15">
      <c r="A28" s="1" t="str">
        <f>_xlfn.XLOOKUP(tblRequirementMeasureXref[[#This Row],[dm_id]],tblDataRequirement[dm_id],tblDataRequirement[domain_sub_requirement])</f>
        <v>Service:Support setting:Community</v>
      </c>
      <c r="B28" s="1" t="str">
        <f>_xlfn.XLOOKUP(tblRequirementMeasureXref[[#This Row],[dm_id]],tblDataRequirement[dm_id],tblDataRequirement[dm_phase])</f>
        <v>operate</v>
      </c>
      <c r="C28" s="1">
        <v>43</v>
      </c>
      <c r="D28" s="1">
        <v>9</v>
      </c>
      <c r="G28" s="1"/>
      <c r="H28" s="61" t="str">
        <f>_xlfn.XLOOKUP(tblRequirementMeasureXref[[#This Row],[msr_id]],tblMeasure[msr_id],tblMeasure[msr_table])</f>
        <v>T9</v>
      </c>
      <c r="I28" s="22" t="str">
        <f>_xlfn.XLOOKUP(tblRequirementMeasureXref[[#This Row],[msr_id]],tblMeasure[msr_id],tblMeasure[msr_name])</f>
        <v>Number of requests for support received from new clients, by route of access, age band and what happened next, 2018-19</v>
      </c>
      <c r="J28" s="22" t="str">
        <f>_xlfn.XLOOKUP(tblRequirementMeasureXref[[#This Row],[msr_id]],tblMeasure[msr_id],tblMeasure[primary_dimensions])</f>
        <v>new requests, access route, sequel</v>
      </c>
      <c r="K28" s="22" t="str">
        <f>_xlfn.XLOOKUP(tblRequirementMeasureXref[[#This Row],[msr_id]],tblMeasure[msr_id],tblMeasure[msr_min_geo_resolution])</f>
        <v>England</v>
      </c>
      <c r="L28" s="22" t="str">
        <f>_xlfn.XLOOKUP(tblRequirementMeasureXref[[#This Row],[msr_id]],tblMeasure[msr_id],tblMeasure[src_name])</f>
        <v>Adult Social Care Activity and Finance Report</v>
      </c>
    </row>
    <row r="29" spans="1:12" x14ac:dyDescent="0.15">
      <c r="A29" s="1" t="str">
        <f>_xlfn.XLOOKUP(tblRequirementMeasureXref[[#This Row],[dm_id]],tblDataRequirement[dm_id],tblDataRequirement[domain_sub_requirement])</f>
        <v>Service:Access:Eligible for local authority funded care</v>
      </c>
      <c r="B29" s="1" t="str">
        <f>_xlfn.XLOOKUP(tblRequirementMeasureXref[[#This Row],[dm_id]],tblDataRequirement[dm_id],tblDataRequirement[dm_phase])</f>
        <v>demand</v>
      </c>
      <c r="C29" s="1">
        <v>28</v>
      </c>
      <c r="D29" s="1">
        <v>9</v>
      </c>
      <c r="G29" s="1"/>
      <c r="H29" s="61" t="str">
        <f>_xlfn.XLOOKUP(tblRequirementMeasureXref[[#This Row],[msr_id]],tblMeasure[msr_id],tblMeasure[msr_table])</f>
        <v>T9</v>
      </c>
      <c r="I29" s="22" t="str">
        <f>_xlfn.XLOOKUP(tblRequirementMeasureXref[[#This Row],[msr_id]],tblMeasure[msr_id],tblMeasure[msr_name])</f>
        <v>Number of requests for support received from new clients, by route of access, age band and what happened next, 2018-19</v>
      </c>
      <c r="J29" s="22" t="str">
        <f>_xlfn.XLOOKUP(tblRequirementMeasureXref[[#This Row],[msr_id]],tblMeasure[msr_id],tblMeasure[primary_dimensions])</f>
        <v>new requests, access route, sequel</v>
      </c>
      <c r="K29" s="22" t="str">
        <f>_xlfn.XLOOKUP(tblRequirementMeasureXref[[#This Row],[msr_id]],tblMeasure[msr_id],tblMeasure[msr_min_geo_resolution])</f>
        <v>England</v>
      </c>
      <c r="L29" s="22" t="str">
        <f>_xlfn.XLOOKUP(tblRequirementMeasureXref[[#This Row],[msr_id]],tblMeasure[msr_id],tblMeasure[src_name])</f>
        <v>Adult Social Care Activity and Finance Report</v>
      </c>
    </row>
    <row r="30" spans="1:12" x14ac:dyDescent="0.15">
      <c r="A30" s="1" t="str">
        <f>_xlfn.XLOOKUP(tblRequirementMeasureXref[[#This Row],[dm_id]],tblDataRequirement[dm_id],tblDataRequirement[domain_sub_requirement])</f>
        <v>Service:Access:Eligible for NHS-funded care</v>
      </c>
      <c r="B30" s="1" t="str">
        <f>_xlfn.XLOOKUP(tblRequirementMeasureXref[[#This Row],[dm_id]],tblDataRequirement[dm_id],tblDataRequirement[dm_phase])</f>
        <v>demand</v>
      </c>
      <c r="C30" s="1">
        <v>30</v>
      </c>
      <c r="D30" s="1">
        <v>9</v>
      </c>
      <c r="G30" s="1"/>
      <c r="H30" s="61" t="str">
        <f>_xlfn.XLOOKUP(tblRequirementMeasureXref[[#This Row],[msr_id]],tblMeasure[msr_id],tblMeasure[msr_table])</f>
        <v>T9</v>
      </c>
      <c r="I30" s="22" t="str">
        <f>_xlfn.XLOOKUP(tblRequirementMeasureXref[[#This Row],[msr_id]],tblMeasure[msr_id],tblMeasure[msr_name])</f>
        <v>Number of requests for support received from new clients, by route of access, age band and what happened next, 2018-19</v>
      </c>
      <c r="J30" s="22" t="str">
        <f>_xlfn.XLOOKUP(tblRequirementMeasureXref[[#This Row],[msr_id]],tblMeasure[msr_id],tblMeasure[primary_dimensions])</f>
        <v>new requests, access route, sequel</v>
      </c>
      <c r="K30" s="22" t="str">
        <f>_xlfn.XLOOKUP(tblRequirementMeasureXref[[#This Row],[msr_id]],tblMeasure[msr_id],tblMeasure[msr_min_geo_resolution])</f>
        <v>England</v>
      </c>
      <c r="L30" s="22" t="str">
        <f>_xlfn.XLOOKUP(tblRequirementMeasureXref[[#This Row],[msr_id]],tblMeasure[msr_id],tblMeasure[src_name])</f>
        <v>Adult Social Care Activity and Finance Report</v>
      </c>
    </row>
    <row r="31" spans="1:12" x14ac:dyDescent="0.15">
      <c r="A31" s="1" t="str">
        <f>_xlfn.XLOOKUP(tblRequirementMeasureXref[[#This Row],[dm_id]],tblDataRequirement[dm_id],tblDataRequirement[domain_sub_requirement])</f>
        <v>Service:Access:Not eligible for local authority funded care</v>
      </c>
      <c r="B31" s="1" t="str">
        <f>_xlfn.XLOOKUP(tblRequirementMeasureXref[[#This Row],[dm_id]],tblDataRequirement[dm_id],tblDataRequirement[dm_phase])</f>
        <v>demand</v>
      </c>
      <c r="C31" s="1">
        <v>57</v>
      </c>
      <c r="D31" s="1">
        <v>9</v>
      </c>
      <c r="G31" s="1"/>
      <c r="H31" s="61" t="str">
        <f>_xlfn.XLOOKUP(tblRequirementMeasureXref[[#This Row],[msr_id]],tblMeasure[msr_id],tblMeasure[msr_table])</f>
        <v>T9</v>
      </c>
      <c r="I31" s="22" t="str">
        <f>_xlfn.XLOOKUP(tblRequirementMeasureXref[[#This Row],[msr_id]],tblMeasure[msr_id],tblMeasure[msr_name])</f>
        <v>Number of requests for support received from new clients, by route of access, age band and what happened next, 2018-19</v>
      </c>
      <c r="J31" s="22" t="str">
        <f>_xlfn.XLOOKUP(tblRequirementMeasureXref[[#This Row],[msr_id]],tblMeasure[msr_id],tblMeasure[primary_dimensions])</f>
        <v>new requests, access route, sequel</v>
      </c>
      <c r="K31" s="22" t="str">
        <f>_xlfn.XLOOKUP(tblRequirementMeasureXref[[#This Row],[msr_id]],tblMeasure[msr_id],tblMeasure[msr_min_geo_resolution])</f>
        <v>England</v>
      </c>
      <c r="L31" s="22" t="str">
        <f>_xlfn.XLOOKUP(tblRequirementMeasureXref[[#This Row],[msr_id]],tblMeasure[msr_id],tblMeasure[src_name])</f>
        <v>Adult Social Care Activity and Finance Report</v>
      </c>
    </row>
    <row r="32" spans="1:12" x14ac:dyDescent="0.15">
      <c r="A32" s="1" t="str">
        <f>_xlfn.XLOOKUP(tblRequirementMeasureXref[[#This Row],[dm_id]],tblDataRequirement[dm_id],tblDataRequirement[domain_sub_requirement])</f>
        <v>Users:Demographics:Age</v>
      </c>
      <c r="B32" s="1" t="str">
        <f>_xlfn.XLOOKUP(tblRequirementMeasureXref[[#This Row],[dm_id]],tblDataRequirement[dm_id],tblDataRequirement[dm_phase])</f>
        <v>demand</v>
      </c>
      <c r="C32" s="1">
        <v>51</v>
      </c>
      <c r="D32" s="1">
        <v>10</v>
      </c>
      <c r="G32" s="1"/>
      <c r="H32" s="61" t="str">
        <f>_xlfn.XLOOKUP(tblRequirementMeasureXref[[#This Row],[msr_id]],tblMeasure[msr_id],tblMeasure[msr_table])</f>
        <v>T10</v>
      </c>
      <c r="I32" s="22" t="str">
        <f>_xlfn.XLOOKUP(tblRequirementMeasureXref[[#This Row],[msr_id]],tblMeasure[msr_id],tblMeasure[msr_name])</f>
        <v>Number of requests for support received from new clients aged 18 to 64, by what happened next, 2018-19</v>
      </c>
      <c r="J32" s="22" t="str">
        <f>_xlfn.XLOOKUP(tblRequirementMeasureXref[[#This Row],[msr_id]],tblMeasure[msr_id],tblMeasure[primary_dimensions])</f>
        <v>new requests, sequel</v>
      </c>
      <c r="K32" s="22" t="str">
        <f>_xlfn.XLOOKUP(tblRequirementMeasureXref[[#This Row],[msr_id]],tblMeasure[msr_id],tblMeasure[msr_min_geo_resolution])</f>
        <v>LA</v>
      </c>
      <c r="L32" s="22" t="str">
        <f>_xlfn.XLOOKUP(tblRequirementMeasureXref[[#This Row],[msr_id]],tblMeasure[msr_id],tblMeasure[src_name])</f>
        <v>Adult Social Care Activity and Finance Report</v>
      </c>
    </row>
    <row r="33" spans="1:12" x14ac:dyDescent="0.15">
      <c r="A33" s="1" t="str">
        <f>_xlfn.XLOOKUP(tblRequirementMeasureXref[[#This Row],[dm_id]],tblDataRequirement[dm_id],tblDataRequirement[domain_sub_requirement])</f>
        <v>Service:Access:Requests for local authority-funded care</v>
      </c>
      <c r="B33" s="1" t="str">
        <f>_xlfn.XLOOKUP(tblRequirementMeasureXref[[#This Row],[dm_id]],tblDataRequirement[dm_id],tblDataRequirement[dm_phase])</f>
        <v>demand</v>
      </c>
      <c r="C33" s="1">
        <v>27</v>
      </c>
      <c r="D33" s="1">
        <v>10</v>
      </c>
      <c r="G33" s="1"/>
      <c r="H33" s="61" t="str">
        <f>_xlfn.XLOOKUP(tblRequirementMeasureXref[[#This Row],[msr_id]],tblMeasure[msr_id],tblMeasure[msr_table])</f>
        <v>T10</v>
      </c>
      <c r="I33" s="22" t="str">
        <f>_xlfn.XLOOKUP(tblRequirementMeasureXref[[#This Row],[msr_id]],tblMeasure[msr_id],tblMeasure[msr_name])</f>
        <v>Number of requests for support received from new clients aged 18 to 64, by what happened next, 2018-19</v>
      </c>
      <c r="J33" s="22" t="str">
        <f>_xlfn.XLOOKUP(tblRequirementMeasureXref[[#This Row],[msr_id]],tblMeasure[msr_id],tblMeasure[primary_dimensions])</f>
        <v>new requests, sequel</v>
      </c>
      <c r="K33" s="22" t="str">
        <f>_xlfn.XLOOKUP(tblRequirementMeasureXref[[#This Row],[msr_id]],tblMeasure[msr_id],tblMeasure[msr_min_geo_resolution])</f>
        <v>LA</v>
      </c>
      <c r="L33" s="22" t="str">
        <f>_xlfn.XLOOKUP(tblRequirementMeasureXref[[#This Row],[msr_id]],tblMeasure[msr_id],tblMeasure[src_name])</f>
        <v>Adult Social Care Activity and Finance Report</v>
      </c>
    </row>
    <row r="34" spans="1:12" x14ac:dyDescent="0.15">
      <c r="A34" s="1" t="str">
        <f>_xlfn.XLOOKUP(tblRequirementMeasureXref[[#This Row],[dm_id]],tblDataRequirement[dm_id],tblDataRequirement[domain_sub_requirement])</f>
        <v>Service:Access:Eligible for local authority funded care</v>
      </c>
      <c r="B34" s="1" t="str">
        <f>_xlfn.XLOOKUP(tblRequirementMeasureXref[[#This Row],[dm_id]],tblDataRequirement[dm_id],tblDataRequirement[dm_phase])</f>
        <v>demand</v>
      </c>
      <c r="C34" s="1">
        <v>28</v>
      </c>
      <c r="D34" s="1">
        <v>10</v>
      </c>
      <c r="G34" s="1"/>
      <c r="H34" s="61" t="str">
        <f>_xlfn.XLOOKUP(tblRequirementMeasureXref[[#This Row],[msr_id]],tblMeasure[msr_id],tblMeasure[msr_table])</f>
        <v>T10</v>
      </c>
      <c r="I34" s="22" t="str">
        <f>_xlfn.XLOOKUP(tblRequirementMeasureXref[[#This Row],[msr_id]],tblMeasure[msr_id],tblMeasure[msr_name])</f>
        <v>Number of requests for support received from new clients aged 18 to 64, by what happened next, 2018-19</v>
      </c>
      <c r="J34" s="22" t="str">
        <f>_xlfn.XLOOKUP(tblRequirementMeasureXref[[#This Row],[msr_id]],tblMeasure[msr_id],tblMeasure[primary_dimensions])</f>
        <v>new requests, sequel</v>
      </c>
      <c r="K34" s="22" t="str">
        <f>_xlfn.XLOOKUP(tblRequirementMeasureXref[[#This Row],[msr_id]],tblMeasure[msr_id],tblMeasure[msr_min_geo_resolution])</f>
        <v>LA</v>
      </c>
      <c r="L34" s="22" t="str">
        <f>_xlfn.XLOOKUP(tblRequirementMeasureXref[[#This Row],[msr_id]],tblMeasure[msr_id],tblMeasure[src_name])</f>
        <v>Adult Social Care Activity and Finance Report</v>
      </c>
    </row>
    <row r="35" spans="1:12" x14ac:dyDescent="0.15">
      <c r="A35" s="1" t="str">
        <f>_xlfn.XLOOKUP(tblRequirementMeasureXref[[#This Row],[dm_id]],tblDataRequirement[dm_id],tblDataRequirement[domain_sub_requirement])</f>
        <v>Service:Access:Not eligible for local authority funded care</v>
      </c>
      <c r="B35" s="1" t="str">
        <f>_xlfn.XLOOKUP(tblRequirementMeasureXref[[#This Row],[dm_id]],tblDataRequirement[dm_id],tblDataRequirement[dm_phase])</f>
        <v>demand</v>
      </c>
      <c r="C35" s="1">
        <v>57</v>
      </c>
      <c r="D35" s="1">
        <v>10</v>
      </c>
      <c r="G35" s="1"/>
      <c r="H35" s="61" t="str">
        <f>_xlfn.XLOOKUP(tblRequirementMeasureXref[[#This Row],[msr_id]],tblMeasure[msr_id],tblMeasure[msr_table])</f>
        <v>T10</v>
      </c>
      <c r="I35" s="22" t="str">
        <f>_xlfn.XLOOKUP(tblRequirementMeasureXref[[#This Row],[msr_id]],tblMeasure[msr_id],tblMeasure[msr_name])</f>
        <v>Number of requests for support received from new clients aged 18 to 64, by what happened next, 2018-19</v>
      </c>
      <c r="J35" s="22" t="str">
        <f>_xlfn.XLOOKUP(tblRequirementMeasureXref[[#This Row],[msr_id]],tblMeasure[msr_id],tblMeasure[primary_dimensions])</f>
        <v>new requests, sequel</v>
      </c>
      <c r="K35" s="22" t="str">
        <f>_xlfn.XLOOKUP(tblRequirementMeasureXref[[#This Row],[msr_id]],tblMeasure[msr_id],tblMeasure[msr_min_geo_resolution])</f>
        <v>LA</v>
      </c>
      <c r="L35" s="22" t="str">
        <f>_xlfn.XLOOKUP(tblRequirementMeasureXref[[#This Row],[msr_id]],tblMeasure[msr_id],tblMeasure[src_name])</f>
        <v>Adult Social Care Activity and Finance Report</v>
      </c>
    </row>
    <row r="36" spans="1:12" x14ac:dyDescent="0.15">
      <c r="A36" s="1" t="str">
        <f>_xlfn.XLOOKUP(tblRequirementMeasureXref[[#This Row],[dm_id]],tblDataRequirement[dm_id],tblDataRequirement[domain_sub_requirement])</f>
        <v>Service:Support type:Short-term</v>
      </c>
      <c r="B36" s="1" t="str">
        <f>_xlfn.XLOOKUP(tblRequirementMeasureXref[[#This Row],[dm_id]],tblDataRequirement[dm_id],tblDataRequirement[dm_phase])</f>
        <v>operate</v>
      </c>
      <c r="C36" s="1">
        <v>44</v>
      </c>
      <c r="D36" s="1">
        <v>10</v>
      </c>
      <c r="G36" s="1"/>
      <c r="H36" s="61" t="str">
        <f>_xlfn.XLOOKUP(tblRequirementMeasureXref[[#This Row],[msr_id]],tblMeasure[msr_id],tblMeasure[msr_table])</f>
        <v>T10</v>
      </c>
      <c r="I36" s="22" t="str">
        <f>_xlfn.XLOOKUP(tblRequirementMeasureXref[[#This Row],[msr_id]],tblMeasure[msr_id],tblMeasure[msr_name])</f>
        <v>Number of requests for support received from new clients aged 18 to 64, by what happened next, 2018-19</v>
      </c>
      <c r="J36" s="22" t="str">
        <f>_xlfn.XLOOKUP(tblRequirementMeasureXref[[#This Row],[msr_id]],tblMeasure[msr_id],tblMeasure[primary_dimensions])</f>
        <v>new requests, sequel</v>
      </c>
      <c r="K36" s="22" t="str">
        <f>_xlfn.XLOOKUP(tblRequirementMeasureXref[[#This Row],[msr_id]],tblMeasure[msr_id],tblMeasure[msr_min_geo_resolution])</f>
        <v>LA</v>
      </c>
      <c r="L36" s="22" t="str">
        <f>_xlfn.XLOOKUP(tblRequirementMeasureXref[[#This Row],[msr_id]],tblMeasure[msr_id],tblMeasure[src_name])</f>
        <v>Adult Social Care Activity and Finance Report</v>
      </c>
    </row>
    <row r="37" spans="1:12" x14ac:dyDescent="0.15">
      <c r="A37" s="1" t="str">
        <f>_xlfn.XLOOKUP(tblRequirementMeasureXref[[#This Row],[dm_id]],tblDataRequirement[dm_id],tblDataRequirement[domain_sub_requirement])</f>
        <v>Service:Support type:Long-term</v>
      </c>
      <c r="B37" s="1" t="str">
        <f>_xlfn.XLOOKUP(tblRequirementMeasureXref[[#This Row],[dm_id]],tblDataRequirement[dm_id],tblDataRequirement[dm_phase])</f>
        <v>operate</v>
      </c>
      <c r="C37" s="1">
        <v>45</v>
      </c>
      <c r="D37" s="1">
        <v>10</v>
      </c>
      <c r="G37" s="1"/>
      <c r="H37" s="61" t="str">
        <f>_xlfn.XLOOKUP(tblRequirementMeasureXref[[#This Row],[msr_id]],tblMeasure[msr_id],tblMeasure[msr_table])</f>
        <v>T10</v>
      </c>
      <c r="I37" s="22" t="str">
        <f>_xlfn.XLOOKUP(tblRequirementMeasureXref[[#This Row],[msr_id]],tblMeasure[msr_id],tblMeasure[msr_name])</f>
        <v>Number of requests for support received from new clients aged 18 to 64, by what happened next, 2018-19</v>
      </c>
      <c r="J37" s="22" t="str">
        <f>_xlfn.XLOOKUP(tblRequirementMeasureXref[[#This Row],[msr_id]],tblMeasure[msr_id],tblMeasure[primary_dimensions])</f>
        <v>new requests, sequel</v>
      </c>
      <c r="K37" s="22" t="str">
        <f>_xlfn.XLOOKUP(tblRequirementMeasureXref[[#This Row],[msr_id]],tblMeasure[msr_id],tblMeasure[msr_min_geo_resolution])</f>
        <v>LA</v>
      </c>
      <c r="L37" s="22" t="str">
        <f>_xlfn.XLOOKUP(tblRequirementMeasureXref[[#This Row],[msr_id]],tblMeasure[msr_id],tblMeasure[src_name])</f>
        <v>Adult Social Care Activity and Finance Report</v>
      </c>
    </row>
    <row r="38" spans="1:12" x14ac:dyDescent="0.15">
      <c r="A38" s="1" t="str">
        <f>_xlfn.XLOOKUP(tblRequirementMeasureXref[[#This Row],[dm_id]],tblDataRequirement[dm_id],tblDataRequirement[domain_sub_requirement])</f>
        <v>Service:Support type:Reablement / ST-MAX</v>
      </c>
      <c r="B38" s="1" t="str">
        <f>_xlfn.XLOOKUP(tblRequirementMeasureXref[[#This Row],[dm_id]],tblDataRequirement[dm_id],tblDataRequirement[dm_phase])</f>
        <v>operate</v>
      </c>
      <c r="C38" s="1">
        <v>46</v>
      </c>
      <c r="D38" s="1">
        <v>10</v>
      </c>
      <c r="G38" s="1"/>
      <c r="H38" s="61" t="str">
        <f>_xlfn.XLOOKUP(tblRequirementMeasureXref[[#This Row],[msr_id]],tblMeasure[msr_id],tblMeasure[msr_table])</f>
        <v>T10</v>
      </c>
      <c r="I38" s="22" t="str">
        <f>_xlfn.XLOOKUP(tblRequirementMeasureXref[[#This Row],[msr_id]],tblMeasure[msr_id],tblMeasure[msr_name])</f>
        <v>Number of requests for support received from new clients aged 18 to 64, by what happened next, 2018-19</v>
      </c>
      <c r="J38" s="22" t="str">
        <f>_xlfn.XLOOKUP(tblRequirementMeasureXref[[#This Row],[msr_id]],tblMeasure[msr_id],tblMeasure[primary_dimensions])</f>
        <v>new requests, sequel</v>
      </c>
      <c r="K38" s="22" t="str">
        <f>_xlfn.XLOOKUP(tblRequirementMeasureXref[[#This Row],[msr_id]],tblMeasure[msr_id],tblMeasure[msr_min_geo_resolution])</f>
        <v>LA</v>
      </c>
      <c r="L38" s="22" t="str">
        <f>_xlfn.XLOOKUP(tblRequirementMeasureXref[[#This Row],[msr_id]],tblMeasure[msr_id],tblMeasure[src_name])</f>
        <v>Adult Social Care Activity and Finance Report</v>
      </c>
    </row>
    <row r="39" spans="1:12" x14ac:dyDescent="0.15">
      <c r="A39" s="1" t="str">
        <f>_xlfn.XLOOKUP(tblRequirementMeasureXref[[#This Row],[dm_id]],tblDataRequirement[dm_id],tblDataRequirement[domain_sub_requirement])</f>
        <v>Service:Support setting:Residential care home</v>
      </c>
      <c r="B39" s="1" t="str">
        <f>_xlfn.XLOOKUP(tblRequirementMeasureXref[[#This Row],[dm_id]],tblDataRequirement[dm_id],tblDataRequirement[dm_phase])</f>
        <v>operate</v>
      </c>
      <c r="C39" s="1">
        <v>41</v>
      </c>
      <c r="D39" s="1">
        <v>10</v>
      </c>
      <c r="G39" s="1"/>
      <c r="H39" s="61" t="str">
        <f>_xlfn.XLOOKUP(tblRequirementMeasureXref[[#This Row],[msr_id]],tblMeasure[msr_id],tblMeasure[msr_table])</f>
        <v>T10</v>
      </c>
      <c r="I39" s="22" t="str">
        <f>_xlfn.XLOOKUP(tblRequirementMeasureXref[[#This Row],[msr_id]],tblMeasure[msr_id],tblMeasure[msr_name])</f>
        <v>Number of requests for support received from new clients aged 18 to 64, by what happened next, 2018-19</v>
      </c>
      <c r="J39" s="22" t="str">
        <f>_xlfn.XLOOKUP(tblRequirementMeasureXref[[#This Row],[msr_id]],tblMeasure[msr_id],tblMeasure[primary_dimensions])</f>
        <v>new requests, sequel</v>
      </c>
      <c r="K39" s="22" t="str">
        <f>_xlfn.XLOOKUP(tblRequirementMeasureXref[[#This Row],[msr_id]],tblMeasure[msr_id],tblMeasure[msr_min_geo_resolution])</f>
        <v>LA</v>
      </c>
      <c r="L39" s="22" t="str">
        <f>_xlfn.XLOOKUP(tblRequirementMeasureXref[[#This Row],[msr_id]],tblMeasure[msr_id],tblMeasure[src_name])</f>
        <v>Adult Social Care Activity and Finance Report</v>
      </c>
    </row>
    <row r="40" spans="1:12" x14ac:dyDescent="0.15">
      <c r="A40" s="1" t="str">
        <f>_xlfn.XLOOKUP(tblRequirementMeasureXref[[#This Row],[dm_id]],tblDataRequirement[dm_id],tblDataRequirement[domain_sub_requirement])</f>
        <v>Service:Support setting:Nursing home</v>
      </c>
      <c r="B40" s="1" t="str">
        <f>_xlfn.XLOOKUP(tblRequirementMeasureXref[[#This Row],[dm_id]],tblDataRequirement[dm_id],tblDataRequirement[dm_phase])</f>
        <v>operate</v>
      </c>
      <c r="C40" s="1">
        <v>42</v>
      </c>
      <c r="D40" s="1">
        <v>10</v>
      </c>
      <c r="G40" s="1"/>
      <c r="H40" s="61" t="str">
        <f>_xlfn.XLOOKUP(tblRequirementMeasureXref[[#This Row],[msr_id]],tblMeasure[msr_id],tblMeasure[msr_table])</f>
        <v>T10</v>
      </c>
      <c r="I40" s="22" t="str">
        <f>_xlfn.XLOOKUP(tblRequirementMeasureXref[[#This Row],[msr_id]],tblMeasure[msr_id],tblMeasure[msr_name])</f>
        <v>Number of requests for support received from new clients aged 18 to 64, by what happened next, 2018-19</v>
      </c>
      <c r="J40" s="22" t="str">
        <f>_xlfn.XLOOKUP(tblRequirementMeasureXref[[#This Row],[msr_id]],tblMeasure[msr_id],tblMeasure[primary_dimensions])</f>
        <v>new requests, sequel</v>
      </c>
      <c r="K40" s="22" t="str">
        <f>_xlfn.XLOOKUP(tblRequirementMeasureXref[[#This Row],[msr_id]],tblMeasure[msr_id],tblMeasure[msr_min_geo_resolution])</f>
        <v>LA</v>
      </c>
      <c r="L40" s="22" t="str">
        <f>_xlfn.XLOOKUP(tblRequirementMeasureXref[[#This Row],[msr_id]],tblMeasure[msr_id],tblMeasure[src_name])</f>
        <v>Adult Social Care Activity and Finance Report</v>
      </c>
    </row>
    <row r="41" spans="1:12" x14ac:dyDescent="0.15">
      <c r="A41" s="1" t="str">
        <f>_xlfn.XLOOKUP(tblRequirementMeasureXref[[#This Row],[dm_id]],tblDataRequirement[dm_id],tblDataRequirement[domain_sub_requirement])</f>
        <v>Service:Support setting:Community</v>
      </c>
      <c r="B41" s="1" t="str">
        <f>_xlfn.XLOOKUP(tblRequirementMeasureXref[[#This Row],[dm_id]],tblDataRequirement[dm_id],tblDataRequirement[dm_phase])</f>
        <v>operate</v>
      </c>
      <c r="C41" s="1">
        <v>43</v>
      </c>
      <c r="D41" s="1">
        <v>10</v>
      </c>
      <c r="G41" s="1"/>
      <c r="H41" s="61" t="str">
        <f>_xlfn.XLOOKUP(tblRequirementMeasureXref[[#This Row],[msr_id]],tblMeasure[msr_id],tblMeasure[msr_table])</f>
        <v>T10</v>
      </c>
      <c r="I41" s="22" t="str">
        <f>_xlfn.XLOOKUP(tblRequirementMeasureXref[[#This Row],[msr_id]],tblMeasure[msr_id],tblMeasure[msr_name])</f>
        <v>Number of requests for support received from new clients aged 18 to 64, by what happened next, 2018-19</v>
      </c>
      <c r="J41" s="22" t="str">
        <f>_xlfn.XLOOKUP(tblRequirementMeasureXref[[#This Row],[msr_id]],tblMeasure[msr_id],tblMeasure[primary_dimensions])</f>
        <v>new requests, sequel</v>
      </c>
      <c r="K41" s="22" t="str">
        <f>_xlfn.XLOOKUP(tblRequirementMeasureXref[[#This Row],[msr_id]],tblMeasure[msr_id],tblMeasure[msr_min_geo_resolution])</f>
        <v>LA</v>
      </c>
      <c r="L41" s="22" t="str">
        <f>_xlfn.XLOOKUP(tblRequirementMeasureXref[[#This Row],[msr_id]],tblMeasure[msr_id],tblMeasure[src_name])</f>
        <v>Adult Social Care Activity and Finance Report</v>
      </c>
    </row>
    <row r="42" spans="1:12" x14ac:dyDescent="0.15">
      <c r="A42" s="1" t="str">
        <f>_xlfn.XLOOKUP(tblRequirementMeasureXref[[#This Row],[dm_id]],tblDataRequirement[dm_id],tblDataRequirement[domain_sub_requirement])</f>
        <v>Service:Access:Eligible for NHS-funded care</v>
      </c>
      <c r="B42" s="1" t="str">
        <f>_xlfn.XLOOKUP(tblRequirementMeasureXref[[#This Row],[dm_id]],tblDataRequirement[dm_id],tblDataRequirement[dm_phase])</f>
        <v>demand</v>
      </c>
      <c r="C42" s="1">
        <v>30</v>
      </c>
      <c r="D42" s="1">
        <v>10</v>
      </c>
      <c r="G42" s="1"/>
      <c r="H42" s="61" t="str">
        <f>_xlfn.XLOOKUP(tblRequirementMeasureXref[[#This Row],[msr_id]],tblMeasure[msr_id],tblMeasure[msr_table])</f>
        <v>T10</v>
      </c>
      <c r="I42" s="22" t="str">
        <f>_xlfn.XLOOKUP(tblRequirementMeasureXref[[#This Row],[msr_id]],tblMeasure[msr_id],tblMeasure[msr_name])</f>
        <v>Number of requests for support received from new clients aged 18 to 64, by what happened next, 2018-19</v>
      </c>
      <c r="J42" s="22" t="str">
        <f>_xlfn.XLOOKUP(tblRequirementMeasureXref[[#This Row],[msr_id]],tblMeasure[msr_id],tblMeasure[primary_dimensions])</f>
        <v>new requests, sequel</v>
      </c>
      <c r="K42" s="22" t="str">
        <f>_xlfn.XLOOKUP(tblRequirementMeasureXref[[#This Row],[msr_id]],tblMeasure[msr_id],tblMeasure[msr_min_geo_resolution])</f>
        <v>LA</v>
      </c>
      <c r="L42" s="22" t="str">
        <f>_xlfn.XLOOKUP(tblRequirementMeasureXref[[#This Row],[msr_id]],tblMeasure[msr_id],tblMeasure[src_name])</f>
        <v>Adult Social Care Activity and Finance Report</v>
      </c>
    </row>
    <row r="43" spans="1:12" x14ac:dyDescent="0.15">
      <c r="A43" s="1" t="str">
        <f>_xlfn.XLOOKUP(tblRequirementMeasureXref[[#This Row],[dm_id]],tblDataRequirement[dm_id],tblDataRequirement[domain_sub_requirement])</f>
        <v>Users:Demographics:Age</v>
      </c>
      <c r="B43" s="1" t="str">
        <f>_xlfn.XLOOKUP(tblRequirementMeasureXref[[#This Row],[dm_id]],tblDataRequirement[dm_id],tblDataRequirement[dm_phase])</f>
        <v>demand</v>
      </c>
      <c r="C43" s="1">
        <v>51</v>
      </c>
      <c r="D43" s="1">
        <v>11</v>
      </c>
      <c r="G43" s="1"/>
      <c r="H43" s="61" t="str">
        <f>_xlfn.XLOOKUP(tblRequirementMeasureXref[[#This Row],[msr_id]],tblMeasure[msr_id],tblMeasure[msr_table])</f>
        <v>T11</v>
      </c>
      <c r="I43" s="22" t="str">
        <f>_xlfn.XLOOKUP(tblRequirementMeasureXref[[#This Row],[msr_id]],tblMeasure[msr_id],tblMeasure[msr_name])</f>
        <v>Number of requests for support received from new clients aged 65 and over, by what happened next, 2018-19</v>
      </c>
      <c r="J43" s="22" t="str">
        <f>_xlfn.XLOOKUP(tblRequirementMeasureXref[[#This Row],[msr_id]],tblMeasure[msr_id],tblMeasure[primary_dimensions])</f>
        <v>new requests, sequel</v>
      </c>
      <c r="K43" s="22" t="str">
        <f>_xlfn.XLOOKUP(tblRequirementMeasureXref[[#This Row],[msr_id]],tblMeasure[msr_id],tblMeasure[msr_min_geo_resolution])</f>
        <v>LA</v>
      </c>
      <c r="L43" s="22" t="str">
        <f>_xlfn.XLOOKUP(tblRequirementMeasureXref[[#This Row],[msr_id]],tblMeasure[msr_id],tblMeasure[src_name])</f>
        <v>Adult Social Care Activity and Finance Report</v>
      </c>
    </row>
    <row r="44" spans="1:12" x14ac:dyDescent="0.15">
      <c r="A44" s="1" t="str">
        <f>_xlfn.XLOOKUP(tblRequirementMeasureXref[[#This Row],[dm_id]],tblDataRequirement[dm_id],tblDataRequirement[domain_sub_requirement])</f>
        <v>Service:Access:Requests for local authority-funded care</v>
      </c>
      <c r="B44" s="1" t="str">
        <f>_xlfn.XLOOKUP(tblRequirementMeasureXref[[#This Row],[dm_id]],tblDataRequirement[dm_id],tblDataRequirement[dm_phase])</f>
        <v>demand</v>
      </c>
      <c r="C44" s="1">
        <v>27</v>
      </c>
      <c r="D44" s="1">
        <v>11</v>
      </c>
      <c r="G44" s="1"/>
      <c r="H44" s="61" t="str">
        <f>_xlfn.XLOOKUP(tblRequirementMeasureXref[[#This Row],[msr_id]],tblMeasure[msr_id],tblMeasure[msr_table])</f>
        <v>T11</v>
      </c>
      <c r="I44" s="22" t="str">
        <f>_xlfn.XLOOKUP(tblRequirementMeasureXref[[#This Row],[msr_id]],tblMeasure[msr_id],tblMeasure[msr_name])</f>
        <v>Number of requests for support received from new clients aged 65 and over, by what happened next, 2018-19</v>
      </c>
      <c r="J44" s="22" t="str">
        <f>_xlfn.XLOOKUP(tblRequirementMeasureXref[[#This Row],[msr_id]],tblMeasure[msr_id],tblMeasure[primary_dimensions])</f>
        <v>new requests, sequel</v>
      </c>
      <c r="K44" s="22" t="str">
        <f>_xlfn.XLOOKUP(tblRequirementMeasureXref[[#This Row],[msr_id]],tblMeasure[msr_id],tblMeasure[msr_min_geo_resolution])</f>
        <v>LA</v>
      </c>
      <c r="L44" s="22" t="str">
        <f>_xlfn.XLOOKUP(tblRequirementMeasureXref[[#This Row],[msr_id]],tblMeasure[msr_id],tblMeasure[src_name])</f>
        <v>Adult Social Care Activity and Finance Report</v>
      </c>
    </row>
    <row r="45" spans="1:12" x14ac:dyDescent="0.15">
      <c r="A45" s="1" t="str">
        <f>_xlfn.XLOOKUP(tblRequirementMeasureXref[[#This Row],[dm_id]],tblDataRequirement[dm_id],tblDataRequirement[domain_sub_requirement])</f>
        <v>Service:Access:Eligible for local authority funded care</v>
      </c>
      <c r="B45" s="1" t="str">
        <f>_xlfn.XLOOKUP(tblRequirementMeasureXref[[#This Row],[dm_id]],tblDataRequirement[dm_id],tblDataRequirement[dm_phase])</f>
        <v>demand</v>
      </c>
      <c r="C45" s="1">
        <v>28</v>
      </c>
      <c r="D45" s="1">
        <v>11</v>
      </c>
      <c r="G45" s="1"/>
      <c r="H45" s="61" t="str">
        <f>_xlfn.XLOOKUP(tblRequirementMeasureXref[[#This Row],[msr_id]],tblMeasure[msr_id],tblMeasure[msr_table])</f>
        <v>T11</v>
      </c>
      <c r="I45" s="22" t="str">
        <f>_xlfn.XLOOKUP(tblRequirementMeasureXref[[#This Row],[msr_id]],tblMeasure[msr_id],tblMeasure[msr_name])</f>
        <v>Number of requests for support received from new clients aged 65 and over, by what happened next, 2018-19</v>
      </c>
      <c r="J45" s="22" t="str">
        <f>_xlfn.XLOOKUP(tblRequirementMeasureXref[[#This Row],[msr_id]],tblMeasure[msr_id],tblMeasure[primary_dimensions])</f>
        <v>new requests, sequel</v>
      </c>
      <c r="K45" s="22" t="str">
        <f>_xlfn.XLOOKUP(tblRequirementMeasureXref[[#This Row],[msr_id]],tblMeasure[msr_id],tblMeasure[msr_min_geo_resolution])</f>
        <v>LA</v>
      </c>
      <c r="L45" s="22" t="str">
        <f>_xlfn.XLOOKUP(tblRequirementMeasureXref[[#This Row],[msr_id]],tblMeasure[msr_id],tblMeasure[src_name])</f>
        <v>Adult Social Care Activity and Finance Report</v>
      </c>
    </row>
    <row r="46" spans="1:12" x14ac:dyDescent="0.15">
      <c r="A46" s="1" t="str">
        <f>_xlfn.XLOOKUP(tblRequirementMeasureXref[[#This Row],[dm_id]],tblDataRequirement[dm_id],tblDataRequirement[domain_sub_requirement])</f>
        <v>Service:Access:Not eligible for local authority funded care</v>
      </c>
      <c r="B46" s="1" t="str">
        <f>_xlfn.XLOOKUP(tblRequirementMeasureXref[[#This Row],[dm_id]],tblDataRequirement[dm_id],tblDataRequirement[dm_phase])</f>
        <v>demand</v>
      </c>
      <c r="C46" s="1">
        <v>57</v>
      </c>
      <c r="D46" s="1">
        <v>11</v>
      </c>
      <c r="G46" s="1"/>
      <c r="H46" s="61" t="str">
        <f>_xlfn.XLOOKUP(tblRequirementMeasureXref[[#This Row],[msr_id]],tblMeasure[msr_id],tblMeasure[msr_table])</f>
        <v>T11</v>
      </c>
      <c r="I46" s="22" t="str">
        <f>_xlfn.XLOOKUP(tblRequirementMeasureXref[[#This Row],[msr_id]],tblMeasure[msr_id],tblMeasure[msr_name])</f>
        <v>Number of requests for support received from new clients aged 65 and over, by what happened next, 2018-19</v>
      </c>
      <c r="J46" s="22" t="str">
        <f>_xlfn.XLOOKUP(tblRequirementMeasureXref[[#This Row],[msr_id]],tblMeasure[msr_id],tblMeasure[primary_dimensions])</f>
        <v>new requests, sequel</v>
      </c>
      <c r="K46" s="22" t="str">
        <f>_xlfn.XLOOKUP(tblRequirementMeasureXref[[#This Row],[msr_id]],tblMeasure[msr_id],tblMeasure[msr_min_geo_resolution])</f>
        <v>LA</v>
      </c>
      <c r="L46" s="22" t="str">
        <f>_xlfn.XLOOKUP(tblRequirementMeasureXref[[#This Row],[msr_id]],tblMeasure[msr_id],tblMeasure[src_name])</f>
        <v>Adult Social Care Activity and Finance Report</v>
      </c>
    </row>
    <row r="47" spans="1:12" x14ac:dyDescent="0.15">
      <c r="A47" s="1" t="str">
        <f>_xlfn.XLOOKUP(tblRequirementMeasureXref[[#This Row],[dm_id]],tblDataRequirement[dm_id],tblDataRequirement[domain_sub_requirement])</f>
        <v>Service:Support type:Short-term</v>
      </c>
      <c r="B47" s="1" t="str">
        <f>_xlfn.XLOOKUP(tblRequirementMeasureXref[[#This Row],[dm_id]],tblDataRequirement[dm_id],tblDataRequirement[dm_phase])</f>
        <v>operate</v>
      </c>
      <c r="C47" s="1">
        <v>44</v>
      </c>
      <c r="D47" s="1">
        <v>11</v>
      </c>
      <c r="G47" s="1"/>
      <c r="H47" s="61" t="str">
        <f>_xlfn.XLOOKUP(tblRequirementMeasureXref[[#This Row],[msr_id]],tblMeasure[msr_id],tblMeasure[msr_table])</f>
        <v>T11</v>
      </c>
      <c r="I47" s="22" t="str">
        <f>_xlfn.XLOOKUP(tblRequirementMeasureXref[[#This Row],[msr_id]],tblMeasure[msr_id],tblMeasure[msr_name])</f>
        <v>Number of requests for support received from new clients aged 65 and over, by what happened next, 2018-19</v>
      </c>
      <c r="J47" s="22" t="str">
        <f>_xlfn.XLOOKUP(tblRequirementMeasureXref[[#This Row],[msr_id]],tblMeasure[msr_id],tblMeasure[primary_dimensions])</f>
        <v>new requests, sequel</v>
      </c>
      <c r="K47" s="22" t="str">
        <f>_xlfn.XLOOKUP(tblRequirementMeasureXref[[#This Row],[msr_id]],tblMeasure[msr_id],tblMeasure[msr_min_geo_resolution])</f>
        <v>LA</v>
      </c>
      <c r="L47" s="22" t="str">
        <f>_xlfn.XLOOKUP(tblRequirementMeasureXref[[#This Row],[msr_id]],tblMeasure[msr_id],tblMeasure[src_name])</f>
        <v>Adult Social Care Activity and Finance Report</v>
      </c>
    </row>
    <row r="48" spans="1:12" x14ac:dyDescent="0.15">
      <c r="A48" s="1" t="str">
        <f>_xlfn.XLOOKUP(tblRequirementMeasureXref[[#This Row],[dm_id]],tblDataRequirement[dm_id],tblDataRequirement[domain_sub_requirement])</f>
        <v>Service:Support type:Long-term</v>
      </c>
      <c r="B48" s="1" t="str">
        <f>_xlfn.XLOOKUP(tblRequirementMeasureXref[[#This Row],[dm_id]],tblDataRequirement[dm_id],tblDataRequirement[dm_phase])</f>
        <v>operate</v>
      </c>
      <c r="C48" s="1">
        <v>45</v>
      </c>
      <c r="D48" s="1">
        <v>11</v>
      </c>
      <c r="G48" s="1"/>
      <c r="H48" s="61" t="str">
        <f>_xlfn.XLOOKUP(tblRequirementMeasureXref[[#This Row],[msr_id]],tblMeasure[msr_id],tblMeasure[msr_table])</f>
        <v>T11</v>
      </c>
      <c r="I48" s="22" t="str">
        <f>_xlfn.XLOOKUP(tblRequirementMeasureXref[[#This Row],[msr_id]],tblMeasure[msr_id],tblMeasure[msr_name])</f>
        <v>Number of requests for support received from new clients aged 65 and over, by what happened next, 2018-19</v>
      </c>
      <c r="J48" s="22" t="str">
        <f>_xlfn.XLOOKUP(tblRequirementMeasureXref[[#This Row],[msr_id]],tblMeasure[msr_id],tblMeasure[primary_dimensions])</f>
        <v>new requests, sequel</v>
      </c>
      <c r="K48" s="22" t="str">
        <f>_xlfn.XLOOKUP(tblRequirementMeasureXref[[#This Row],[msr_id]],tblMeasure[msr_id],tblMeasure[msr_min_geo_resolution])</f>
        <v>LA</v>
      </c>
      <c r="L48" s="22" t="str">
        <f>_xlfn.XLOOKUP(tblRequirementMeasureXref[[#This Row],[msr_id]],tblMeasure[msr_id],tblMeasure[src_name])</f>
        <v>Adult Social Care Activity and Finance Report</v>
      </c>
    </row>
    <row r="49" spans="1:12" x14ac:dyDescent="0.15">
      <c r="A49" s="1" t="str">
        <f>_xlfn.XLOOKUP(tblRequirementMeasureXref[[#This Row],[dm_id]],tblDataRequirement[dm_id],tblDataRequirement[domain_sub_requirement])</f>
        <v>Service:Support type:Reablement / ST-MAX</v>
      </c>
      <c r="B49" s="1" t="str">
        <f>_xlfn.XLOOKUP(tblRequirementMeasureXref[[#This Row],[dm_id]],tblDataRequirement[dm_id],tblDataRequirement[dm_phase])</f>
        <v>operate</v>
      </c>
      <c r="C49" s="1">
        <v>46</v>
      </c>
      <c r="D49" s="1">
        <v>11</v>
      </c>
      <c r="G49" s="1"/>
      <c r="H49" s="61" t="str">
        <f>_xlfn.XLOOKUP(tblRequirementMeasureXref[[#This Row],[msr_id]],tblMeasure[msr_id],tblMeasure[msr_table])</f>
        <v>T11</v>
      </c>
      <c r="I49" s="22" t="str">
        <f>_xlfn.XLOOKUP(tblRequirementMeasureXref[[#This Row],[msr_id]],tblMeasure[msr_id],tblMeasure[msr_name])</f>
        <v>Number of requests for support received from new clients aged 65 and over, by what happened next, 2018-19</v>
      </c>
      <c r="J49" s="22" t="str">
        <f>_xlfn.XLOOKUP(tblRequirementMeasureXref[[#This Row],[msr_id]],tblMeasure[msr_id],tblMeasure[primary_dimensions])</f>
        <v>new requests, sequel</v>
      </c>
      <c r="K49" s="22" t="str">
        <f>_xlfn.XLOOKUP(tblRequirementMeasureXref[[#This Row],[msr_id]],tblMeasure[msr_id],tblMeasure[msr_min_geo_resolution])</f>
        <v>LA</v>
      </c>
      <c r="L49" s="22" t="str">
        <f>_xlfn.XLOOKUP(tblRequirementMeasureXref[[#This Row],[msr_id]],tblMeasure[msr_id],tblMeasure[src_name])</f>
        <v>Adult Social Care Activity and Finance Report</v>
      </c>
    </row>
    <row r="50" spans="1:12" x14ac:dyDescent="0.15">
      <c r="A50" s="1" t="str">
        <f>_xlfn.XLOOKUP(tblRequirementMeasureXref[[#This Row],[dm_id]],tblDataRequirement[dm_id],tblDataRequirement[domain_sub_requirement])</f>
        <v>Service:Support setting:Residential care home</v>
      </c>
      <c r="B50" s="1" t="str">
        <f>_xlfn.XLOOKUP(tblRequirementMeasureXref[[#This Row],[dm_id]],tblDataRequirement[dm_id],tblDataRequirement[dm_phase])</f>
        <v>operate</v>
      </c>
      <c r="C50" s="1">
        <v>41</v>
      </c>
      <c r="D50" s="1">
        <v>11</v>
      </c>
      <c r="G50" s="1"/>
      <c r="H50" s="61" t="str">
        <f>_xlfn.XLOOKUP(tblRequirementMeasureXref[[#This Row],[msr_id]],tblMeasure[msr_id],tblMeasure[msr_table])</f>
        <v>T11</v>
      </c>
      <c r="I50" s="22" t="str">
        <f>_xlfn.XLOOKUP(tblRequirementMeasureXref[[#This Row],[msr_id]],tblMeasure[msr_id],tblMeasure[msr_name])</f>
        <v>Number of requests for support received from new clients aged 65 and over, by what happened next, 2018-19</v>
      </c>
      <c r="J50" s="22" t="str">
        <f>_xlfn.XLOOKUP(tblRequirementMeasureXref[[#This Row],[msr_id]],tblMeasure[msr_id],tblMeasure[primary_dimensions])</f>
        <v>new requests, sequel</v>
      </c>
      <c r="K50" s="22" t="str">
        <f>_xlfn.XLOOKUP(tblRequirementMeasureXref[[#This Row],[msr_id]],tblMeasure[msr_id],tblMeasure[msr_min_geo_resolution])</f>
        <v>LA</v>
      </c>
      <c r="L50" s="22" t="str">
        <f>_xlfn.XLOOKUP(tblRequirementMeasureXref[[#This Row],[msr_id]],tblMeasure[msr_id],tblMeasure[src_name])</f>
        <v>Adult Social Care Activity and Finance Report</v>
      </c>
    </row>
    <row r="51" spans="1:12" x14ac:dyDescent="0.15">
      <c r="A51" s="1" t="str">
        <f>_xlfn.XLOOKUP(tblRequirementMeasureXref[[#This Row],[dm_id]],tblDataRequirement[dm_id],tblDataRequirement[domain_sub_requirement])</f>
        <v>Service:Support setting:Nursing home</v>
      </c>
      <c r="B51" s="1" t="str">
        <f>_xlfn.XLOOKUP(tblRequirementMeasureXref[[#This Row],[dm_id]],tblDataRequirement[dm_id],tblDataRequirement[dm_phase])</f>
        <v>operate</v>
      </c>
      <c r="C51" s="1">
        <v>42</v>
      </c>
      <c r="D51" s="1">
        <v>11</v>
      </c>
      <c r="G51" s="1"/>
      <c r="H51" s="61" t="str">
        <f>_xlfn.XLOOKUP(tblRequirementMeasureXref[[#This Row],[msr_id]],tblMeasure[msr_id],tblMeasure[msr_table])</f>
        <v>T11</v>
      </c>
      <c r="I51" s="22" t="str">
        <f>_xlfn.XLOOKUP(tblRequirementMeasureXref[[#This Row],[msr_id]],tblMeasure[msr_id],tblMeasure[msr_name])</f>
        <v>Number of requests for support received from new clients aged 65 and over, by what happened next, 2018-19</v>
      </c>
      <c r="J51" s="22" t="str">
        <f>_xlfn.XLOOKUP(tblRequirementMeasureXref[[#This Row],[msr_id]],tblMeasure[msr_id],tblMeasure[primary_dimensions])</f>
        <v>new requests, sequel</v>
      </c>
      <c r="K51" s="22" t="str">
        <f>_xlfn.XLOOKUP(tblRequirementMeasureXref[[#This Row],[msr_id]],tblMeasure[msr_id],tblMeasure[msr_min_geo_resolution])</f>
        <v>LA</v>
      </c>
      <c r="L51" s="22" t="str">
        <f>_xlfn.XLOOKUP(tblRequirementMeasureXref[[#This Row],[msr_id]],tblMeasure[msr_id],tblMeasure[src_name])</f>
        <v>Adult Social Care Activity and Finance Report</v>
      </c>
    </row>
    <row r="52" spans="1:12" x14ac:dyDescent="0.15">
      <c r="A52" s="1" t="str">
        <f>_xlfn.XLOOKUP(tblRequirementMeasureXref[[#This Row],[dm_id]],tblDataRequirement[dm_id],tblDataRequirement[domain_sub_requirement])</f>
        <v>Service:Support setting:Community</v>
      </c>
      <c r="B52" s="1" t="str">
        <f>_xlfn.XLOOKUP(tblRequirementMeasureXref[[#This Row],[dm_id]],tblDataRequirement[dm_id],tblDataRequirement[dm_phase])</f>
        <v>operate</v>
      </c>
      <c r="C52" s="1">
        <v>43</v>
      </c>
      <c r="D52" s="1">
        <v>11</v>
      </c>
      <c r="G52" s="1"/>
      <c r="H52" s="61" t="str">
        <f>_xlfn.XLOOKUP(tblRequirementMeasureXref[[#This Row],[msr_id]],tblMeasure[msr_id],tblMeasure[msr_table])</f>
        <v>T11</v>
      </c>
      <c r="I52" s="22" t="str">
        <f>_xlfn.XLOOKUP(tblRequirementMeasureXref[[#This Row],[msr_id]],tblMeasure[msr_id],tblMeasure[msr_name])</f>
        <v>Number of requests for support received from new clients aged 65 and over, by what happened next, 2018-19</v>
      </c>
      <c r="J52" s="22" t="str">
        <f>_xlfn.XLOOKUP(tblRequirementMeasureXref[[#This Row],[msr_id]],tblMeasure[msr_id],tblMeasure[primary_dimensions])</f>
        <v>new requests, sequel</v>
      </c>
      <c r="K52" s="22" t="str">
        <f>_xlfn.XLOOKUP(tblRequirementMeasureXref[[#This Row],[msr_id]],tblMeasure[msr_id],tblMeasure[msr_min_geo_resolution])</f>
        <v>LA</v>
      </c>
      <c r="L52" s="22" t="str">
        <f>_xlfn.XLOOKUP(tblRequirementMeasureXref[[#This Row],[msr_id]],tblMeasure[msr_id],tblMeasure[src_name])</f>
        <v>Adult Social Care Activity and Finance Report</v>
      </c>
    </row>
    <row r="53" spans="1:12" x14ac:dyDescent="0.15">
      <c r="A53" s="1" t="str">
        <f>_xlfn.XLOOKUP(tblRequirementMeasureXref[[#This Row],[dm_id]],tblDataRequirement[dm_id],tblDataRequirement[domain_sub_requirement])</f>
        <v>Service:Access:Eligible for NHS-funded care</v>
      </c>
      <c r="B53" s="1" t="str">
        <f>_xlfn.XLOOKUP(tblRequirementMeasureXref[[#This Row],[dm_id]],tblDataRequirement[dm_id],tblDataRequirement[dm_phase])</f>
        <v>demand</v>
      </c>
      <c r="C53" s="1">
        <v>30</v>
      </c>
      <c r="D53" s="1">
        <v>11</v>
      </c>
      <c r="G53" s="1"/>
      <c r="H53" s="61" t="str">
        <f>_xlfn.XLOOKUP(tblRequirementMeasureXref[[#This Row],[msr_id]],tblMeasure[msr_id],tblMeasure[msr_table])</f>
        <v>T11</v>
      </c>
      <c r="I53" s="22" t="str">
        <f>_xlfn.XLOOKUP(tblRequirementMeasureXref[[#This Row],[msr_id]],tblMeasure[msr_id],tblMeasure[msr_name])</f>
        <v>Number of requests for support received from new clients aged 65 and over, by what happened next, 2018-19</v>
      </c>
      <c r="J53" s="22" t="str">
        <f>_xlfn.XLOOKUP(tblRequirementMeasureXref[[#This Row],[msr_id]],tblMeasure[msr_id],tblMeasure[primary_dimensions])</f>
        <v>new requests, sequel</v>
      </c>
      <c r="K53" s="22" t="str">
        <f>_xlfn.XLOOKUP(tblRequirementMeasureXref[[#This Row],[msr_id]],tblMeasure[msr_id],tblMeasure[msr_min_geo_resolution])</f>
        <v>LA</v>
      </c>
      <c r="L53" s="22" t="str">
        <f>_xlfn.XLOOKUP(tblRequirementMeasureXref[[#This Row],[msr_id]],tblMeasure[msr_id],tblMeasure[src_name])</f>
        <v>Adult Social Care Activity and Finance Report</v>
      </c>
    </row>
    <row r="54" spans="1:12" x14ac:dyDescent="0.15">
      <c r="A54" s="1" t="str">
        <f>_xlfn.XLOOKUP(tblRequirementMeasureXref[[#This Row],[dm_id]],tblDataRequirement[dm_id],tblDataRequirement[domain_sub_requirement])</f>
        <v>Users:Demographics:Age</v>
      </c>
      <c r="B54" s="1" t="str">
        <f>_xlfn.XLOOKUP(tblRequirementMeasureXref[[#This Row],[dm_id]],tblDataRequirement[dm_id],tblDataRequirement[dm_phase])</f>
        <v>demand</v>
      </c>
      <c r="C54" s="1">
        <v>51</v>
      </c>
      <c r="D54" s="1">
        <v>12</v>
      </c>
      <c r="G54" s="1"/>
      <c r="H54" s="61" t="str">
        <f>_xlfn.XLOOKUP(tblRequirementMeasureXref[[#This Row],[msr_id]],tblMeasure[msr_id],tblMeasure[msr_table])</f>
        <v>T12</v>
      </c>
      <c r="I54" s="22" t="str">
        <f>_xlfn.XLOOKUP(tblRequirementMeasureXref[[#This Row],[msr_id]],tblMeasure[msr_id],tblMeasure[msr_name])</f>
        <v>Number of requests for support received from new clients per 100,000 adults, by age band, 2018-19</v>
      </c>
      <c r="J54" s="22" t="str">
        <f>_xlfn.XLOOKUP(tblRequirementMeasureXref[[#This Row],[msr_id]],tblMeasure[msr_id],tblMeasure[primary_dimensions])</f>
        <v>new requests</v>
      </c>
      <c r="K54" s="22" t="str">
        <f>_xlfn.XLOOKUP(tblRequirementMeasureXref[[#This Row],[msr_id]],tblMeasure[msr_id],tblMeasure[msr_min_geo_resolution])</f>
        <v>LA</v>
      </c>
      <c r="L54" s="22" t="str">
        <f>_xlfn.XLOOKUP(tblRequirementMeasureXref[[#This Row],[msr_id]],tblMeasure[msr_id],tblMeasure[src_name])</f>
        <v>Adult Social Care Activity and Finance Report</v>
      </c>
    </row>
    <row r="55" spans="1:12" x14ac:dyDescent="0.15">
      <c r="A55" s="1" t="str">
        <f>_xlfn.XLOOKUP(tblRequirementMeasureXref[[#This Row],[dm_id]],tblDataRequirement[dm_id],tblDataRequirement[domain_sub_requirement])</f>
        <v>Service:Access:Requests for local authority-funded care</v>
      </c>
      <c r="B55" s="1" t="str">
        <f>_xlfn.XLOOKUP(tblRequirementMeasureXref[[#This Row],[dm_id]],tblDataRequirement[dm_id],tblDataRequirement[dm_phase])</f>
        <v>demand</v>
      </c>
      <c r="C55" s="1">
        <v>27</v>
      </c>
      <c r="D55" s="1">
        <v>12</v>
      </c>
      <c r="G55" s="1"/>
      <c r="H55" s="61" t="str">
        <f>_xlfn.XLOOKUP(tblRequirementMeasureXref[[#This Row],[msr_id]],tblMeasure[msr_id],tblMeasure[msr_table])</f>
        <v>T12</v>
      </c>
      <c r="I55" s="22" t="str">
        <f>_xlfn.XLOOKUP(tblRequirementMeasureXref[[#This Row],[msr_id]],tblMeasure[msr_id],tblMeasure[msr_name])</f>
        <v>Number of requests for support received from new clients per 100,000 adults, by age band, 2018-19</v>
      </c>
      <c r="J55" s="22" t="str">
        <f>_xlfn.XLOOKUP(tblRequirementMeasureXref[[#This Row],[msr_id]],tblMeasure[msr_id],tblMeasure[primary_dimensions])</f>
        <v>new requests</v>
      </c>
      <c r="K55" s="22" t="str">
        <f>_xlfn.XLOOKUP(tblRequirementMeasureXref[[#This Row],[msr_id]],tblMeasure[msr_id],tblMeasure[msr_min_geo_resolution])</f>
        <v>LA</v>
      </c>
      <c r="L55" s="22" t="str">
        <f>_xlfn.XLOOKUP(tblRequirementMeasureXref[[#This Row],[msr_id]],tblMeasure[msr_id],tblMeasure[src_name])</f>
        <v>Adult Social Care Activity and Finance Report</v>
      </c>
    </row>
    <row r="56" spans="1:12" x14ac:dyDescent="0.15">
      <c r="A56" s="1" t="str">
        <f>_xlfn.XLOOKUP(tblRequirementMeasureXref[[#This Row],[dm_id]],tblDataRequirement[dm_id],tblDataRequirement[domain_sub_requirement])</f>
        <v>Service:Support setting:Residential care home</v>
      </c>
      <c r="B56" s="1" t="str">
        <f>_xlfn.XLOOKUP(tblRequirementMeasureXref[[#This Row],[dm_id]],tblDataRequirement[dm_id],tblDataRequirement[dm_phase])</f>
        <v>operate</v>
      </c>
      <c r="C56" s="1">
        <v>41</v>
      </c>
      <c r="D56" s="1">
        <v>13</v>
      </c>
      <c r="G56" s="1"/>
      <c r="H56" s="61" t="str">
        <f>_xlfn.XLOOKUP(tblRequirementMeasureXref[[#This Row],[msr_id]],tblMeasure[msr_id],tblMeasure[msr_table])</f>
        <v>T13</v>
      </c>
      <c r="I56" s="22" t="str">
        <f>_xlfn.XLOOKUP(tblRequirementMeasureXref[[#This Row],[msr_id]],tblMeasure[msr_id],tblMeasure[msr_name])</f>
        <v>Number of requests for support received from new clients per client, by age band, 2018-19</v>
      </c>
      <c r="J56" s="22" t="str">
        <f>_xlfn.XLOOKUP(tblRequirementMeasureXref[[#This Row],[msr_id]],tblMeasure[msr_id],tblMeasure[primary_dimensions])</f>
        <v>new requests</v>
      </c>
      <c r="K56" s="22" t="str">
        <f>_xlfn.XLOOKUP(tblRequirementMeasureXref[[#This Row],[msr_id]],tblMeasure[msr_id],tblMeasure[msr_min_geo_resolution])</f>
        <v>LA</v>
      </c>
      <c r="L56" s="22" t="str">
        <f>_xlfn.XLOOKUP(tblRequirementMeasureXref[[#This Row],[msr_id]],tblMeasure[msr_id],tblMeasure[src_name])</f>
        <v>Adult Social Care Activity and Finance Report</v>
      </c>
    </row>
    <row r="57" spans="1:12" x14ac:dyDescent="0.15">
      <c r="A57" s="1" t="str">
        <f>_xlfn.XLOOKUP(tblRequirementMeasureXref[[#This Row],[dm_id]],tblDataRequirement[dm_id],tblDataRequirement[domain_sub_requirement])</f>
        <v>Service:Access:Requests for local authority-funded care</v>
      </c>
      <c r="B57" s="1" t="str">
        <f>_xlfn.XLOOKUP(tblRequirementMeasureXref[[#This Row],[dm_id]],tblDataRequirement[dm_id],tblDataRequirement[dm_phase])</f>
        <v>demand</v>
      </c>
      <c r="C57" s="1">
        <v>27</v>
      </c>
      <c r="D57" s="1">
        <v>13</v>
      </c>
      <c r="G57" s="1"/>
      <c r="H57" s="61" t="str">
        <f>_xlfn.XLOOKUP(tblRequirementMeasureXref[[#This Row],[msr_id]],tblMeasure[msr_id],tblMeasure[msr_table])</f>
        <v>T13</v>
      </c>
      <c r="I57" s="22" t="str">
        <f>_xlfn.XLOOKUP(tblRequirementMeasureXref[[#This Row],[msr_id]],tblMeasure[msr_id],tblMeasure[msr_name])</f>
        <v>Number of requests for support received from new clients per client, by age band, 2018-19</v>
      </c>
      <c r="J57" s="22" t="str">
        <f>_xlfn.XLOOKUP(tblRequirementMeasureXref[[#This Row],[msr_id]],tblMeasure[msr_id],tblMeasure[primary_dimensions])</f>
        <v>new requests</v>
      </c>
      <c r="K57" s="22" t="str">
        <f>_xlfn.XLOOKUP(tblRequirementMeasureXref[[#This Row],[msr_id]],tblMeasure[msr_id],tblMeasure[msr_min_geo_resolution])</f>
        <v>LA</v>
      </c>
      <c r="L57" s="22" t="str">
        <f>_xlfn.XLOOKUP(tblRequirementMeasureXref[[#This Row],[msr_id]],tblMeasure[msr_id],tblMeasure[src_name])</f>
        <v>Adult Social Care Activity and Finance Report</v>
      </c>
    </row>
    <row r="58" spans="1:12" x14ac:dyDescent="0.15">
      <c r="A58" s="1" t="str">
        <f>_xlfn.XLOOKUP(tblRequirementMeasureXref[[#This Row],[dm_id]],tblDataRequirement[dm_id],tblDataRequirement[domain_sub_requirement])</f>
        <v>Funders:Expenditure:Local authorities</v>
      </c>
      <c r="B58" s="1" t="str">
        <f>_xlfn.XLOOKUP(tblRequirementMeasureXref[[#This Row],[dm_id]],tblDataRequirement[dm_id],tblDataRequirement[dm_phase])</f>
        <v>supply</v>
      </c>
      <c r="C58" s="1">
        <v>3</v>
      </c>
      <c r="D58" s="1">
        <v>14</v>
      </c>
      <c r="G58" s="1"/>
      <c r="H58" s="61" t="str">
        <f>_xlfn.XLOOKUP(tblRequirementMeasureXref[[#This Row],[msr_id]],tblMeasure[msr_id],tblMeasure[msr_table])</f>
        <v>T14</v>
      </c>
      <c r="I58" s="22" t="str">
        <f>_xlfn.XLOOKUP(tblRequirementMeasureXref[[#This Row],[msr_id]],tblMeasure[msr_id],tblMeasure[msr_name])</f>
        <v>Gross Current Expenditure, by care type, 2018-19</v>
      </c>
      <c r="J58" s="22" t="str">
        <f>_xlfn.XLOOKUP(tblRequirementMeasureXref[[#This Row],[msr_id]],tblMeasure[msr_id],tblMeasure[primary_dimensions])</f>
        <v>expenditure</v>
      </c>
      <c r="K58" s="22" t="str">
        <f>_xlfn.XLOOKUP(tblRequirementMeasureXref[[#This Row],[msr_id]],tblMeasure[msr_id],tblMeasure[msr_min_geo_resolution])</f>
        <v>LA</v>
      </c>
      <c r="L58" s="22" t="str">
        <f>_xlfn.XLOOKUP(tblRequirementMeasureXref[[#This Row],[msr_id]],tblMeasure[msr_id],tblMeasure[src_name])</f>
        <v>Adult Social Care Activity and Finance Report</v>
      </c>
    </row>
    <row r="59" spans="1:12" x14ac:dyDescent="0.15">
      <c r="A59" s="1" t="str">
        <f>_xlfn.XLOOKUP(tblRequirementMeasureXref[[#This Row],[dm_id]],tblDataRequirement[dm_id],tblDataRequirement[domain_sub_requirement])</f>
        <v>Service:Support type:Short-term</v>
      </c>
      <c r="B59" s="1" t="str">
        <f>_xlfn.XLOOKUP(tblRequirementMeasureXref[[#This Row],[dm_id]],tblDataRequirement[dm_id],tblDataRequirement[dm_phase])</f>
        <v>operate</v>
      </c>
      <c r="C59" s="1">
        <v>44</v>
      </c>
      <c r="D59" s="1">
        <v>14</v>
      </c>
      <c r="G59" s="1"/>
      <c r="H59" s="61" t="str">
        <f>_xlfn.XLOOKUP(tblRequirementMeasureXref[[#This Row],[msr_id]],tblMeasure[msr_id],tblMeasure[msr_table])</f>
        <v>T14</v>
      </c>
      <c r="I59" s="22" t="str">
        <f>_xlfn.XLOOKUP(tblRequirementMeasureXref[[#This Row],[msr_id]],tblMeasure[msr_id],tblMeasure[msr_name])</f>
        <v>Gross Current Expenditure, by care type, 2018-19</v>
      </c>
      <c r="J59" s="22" t="str">
        <f>_xlfn.XLOOKUP(tblRequirementMeasureXref[[#This Row],[msr_id]],tblMeasure[msr_id],tblMeasure[primary_dimensions])</f>
        <v>expenditure</v>
      </c>
      <c r="K59" s="22" t="str">
        <f>_xlfn.XLOOKUP(tblRequirementMeasureXref[[#This Row],[msr_id]],tblMeasure[msr_id],tblMeasure[msr_min_geo_resolution])</f>
        <v>LA</v>
      </c>
      <c r="L59" s="22" t="str">
        <f>_xlfn.XLOOKUP(tblRequirementMeasureXref[[#This Row],[msr_id]],tblMeasure[msr_id],tblMeasure[src_name])</f>
        <v>Adult Social Care Activity and Finance Report</v>
      </c>
    </row>
    <row r="60" spans="1:12" x14ac:dyDescent="0.15">
      <c r="A60" s="1" t="str">
        <f>_xlfn.XLOOKUP(tblRequirementMeasureXref[[#This Row],[dm_id]],tblDataRequirement[dm_id],tblDataRequirement[domain_sub_requirement])</f>
        <v>Service:Support type:Long-term</v>
      </c>
      <c r="B60" s="1" t="str">
        <f>_xlfn.XLOOKUP(tblRequirementMeasureXref[[#This Row],[dm_id]],tblDataRequirement[dm_id],tblDataRequirement[dm_phase])</f>
        <v>operate</v>
      </c>
      <c r="C60" s="1">
        <v>45</v>
      </c>
      <c r="D60" s="1">
        <v>14</v>
      </c>
      <c r="G60" s="1"/>
      <c r="H60" s="61" t="str">
        <f>_xlfn.XLOOKUP(tblRequirementMeasureXref[[#This Row],[msr_id]],tblMeasure[msr_id],tblMeasure[msr_table])</f>
        <v>T14</v>
      </c>
      <c r="I60" s="22" t="str">
        <f>_xlfn.XLOOKUP(tblRequirementMeasureXref[[#This Row],[msr_id]],tblMeasure[msr_id],tblMeasure[msr_name])</f>
        <v>Gross Current Expenditure, by care type, 2018-19</v>
      </c>
      <c r="J60" s="22" t="str">
        <f>_xlfn.XLOOKUP(tblRequirementMeasureXref[[#This Row],[msr_id]],tblMeasure[msr_id],tblMeasure[primary_dimensions])</f>
        <v>expenditure</v>
      </c>
      <c r="K60" s="22" t="str">
        <f>_xlfn.XLOOKUP(tblRequirementMeasureXref[[#This Row],[msr_id]],tblMeasure[msr_id],tblMeasure[msr_min_geo_resolution])</f>
        <v>LA</v>
      </c>
      <c r="L60" s="22" t="str">
        <f>_xlfn.XLOOKUP(tblRequirementMeasureXref[[#This Row],[msr_id]],tblMeasure[msr_id],tblMeasure[src_name])</f>
        <v>Adult Social Care Activity and Finance Report</v>
      </c>
    </row>
    <row r="61" spans="1:12" x14ac:dyDescent="0.15">
      <c r="A61" s="1" t="str">
        <f>_xlfn.XLOOKUP(tblRequirementMeasureXref[[#This Row],[dm_id]],tblDataRequirement[dm_id],tblDataRequirement[domain_sub_requirement])</f>
        <v>Service:Support type:Other (not ST or LT)</v>
      </c>
      <c r="B61" s="1" t="str">
        <f>_xlfn.XLOOKUP(tblRequirementMeasureXref[[#This Row],[dm_id]],tblDataRequirement[dm_id],tblDataRequirement[dm_phase])</f>
        <v>operate</v>
      </c>
      <c r="C61" s="1">
        <v>68</v>
      </c>
      <c r="D61" s="1">
        <v>14</v>
      </c>
      <c r="G61" s="1"/>
      <c r="H61" s="62" t="str">
        <f>_xlfn.XLOOKUP(tblRequirementMeasureXref[[#This Row],[msr_id]],tblMeasure[msr_id],tblMeasure[msr_table])</f>
        <v>T14</v>
      </c>
      <c r="I61" s="22" t="str">
        <f>_xlfn.XLOOKUP(tblRequirementMeasureXref[[#This Row],[msr_id]],tblMeasure[msr_id],tblMeasure[msr_name])</f>
        <v>Gross Current Expenditure, by care type, 2018-19</v>
      </c>
      <c r="J61" s="22" t="str">
        <f>_xlfn.XLOOKUP(tblRequirementMeasureXref[[#This Row],[msr_id]],tblMeasure[msr_id],tblMeasure[primary_dimensions])</f>
        <v>expenditure</v>
      </c>
      <c r="K61" s="22" t="str">
        <f>_xlfn.XLOOKUP(tblRequirementMeasureXref[[#This Row],[msr_id]],tblMeasure[msr_id],tblMeasure[msr_min_geo_resolution])</f>
        <v>LA</v>
      </c>
      <c r="L61" s="22" t="str">
        <f>_xlfn.XLOOKUP(tblRequirementMeasureXref[[#This Row],[msr_id]],tblMeasure[msr_id],tblMeasure[src_name])</f>
        <v>Adult Social Care Activity and Finance Report</v>
      </c>
    </row>
    <row r="62" spans="1:12" x14ac:dyDescent="0.15">
      <c r="A62" s="1" t="str">
        <f>_xlfn.XLOOKUP(tblRequirementMeasureXref[[#This Row],[dm_id]],tblDataRequirement[dm_id],tblDataRequirement[domain_sub_requirement])</f>
        <v>Users:Demographics:Age</v>
      </c>
      <c r="B62" s="1" t="str">
        <f>_xlfn.XLOOKUP(tblRequirementMeasureXref[[#This Row],[dm_id]],tblDataRequirement[dm_id],tblDataRequirement[dm_phase])</f>
        <v>demand</v>
      </c>
      <c r="C62" s="1">
        <v>51</v>
      </c>
      <c r="D62" s="1">
        <v>19</v>
      </c>
      <c r="G62" s="1"/>
      <c r="H62" s="61" t="str">
        <f>_xlfn.XLOOKUP(tblRequirementMeasureXref[[#This Row],[msr_id]],tblMeasure[msr_id],tblMeasure[msr_table])</f>
        <v>T19</v>
      </c>
      <c r="I62" s="22" t="str">
        <f>_xlfn.XLOOKUP(tblRequirementMeasureXref[[#This Row],[msr_id]],tblMeasure[msr_id],tblMeasure[msr_name])</f>
        <v>Gross Current Expenditure on long and short term care for clients aged 18 to 64, by care type and primary support reason, 2018-19</v>
      </c>
      <c r="J62" s="22" t="str">
        <f>_xlfn.XLOOKUP(tblRequirementMeasureXref[[#This Row],[msr_id]],tblMeasure[msr_id],tblMeasure[primary_dimensions])</f>
        <v>expenditure</v>
      </c>
      <c r="K62" s="22" t="str">
        <f>_xlfn.XLOOKUP(tblRequirementMeasureXref[[#This Row],[msr_id]],tblMeasure[msr_id],tblMeasure[msr_min_geo_resolution])</f>
        <v>LA</v>
      </c>
      <c r="L62" s="22" t="str">
        <f>_xlfn.XLOOKUP(tblRequirementMeasureXref[[#This Row],[msr_id]],tblMeasure[msr_id],tblMeasure[src_name])</f>
        <v>Adult Social Care Activity and Finance Report</v>
      </c>
    </row>
    <row r="63" spans="1:12" x14ac:dyDescent="0.15">
      <c r="A63" s="1" t="str">
        <f>_xlfn.XLOOKUP(tblRequirementMeasureXref[[#This Row],[dm_id]],tblDataRequirement[dm_id],tblDataRequirement[domain_sub_requirement])</f>
        <v>Service:Support type:Short-term</v>
      </c>
      <c r="B63" s="1" t="str">
        <f>_xlfn.XLOOKUP(tblRequirementMeasureXref[[#This Row],[dm_id]],tblDataRequirement[dm_id],tblDataRequirement[dm_phase])</f>
        <v>operate</v>
      </c>
      <c r="C63" s="1">
        <v>44</v>
      </c>
      <c r="D63" s="1">
        <v>19</v>
      </c>
      <c r="G63" s="1"/>
      <c r="H63" s="61" t="str">
        <f>_xlfn.XLOOKUP(tblRequirementMeasureXref[[#This Row],[msr_id]],tblMeasure[msr_id],tblMeasure[msr_table])</f>
        <v>T19</v>
      </c>
      <c r="I63" s="22" t="str">
        <f>_xlfn.XLOOKUP(tblRequirementMeasureXref[[#This Row],[msr_id]],tblMeasure[msr_id],tblMeasure[msr_name])</f>
        <v>Gross Current Expenditure on long and short term care for clients aged 18 to 64, by care type and primary support reason, 2018-19</v>
      </c>
      <c r="J63" s="22" t="str">
        <f>_xlfn.XLOOKUP(tblRequirementMeasureXref[[#This Row],[msr_id]],tblMeasure[msr_id],tblMeasure[primary_dimensions])</f>
        <v>expenditure</v>
      </c>
      <c r="K63" s="22" t="str">
        <f>_xlfn.XLOOKUP(tblRequirementMeasureXref[[#This Row],[msr_id]],tblMeasure[msr_id],tblMeasure[msr_min_geo_resolution])</f>
        <v>LA</v>
      </c>
      <c r="L63" s="22" t="str">
        <f>_xlfn.XLOOKUP(tblRequirementMeasureXref[[#This Row],[msr_id]],tblMeasure[msr_id],tblMeasure[src_name])</f>
        <v>Adult Social Care Activity and Finance Report</v>
      </c>
    </row>
    <row r="64" spans="1:12" x14ac:dyDescent="0.15">
      <c r="A64" s="1" t="str">
        <f>_xlfn.XLOOKUP(tblRequirementMeasureXref[[#This Row],[dm_id]],tblDataRequirement[dm_id],tblDataRequirement[domain_sub_requirement])</f>
        <v>Service:Support type:Long-term</v>
      </c>
      <c r="B64" s="1" t="str">
        <f>_xlfn.XLOOKUP(tblRequirementMeasureXref[[#This Row],[dm_id]],tblDataRequirement[dm_id],tblDataRequirement[dm_phase])</f>
        <v>operate</v>
      </c>
      <c r="C64" s="1">
        <v>45</v>
      </c>
      <c r="D64" s="1">
        <v>19</v>
      </c>
      <c r="G64" s="1"/>
      <c r="H64" s="61" t="str">
        <f>_xlfn.XLOOKUP(tblRequirementMeasureXref[[#This Row],[msr_id]],tblMeasure[msr_id],tblMeasure[msr_table])</f>
        <v>T19</v>
      </c>
      <c r="I64" s="22" t="str">
        <f>_xlfn.XLOOKUP(tblRequirementMeasureXref[[#This Row],[msr_id]],tblMeasure[msr_id],tblMeasure[msr_name])</f>
        <v>Gross Current Expenditure on long and short term care for clients aged 18 to 64, by care type and primary support reason, 2018-19</v>
      </c>
      <c r="J64" s="22" t="str">
        <f>_xlfn.XLOOKUP(tblRequirementMeasureXref[[#This Row],[msr_id]],tblMeasure[msr_id],tblMeasure[primary_dimensions])</f>
        <v>expenditure</v>
      </c>
      <c r="K64" s="22" t="str">
        <f>_xlfn.XLOOKUP(tblRequirementMeasureXref[[#This Row],[msr_id]],tblMeasure[msr_id],tblMeasure[msr_min_geo_resolution])</f>
        <v>LA</v>
      </c>
      <c r="L64" s="22" t="str">
        <f>_xlfn.XLOOKUP(tblRequirementMeasureXref[[#This Row],[msr_id]],tblMeasure[msr_id],tblMeasure[src_name])</f>
        <v>Adult Social Care Activity and Finance Report</v>
      </c>
    </row>
    <row r="65" spans="1:12" x14ac:dyDescent="0.15">
      <c r="A65" s="1" t="str">
        <f>_xlfn.XLOOKUP(tblRequirementMeasureXref[[#This Row],[dm_id]],tblDataRequirement[dm_id],tblDataRequirement[domain_sub_requirement])</f>
        <v>Users:Care need:Support reason</v>
      </c>
      <c r="B65" s="1" t="str">
        <f>_xlfn.XLOOKUP(tblRequirementMeasureXref[[#This Row],[dm_id]],tblDataRequirement[dm_id],tblDataRequirement[dm_phase])</f>
        <v>demand</v>
      </c>
      <c r="C65" s="1">
        <v>56</v>
      </c>
      <c r="D65" s="1">
        <v>19</v>
      </c>
      <c r="G65" s="1"/>
      <c r="H65" s="61" t="str">
        <f>_xlfn.XLOOKUP(tblRequirementMeasureXref[[#This Row],[msr_id]],tblMeasure[msr_id],tblMeasure[msr_table])</f>
        <v>T19</v>
      </c>
      <c r="I65" s="22" t="str">
        <f>_xlfn.XLOOKUP(tblRequirementMeasureXref[[#This Row],[msr_id]],tblMeasure[msr_id],tblMeasure[msr_name])</f>
        <v>Gross Current Expenditure on long and short term care for clients aged 18 to 64, by care type and primary support reason, 2018-19</v>
      </c>
      <c r="J65" s="22" t="str">
        <f>_xlfn.XLOOKUP(tblRequirementMeasureXref[[#This Row],[msr_id]],tblMeasure[msr_id],tblMeasure[primary_dimensions])</f>
        <v>expenditure</v>
      </c>
      <c r="K65" s="22" t="str">
        <f>_xlfn.XLOOKUP(tblRequirementMeasureXref[[#This Row],[msr_id]],tblMeasure[msr_id],tblMeasure[msr_min_geo_resolution])</f>
        <v>LA</v>
      </c>
      <c r="L65" s="22" t="str">
        <f>_xlfn.XLOOKUP(tblRequirementMeasureXref[[#This Row],[msr_id]],tblMeasure[msr_id],tblMeasure[src_name])</f>
        <v>Adult Social Care Activity and Finance Report</v>
      </c>
    </row>
    <row r="66" spans="1:12" x14ac:dyDescent="0.15">
      <c r="A66" s="1" t="str">
        <f>_xlfn.XLOOKUP(tblRequirementMeasureXref[[#This Row],[dm_id]],tblDataRequirement[dm_id],tblDataRequirement[domain_sub_requirement])</f>
        <v>Funders:Expenditure:Local authorities</v>
      </c>
      <c r="B66" s="1" t="str">
        <f>_xlfn.XLOOKUP(tblRequirementMeasureXref[[#This Row],[dm_id]],tblDataRequirement[dm_id],tblDataRequirement[dm_phase])</f>
        <v>supply</v>
      </c>
      <c r="C66" s="1">
        <v>3</v>
      </c>
      <c r="D66" s="1">
        <v>19</v>
      </c>
      <c r="G66" s="1"/>
      <c r="H66" s="61" t="str">
        <f>_xlfn.XLOOKUP(tblRequirementMeasureXref[[#This Row],[msr_id]],tblMeasure[msr_id],tblMeasure[msr_table])</f>
        <v>T19</v>
      </c>
      <c r="I66" s="22" t="str">
        <f>_xlfn.XLOOKUP(tblRequirementMeasureXref[[#This Row],[msr_id]],tblMeasure[msr_id],tblMeasure[msr_name])</f>
        <v>Gross Current Expenditure on long and short term care for clients aged 18 to 64, by care type and primary support reason, 2018-19</v>
      </c>
      <c r="J66" s="22" t="str">
        <f>_xlfn.XLOOKUP(tblRequirementMeasureXref[[#This Row],[msr_id]],tblMeasure[msr_id],tblMeasure[primary_dimensions])</f>
        <v>expenditure</v>
      </c>
      <c r="K66" s="22" t="str">
        <f>_xlfn.XLOOKUP(tblRequirementMeasureXref[[#This Row],[msr_id]],tblMeasure[msr_id],tblMeasure[msr_min_geo_resolution])</f>
        <v>LA</v>
      </c>
      <c r="L66" s="22" t="str">
        <f>_xlfn.XLOOKUP(tblRequirementMeasureXref[[#This Row],[msr_id]],tblMeasure[msr_id],tblMeasure[src_name])</f>
        <v>Adult Social Care Activity and Finance Report</v>
      </c>
    </row>
    <row r="67" spans="1:12" x14ac:dyDescent="0.15">
      <c r="A67" s="1" t="str">
        <f>_xlfn.XLOOKUP(tblRequirementMeasureXref[[#This Row],[dm_id]],tblDataRequirement[dm_id],tblDataRequirement[domain_sub_requirement])</f>
        <v>Users:Demographics:Age</v>
      </c>
      <c r="B67" s="1" t="str">
        <f>_xlfn.XLOOKUP(tblRequirementMeasureXref[[#This Row],[dm_id]],tblDataRequirement[dm_id],tblDataRequirement[dm_phase])</f>
        <v>demand</v>
      </c>
      <c r="C67" s="1">
        <v>51</v>
      </c>
      <c r="D67" s="1">
        <v>20</v>
      </c>
      <c r="G67" s="1"/>
      <c r="H67" s="61" t="str">
        <f>_xlfn.XLOOKUP(tblRequirementMeasureXref[[#This Row],[msr_id]],tblMeasure[msr_id],tblMeasure[msr_table])</f>
        <v>T20</v>
      </c>
      <c r="I67" s="22" t="str">
        <f>_xlfn.XLOOKUP(tblRequirementMeasureXref[[#This Row],[msr_id]],tblMeasure[msr_id],tblMeasure[msr_name])</f>
        <v>Gross Current Expenditure on long and short term care for clients aged 65 and over, by care type and primary support reason, 2018-19</v>
      </c>
      <c r="J67" s="22" t="str">
        <f>_xlfn.XLOOKUP(tblRequirementMeasureXref[[#This Row],[msr_id]],tblMeasure[msr_id],tblMeasure[primary_dimensions])</f>
        <v>expenditure</v>
      </c>
      <c r="K67" s="22" t="str">
        <f>_xlfn.XLOOKUP(tblRequirementMeasureXref[[#This Row],[msr_id]],tblMeasure[msr_id],tblMeasure[msr_min_geo_resolution])</f>
        <v>LA</v>
      </c>
      <c r="L67" s="22" t="str">
        <f>_xlfn.XLOOKUP(tblRequirementMeasureXref[[#This Row],[msr_id]],tblMeasure[msr_id],tblMeasure[src_name])</f>
        <v>Adult Social Care Activity and Finance Report</v>
      </c>
    </row>
    <row r="68" spans="1:12" x14ac:dyDescent="0.15">
      <c r="A68" s="1" t="str">
        <f>_xlfn.XLOOKUP(tblRequirementMeasureXref[[#This Row],[dm_id]],tblDataRequirement[dm_id],tblDataRequirement[domain_sub_requirement])</f>
        <v>Service:Support type:Short-term</v>
      </c>
      <c r="B68" s="1" t="str">
        <f>_xlfn.XLOOKUP(tblRequirementMeasureXref[[#This Row],[dm_id]],tblDataRequirement[dm_id],tblDataRequirement[dm_phase])</f>
        <v>operate</v>
      </c>
      <c r="C68" s="1">
        <v>44</v>
      </c>
      <c r="D68" s="1">
        <v>20</v>
      </c>
      <c r="G68" s="1"/>
      <c r="H68" s="61" t="str">
        <f>_xlfn.XLOOKUP(tblRequirementMeasureXref[[#This Row],[msr_id]],tblMeasure[msr_id],tblMeasure[msr_table])</f>
        <v>T20</v>
      </c>
      <c r="I68" s="22" t="str">
        <f>_xlfn.XLOOKUP(tblRequirementMeasureXref[[#This Row],[msr_id]],tblMeasure[msr_id],tblMeasure[msr_name])</f>
        <v>Gross Current Expenditure on long and short term care for clients aged 65 and over, by care type and primary support reason, 2018-19</v>
      </c>
      <c r="J68" s="22" t="str">
        <f>_xlfn.XLOOKUP(tblRequirementMeasureXref[[#This Row],[msr_id]],tblMeasure[msr_id],tblMeasure[primary_dimensions])</f>
        <v>expenditure</v>
      </c>
      <c r="K68" s="22" t="str">
        <f>_xlfn.XLOOKUP(tblRequirementMeasureXref[[#This Row],[msr_id]],tblMeasure[msr_id],tblMeasure[msr_min_geo_resolution])</f>
        <v>LA</v>
      </c>
      <c r="L68" s="22" t="str">
        <f>_xlfn.XLOOKUP(tblRequirementMeasureXref[[#This Row],[msr_id]],tblMeasure[msr_id],tblMeasure[src_name])</f>
        <v>Adult Social Care Activity and Finance Report</v>
      </c>
    </row>
    <row r="69" spans="1:12" x14ac:dyDescent="0.15">
      <c r="A69" s="1" t="str">
        <f>_xlfn.XLOOKUP(tblRequirementMeasureXref[[#This Row],[dm_id]],tblDataRequirement[dm_id],tblDataRequirement[domain_sub_requirement])</f>
        <v>Service:Support type:Long-term</v>
      </c>
      <c r="B69" s="1" t="str">
        <f>_xlfn.XLOOKUP(tblRequirementMeasureXref[[#This Row],[dm_id]],tblDataRequirement[dm_id],tblDataRequirement[dm_phase])</f>
        <v>operate</v>
      </c>
      <c r="C69" s="1">
        <v>45</v>
      </c>
      <c r="D69" s="1">
        <v>20</v>
      </c>
      <c r="G69" s="1"/>
      <c r="H69" s="61" t="str">
        <f>_xlfn.XLOOKUP(tblRequirementMeasureXref[[#This Row],[msr_id]],tblMeasure[msr_id],tblMeasure[msr_table])</f>
        <v>T20</v>
      </c>
      <c r="I69" s="22" t="str">
        <f>_xlfn.XLOOKUP(tblRequirementMeasureXref[[#This Row],[msr_id]],tblMeasure[msr_id],tblMeasure[msr_name])</f>
        <v>Gross Current Expenditure on long and short term care for clients aged 65 and over, by care type and primary support reason, 2018-19</v>
      </c>
      <c r="J69" s="22" t="str">
        <f>_xlfn.XLOOKUP(tblRequirementMeasureXref[[#This Row],[msr_id]],tblMeasure[msr_id],tblMeasure[primary_dimensions])</f>
        <v>expenditure</v>
      </c>
      <c r="K69" s="22" t="str">
        <f>_xlfn.XLOOKUP(tblRequirementMeasureXref[[#This Row],[msr_id]],tblMeasure[msr_id],tblMeasure[msr_min_geo_resolution])</f>
        <v>LA</v>
      </c>
      <c r="L69" s="22" t="str">
        <f>_xlfn.XLOOKUP(tblRequirementMeasureXref[[#This Row],[msr_id]],tblMeasure[msr_id],tblMeasure[src_name])</f>
        <v>Adult Social Care Activity and Finance Report</v>
      </c>
    </row>
    <row r="70" spans="1:12" x14ac:dyDescent="0.15">
      <c r="A70" s="1" t="str">
        <f>_xlfn.XLOOKUP(tblRequirementMeasureXref[[#This Row],[dm_id]],tblDataRequirement[dm_id],tblDataRequirement[domain_sub_requirement])</f>
        <v>Users:Care need:Support reason</v>
      </c>
      <c r="B70" s="1" t="str">
        <f>_xlfn.XLOOKUP(tblRequirementMeasureXref[[#This Row],[dm_id]],tblDataRequirement[dm_id],tblDataRequirement[dm_phase])</f>
        <v>demand</v>
      </c>
      <c r="C70" s="1">
        <v>56</v>
      </c>
      <c r="D70" s="1">
        <v>20</v>
      </c>
      <c r="G70" s="1"/>
      <c r="H70" s="61" t="str">
        <f>_xlfn.XLOOKUP(tblRequirementMeasureXref[[#This Row],[msr_id]],tblMeasure[msr_id],tblMeasure[msr_table])</f>
        <v>T20</v>
      </c>
      <c r="I70" s="22" t="str">
        <f>_xlfn.XLOOKUP(tblRequirementMeasureXref[[#This Row],[msr_id]],tblMeasure[msr_id],tblMeasure[msr_name])</f>
        <v>Gross Current Expenditure on long and short term care for clients aged 65 and over, by care type and primary support reason, 2018-19</v>
      </c>
      <c r="J70" s="22" t="str">
        <f>_xlfn.XLOOKUP(tblRequirementMeasureXref[[#This Row],[msr_id]],tblMeasure[msr_id],tblMeasure[primary_dimensions])</f>
        <v>expenditure</v>
      </c>
      <c r="K70" s="22" t="str">
        <f>_xlfn.XLOOKUP(tblRequirementMeasureXref[[#This Row],[msr_id]],tblMeasure[msr_id],tblMeasure[msr_min_geo_resolution])</f>
        <v>LA</v>
      </c>
      <c r="L70" s="22" t="str">
        <f>_xlfn.XLOOKUP(tblRequirementMeasureXref[[#This Row],[msr_id]],tblMeasure[msr_id],tblMeasure[src_name])</f>
        <v>Adult Social Care Activity and Finance Report</v>
      </c>
    </row>
    <row r="71" spans="1:12" x14ac:dyDescent="0.15">
      <c r="A71" s="1" t="str">
        <f>_xlfn.XLOOKUP(tblRequirementMeasureXref[[#This Row],[dm_id]],tblDataRequirement[dm_id],tblDataRequirement[domain_sub_requirement])</f>
        <v>Funders:Expenditure:Local authorities</v>
      </c>
      <c r="B71" s="1" t="str">
        <f>_xlfn.XLOOKUP(tblRequirementMeasureXref[[#This Row],[dm_id]],tblDataRequirement[dm_id],tblDataRequirement[dm_phase])</f>
        <v>supply</v>
      </c>
      <c r="C71" s="1">
        <v>3</v>
      </c>
      <c r="D71" s="1">
        <v>20</v>
      </c>
      <c r="G71" s="1"/>
      <c r="H71" s="61" t="str">
        <f>_xlfn.XLOOKUP(tblRequirementMeasureXref[[#This Row],[msr_id]],tblMeasure[msr_id],tblMeasure[msr_table])</f>
        <v>T20</v>
      </c>
      <c r="I71" s="22" t="str">
        <f>_xlfn.XLOOKUP(tblRequirementMeasureXref[[#This Row],[msr_id]],tblMeasure[msr_id],tblMeasure[msr_name])</f>
        <v>Gross Current Expenditure on long and short term care for clients aged 65 and over, by care type and primary support reason, 2018-19</v>
      </c>
      <c r="J71" s="22" t="str">
        <f>_xlfn.XLOOKUP(tblRequirementMeasureXref[[#This Row],[msr_id]],tblMeasure[msr_id],tblMeasure[primary_dimensions])</f>
        <v>expenditure</v>
      </c>
      <c r="K71" s="22" t="str">
        <f>_xlfn.XLOOKUP(tblRequirementMeasureXref[[#This Row],[msr_id]],tblMeasure[msr_id],tblMeasure[msr_min_geo_resolution])</f>
        <v>LA</v>
      </c>
      <c r="L71" s="22" t="str">
        <f>_xlfn.XLOOKUP(tblRequirementMeasureXref[[#This Row],[msr_id]],tblMeasure[msr_id],tblMeasure[src_name])</f>
        <v>Adult Social Care Activity and Finance Report</v>
      </c>
    </row>
    <row r="72" spans="1:12" x14ac:dyDescent="0.15">
      <c r="A72" s="1" t="str">
        <f>_xlfn.XLOOKUP(tblRequirementMeasureXref[[#This Row],[dm_id]],tblDataRequirement[dm_id],tblDataRequirement[domain_sub_requirement])</f>
        <v>Users:Demographics:Age</v>
      </c>
      <c r="B72" s="1" t="str">
        <f>_xlfn.XLOOKUP(tblRequirementMeasureXref[[#This Row],[dm_id]],tblDataRequirement[dm_id],tblDataRequirement[dm_phase])</f>
        <v>demand</v>
      </c>
      <c r="C72" s="1">
        <v>51</v>
      </c>
      <c r="D72" s="1">
        <v>21</v>
      </c>
      <c r="G72" s="1"/>
      <c r="H72" s="61" t="str">
        <f>_xlfn.XLOOKUP(tblRequirementMeasureXref[[#This Row],[msr_id]],tblMeasure[msr_id],tblMeasure[msr_table])</f>
        <v>T21</v>
      </c>
      <c r="I72" s="22" t="str">
        <f>_xlfn.XLOOKUP(tblRequirementMeasureXref[[#This Row],[msr_id]],tblMeasure[msr_id],tblMeasure[msr_name])</f>
        <v>Number of completed episodes of ST-Max for new clients, by what happened next and age band, 2018-19</v>
      </c>
      <c r="J72" s="22" t="str">
        <f>_xlfn.XLOOKUP(tblRequirementMeasureXref[[#This Row],[msr_id]],tblMeasure[msr_id],tblMeasure[primary_dimensions])</f>
        <v>new clients, completed episodes, sequel</v>
      </c>
      <c r="K72" s="22" t="str">
        <f>_xlfn.XLOOKUP(tblRequirementMeasureXref[[#This Row],[msr_id]],tblMeasure[msr_id],tblMeasure[msr_min_geo_resolution])</f>
        <v>Region</v>
      </c>
      <c r="L72" s="22" t="str">
        <f>_xlfn.XLOOKUP(tblRequirementMeasureXref[[#This Row],[msr_id]],tblMeasure[msr_id],tblMeasure[src_name])</f>
        <v>Adult Social Care Activity and Finance Report</v>
      </c>
    </row>
    <row r="73" spans="1:12" x14ac:dyDescent="0.15">
      <c r="A73" s="1" t="str">
        <f>_xlfn.XLOOKUP(tblRequirementMeasureXref[[#This Row],[dm_id]],tblDataRequirement[dm_id],tblDataRequirement[domain_sub_requirement])</f>
        <v>Service:Support type:Reablement / ST-MAX</v>
      </c>
      <c r="B73" s="1" t="str">
        <f>_xlfn.XLOOKUP(tblRequirementMeasureXref[[#This Row],[dm_id]],tblDataRequirement[dm_id],tblDataRequirement[dm_phase])</f>
        <v>operate</v>
      </c>
      <c r="C73" s="1">
        <v>46</v>
      </c>
      <c r="D73" s="1">
        <v>21</v>
      </c>
      <c r="G73" s="1"/>
      <c r="H73" s="61" t="str">
        <f>_xlfn.XLOOKUP(tblRequirementMeasureXref[[#This Row],[msr_id]],tblMeasure[msr_id],tblMeasure[msr_table])</f>
        <v>T21</v>
      </c>
      <c r="I73" s="22" t="str">
        <f>_xlfn.XLOOKUP(tblRequirementMeasureXref[[#This Row],[msr_id]],tblMeasure[msr_id],tblMeasure[msr_name])</f>
        <v>Number of completed episodes of ST-Max for new clients, by what happened next and age band, 2018-19</v>
      </c>
      <c r="J73" s="22" t="str">
        <f>_xlfn.XLOOKUP(tblRequirementMeasureXref[[#This Row],[msr_id]],tblMeasure[msr_id],tblMeasure[primary_dimensions])</f>
        <v>new clients, completed episodes, sequel</v>
      </c>
      <c r="K73" s="22" t="str">
        <f>_xlfn.XLOOKUP(tblRequirementMeasureXref[[#This Row],[msr_id]],tblMeasure[msr_id],tblMeasure[msr_min_geo_resolution])</f>
        <v>Region</v>
      </c>
      <c r="L73" s="22" t="str">
        <f>_xlfn.XLOOKUP(tblRequirementMeasureXref[[#This Row],[msr_id]],tblMeasure[msr_id],tblMeasure[src_name])</f>
        <v>Adult Social Care Activity and Finance Report</v>
      </c>
    </row>
    <row r="74" spans="1:12" x14ac:dyDescent="0.15">
      <c r="A74" s="1" t="str">
        <f>_xlfn.XLOOKUP(tblRequirementMeasureXref[[#This Row],[dm_id]],tblDataRequirement[dm_id],tblDataRequirement[domain_sub_requirement])</f>
        <v>Service:Access:Sequel to service</v>
      </c>
      <c r="B74" s="1" t="str">
        <f>_xlfn.XLOOKUP(tblRequirementMeasureXref[[#This Row],[dm_id]],tblDataRequirement[dm_id],tblDataRequirement[dm_phase])</f>
        <v>demand</v>
      </c>
      <c r="C74" s="1">
        <v>59</v>
      </c>
      <c r="D74" s="1">
        <v>21</v>
      </c>
      <c r="G74" s="1"/>
      <c r="H74" s="61" t="str">
        <f>_xlfn.XLOOKUP(tblRequirementMeasureXref[[#This Row],[msr_id]],tblMeasure[msr_id],tblMeasure[msr_table])</f>
        <v>T21</v>
      </c>
      <c r="I74" s="22" t="str">
        <f>_xlfn.XLOOKUP(tblRequirementMeasureXref[[#This Row],[msr_id]],tblMeasure[msr_id],tblMeasure[msr_name])</f>
        <v>Number of completed episodes of ST-Max for new clients, by what happened next and age band, 2018-19</v>
      </c>
      <c r="J74" s="22" t="str">
        <f>_xlfn.XLOOKUP(tblRequirementMeasureXref[[#This Row],[msr_id]],tblMeasure[msr_id],tblMeasure[primary_dimensions])</f>
        <v>new clients, completed episodes, sequel</v>
      </c>
      <c r="K74" s="22" t="str">
        <f>_xlfn.XLOOKUP(tblRequirementMeasureXref[[#This Row],[msr_id]],tblMeasure[msr_id],tblMeasure[msr_min_geo_resolution])</f>
        <v>Region</v>
      </c>
      <c r="L74" s="22" t="str">
        <f>_xlfn.XLOOKUP(tblRequirementMeasureXref[[#This Row],[msr_id]],tblMeasure[msr_id],tblMeasure[src_name])</f>
        <v>Adult Social Care Activity and Finance Report</v>
      </c>
    </row>
    <row r="75" spans="1:12" x14ac:dyDescent="0.15">
      <c r="A75" s="1" t="str">
        <f>_xlfn.XLOOKUP(tblRequirementMeasureXref[[#This Row],[dm_id]],tblDataRequirement[dm_id],tblDataRequirement[domain_sub_requirement])</f>
        <v>Service:Support type:Reablement / ST-MAX</v>
      </c>
      <c r="B75" s="1" t="str">
        <f>_xlfn.XLOOKUP(tblRequirementMeasureXref[[#This Row],[dm_id]],tblDataRequirement[dm_id],tblDataRequirement[dm_phase])</f>
        <v>operate</v>
      </c>
      <c r="C75" s="1">
        <v>46</v>
      </c>
      <c r="D75" s="1">
        <v>22</v>
      </c>
      <c r="G75" s="1"/>
      <c r="H75" s="61" t="str">
        <f>_xlfn.XLOOKUP(tblRequirementMeasureXref[[#This Row],[msr_id]],tblMeasure[msr_id],tblMeasure[msr_table])</f>
        <v>T22</v>
      </c>
      <c r="I75" s="22" t="str">
        <f>_xlfn.XLOOKUP(tblRequirementMeasureXref[[#This Row],[msr_id]],tblMeasure[msr_id],tblMeasure[msr_name])</f>
        <v>Number of completed episodes of ST-Max for new clients, by what happened next, 2018-19</v>
      </c>
      <c r="J75" s="22" t="str">
        <f>_xlfn.XLOOKUP(tblRequirementMeasureXref[[#This Row],[msr_id]],tblMeasure[msr_id],tblMeasure[primary_dimensions])</f>
        <v>new clients, completed episodes, sequel</v>
      </c>
      <c r="K75" s="22" t="str">
        <f>_xlfn.XLOOKUP(tblRequirementMeasureXref[[#This Row],[msr_id]],tblMeasure[msr_id],tblMeasure[msr_min_geo_resolution])</f>
        <v>LA</v>
      </c>
      <c r="L75" s="22" t="str">
        <f>_xlfn.XLOOKUP(tblRequirementMeasureXref[[#This Row],[msr_id]],tblMeasure[msr_id],tblMeasure[src_name])</f>
        <v>Adult Social Care Activity and Finance Report</v>
      </c>
    </row>
    <row r="76" spans="1:12" x14ac:dyDescent="0.15">
      <c r="A76" s="1" t="str">
        <f>_xlfn.XLOOKUP(tblRequirementMeasureXref[[#This Row],[dm_id]],tblDataRequirement[dm_id],tblDataRequirement[domain_sub_requirement])</f>
        <v>Service:Access:Sequel to service</v>
      </c>
      <c r="B76" s="1" t="str">
        <f>_xlfn.XLOOKUP(tblRequirementMeasureXref[[#This Row],[dm_id]],tblDataRequirement[dm_id],tblDataRequirement[dm_phase])</f>
        <v>demand</v>
      </c>
      <c r="C76" s="1">
        <v>59</v>
      </c>
      <c r="D76" s="1">
        <v>22</v>
      </c>
      <c r="G76" s="1"/>
      <c r="H76" s="61" t="str">
        <f>_xlfn.XLOOKUP(tblRequirementMeasureXref[[#This Row],[msr_id]],tblMeasure[msr_id],tblMeasure[msr_table])</f>
        <v>T22</v>
      </c>
      <c r="I76" s="22" t="str">
        <f>_xlfn.XLOOKUP(tblRequirementMeasureXref[[#This Row],[msr_id]],tblMeasure[msr_id],tblMeasure[msr_name])</f>
        <v>Number of completed episodes of ST-Max for new clients, by what happened next, 2018-19</v>
      </c>
      <c r="J76" s="22" t="str">
        <f>_xlfn.XLOOKUP(tblRequirementMeasureXref[[#This Row],[msr_id]],tblMeasure[msr_id],tblMeasure[primary_dimensions])</f>
        <v>new clients, completed episodes, sequel</v>
      </c>
      <c r="K76" s="22" t="str">
        <f>_xlfn.XLOOKUP(tblRequirementMeasureXref[[#This Row],[msr_id]],tblMeasure[msr_id],tblMeasure[msr_min_geo_resolution])</f>
        <v>LA</v>
      </c>
      <c r="L76" s="22" t="str">
        <f>_xlfn.XLOOKUP(tblRequirementMeasureXref[[#This Row],[msr_id]],tblMeasure[msr_id],tblMeasure[src_name])</f>
        <v>Adult Social Care Activity and Finance Report</v>
      </c>
    </row>
    <row r="77" spans="1:12" x14ac:dyDescent="0.15">
      <c r="A77" s="1" t="str">
        <f>_xlfn.XLOOKUP(tblRequirementMeasureXref[[#This Row],[dm_id]],tblDataRequirement[dm_id],tblDataRequirement[domain_sub_requirement])</f>
        <v>Users:Demographics:Age</v>
      </c>
      <c r="B77" s="1" t="str">
        <f>_xlfn.XLOOKUP(tblRequirementMeasureXref[[#This Row],[dm_id]],tblDataRequirement[dm_id],tblDataRequirement[dm_phase])</f>
        <v>demand</v>
      </c>
      <c r="C77" s="1">
        <v>51</v>
      </c>
      <c r="D77" s="1">
        <v>23</v>
      </c>
      <c r="G77" s="1"/>
      <c r="H77" s="61" t="str">
        <f>_xlfn.XLOOKUP(tblRequirementMeasureXref[[#This Row],[msr_id]],tblMeasure[msr_id],tblMeasure[msr_table])</f>
        <v>T23</v>
      </c>
      <c r="I77" s="22" t="str">
        <f>_xlfn.XLOOKUP(tblRequirementMeasureXref[[#This Row],[msr_id]],tblMeasure[msr_id],tblMeasure[msr_name])</f>
        <v>Number of completed episodes of ST-Max for new clients, by primary support reason, age band and what happened next, 2018-19</v>
      </c>
      <c r="J77" s="22" t="str">
        <f>_xlfn.XLOOKUP(tblRequirementMeasureXref[[#This Row],[msr_id]],tblMeasure[msr_id],tblMeasure[primary_dimensions])</f>
        <v>new clients, completed episodes, sequel</v>
      </c>
      <c r="K77" s="22" t="str">
        <f>_xlfn.XLOOKUP(tblRequirementMeasureXref[[#This Row],[msr_id]],tblMeasure[msr_id],tblMeasure[msr_min_geo_resolution])</f>
        <v>England</v>
      </c>
      <c r="L77" s="22" t="str">
        <f>_xlfn.XLOOKUP(tblRequirementMeasureXref[[#This Row],[msr_id]],tblMeasure[msr_id],tblMeasure[src_name])</f>
        <v>Adult Social Care Activity and Finance Report</v>
      </c>
    </row>
    <row r="78" spans="1:12" x14ac:dyDescent="0.15">
      <c r="A78" s="1" t="str">
        <f>_xlfn.XLOOKUP(tblRequirementMeasureXref[[#This Row],[dm_id]],tblDataRequirement[dm_id],tblDataRequirement[domain_sub_requirement])</f>
        <v>Service:Support type:Reablement / ST-MAX</v>
      </c>
      <c r="B78" s="1" t="str">
        <f>_xlfn.XLOOKUP(tblRequirementMeasureXref[[#This Row],[dm_id]],tblDataRequirement[dm_id],tblDataRequirement[dm_phase])</f>
        <v>operate</v>
      </c>
      <c r="C78" s="1">
        <v>46</v>
      </c>
      <c r="D78" s="1">
        <v>23</v>
      </c>
      <c r="G78" s="1"/>
      <c r="H78" s="61" t="str">
        <f>_xlfn.XLOOKUP(tblRequirementMeasureXref[[#This Row],[msr_id]],tblMeasure[msr_id],tblMeasure[msr_table])</f>
        <v>T23</v>
      </c>
      <c r="I78" s="22" t="str">
        <f>_xlfn.XLOOKUP(tblRequirementMeasureXref[[#This Row],[msr_id]],tblMeasure[msr_id],tblMeasure[msr_name])</f>
        <v>Number of completed episodes of ST-Max for new clients, by primary support reason, age band and what happened next, 2018-19</v>
      </c>
      <c r="J78" s="22" t="str">
        <f>_xlfn.XLOOKUP(tblRequirementMeasureXref[[#This Row],[msr_id]],tblMeasure[msr_id],tblMeasure[primary_dimensions])</f>
        <v>new clients, completed episodes, sequel</v>
      </c>
      <c r="K78" s="22" t="str">
        <f>_xlfn.XLOOKUP(tblRequirementMeasureXref[[#This Row],[msr_id]],tblMeasure[msr_id],tblMeasure[msr_min_geo_resolution])</f>
        <v>England</v>
      </c>
      <c r="L78" s="22" t="str">
        <f>_xlfn.XLOOKUP(tblRequirementMeasureXref[[#This Row],[msr_id]],tblMeasure[msr_id],tblMeasure[src_name])</f>
        <v>Adult Social Care Activity and Finance Report</v>
      </c>
    </row>
    <row r="79" spans="1:12" x14ac:dyDescent="0.15">
      <c r="A79" s="1" t="str">
        <f>_xlfn.XLOOKUP(tblRequirementMeasureXref[[#This Row],[dm_id]],tblDataRequirement[dm_id],tblDataRequirement[domain_sub_requirement])</f>
        <v>Service:Access:Sequel to service</v>
      </c>
      <c r="B79" s="1" t="str">
        <f>_xlfn.XLOOKUP(tblRequirementMeasureXref[[#This Row],[dm_id]],tblDataRequirement[dm_id],tblDataRequirement[dm_phase])</f>
        <v>demand</v>
      </c>
      <c r="C79" s="1">
        <v>59</v>
      </c>
      <c r="D79" s="1">
        <v>23</v>
      </c>
      <c r="G79" s="1"/>
      <c r="H79" s="61" t="str">
        <f>_xlfn.XLOOKUP(tblRequirementMeasureXref[[#This Row],[msr_id]],tblMeasure[msr_id],tblMeasure[msr_table])</f>
        <v>T23</v>
      </c>
      <c r="I79" s="22" t="str">
        <f>_xlfn.XLOOKUP(tblRequirementMeasureXref[[#This Row],[msr_id]],tblMeasure[msr_id],tblMeasure[msr_name])</f>
        <v>Number of completed episodes of ST-Max for new clients, by primary support reason, age band and what happened next, 2018-19</v>
      </c>
      <c r="J79" s="22" t="str">
        <f>_xlfn.XLOOKUP(tblRequirementMeasureXref[[#This Row],[msr_id]],tblMeasure[msr_id],tblMeasure[primary_dimensions])</f>
        <v>new clients, completed episodes, sequel</v>
      </c>
      <c r="K79" s="22" t="str">
        <f>_xlfn.XLOOKUP(tblRequirementMeasureXref[[#This Row],[msr_id]],tblMeasure[msr_id],tblMeasure[msr_min_geo_resolution])</f>
        <v>England</v>
      </c>
      <c r="L79" s="22" t="str">
        <f>_xlfn.XLOOKUP(tblRequirementMeasureXref[[#This Row],[msr_id]],tblMeasure[msr_id],tblMeasure[src_name])</f>
        <v>Adult Social Care Activity and Finance Report</v>
      </c>
    </row>
    <row r="80" spans="1:12" x14ac:dyDescent="0.15">
      <c r="A80" s="1" t="str">
        <f>_xlfn.XLOOKUP(tblRequirementMeasureXref[[#This Row],[dm_id]],tblDataRequirement[dm_id],tblDataRequirement[domain_sub_requirement])</f>
        <v>Users:Care need:Support reason</v>
      </c>
      <c r="B80" s="1" t="str">
        <f>_xlfn.XLOOKUP(tblRequirementMeasureXref[[#This Row],[dm_id]],tblDataRequirement[dm_id],tblDataRequirement[dm_phase])</f>
        <v>demand</v>
      </c>
      <c r="C80" s="1">
        <v>56</v>
      </c>
      <c r="D80" s="1">
        <v>23</v>
      </c>
      <c r="G80" s="1"/>
      <c r="H80" s="61" t="str">
        <f>_xlfn.XLOOKUP(tblRequirementMeasureXref[[#This Row],[msr_id]],tblMeasure[msr_id],tblMeasure[msr_table])</f>
        <v>T23</v>
      </c>
      <c r="I80" s="22" t="str">
        <f>_xlfn.XLOOKUP(tblRequirementMeasureXref[[#This Row],[msr_id]],tblMeasure[msr_id],tblMeasure[msr_name])</f>
        <v>Number of completed episodes of ST-Max for new clients, by primary support reason, age band and what happened next, 2018-19</v>
      </c>
      <c r="J80" s="22" t="str">
        <f>_xlfn.XLOOKUP(tblRequirementMeasureXref[[#This Row],[msr_id]],tblMeasure[msr_id],tblMeasure[primary_dimensions])</f>
        <v>new clients, completed episodes, sequel</v>
      </c>
      <c r="K80" s="22" t="str">
        <f>_xlfn.XLOOKUP(tblRequirementMeasureXref[[#This Row],[msr_id]],tblMeasure[msr_id],tblMeasure[msr_min_geo_resolution])</f>
        <v>England</v>
      </c>
      <c r="L80" s="22" t="str">
        <f>_xlfn.XLOOKUP(tblRequirementMeasureXref[[#This Row],[msr_id]],tblMeasure[msr_id],tblMeasure[src_name])</f>
        <v>Adult Social Care Activity and Finance Report</v>
      </c>
    </row>
    <row r="81" spans="1:12" x14ac:dyDescent="0.15">
      <c r="A81" s="1" t="str">
        <f>_xlfn.XLOOKUP(tblRequirementMeasureXref[[#This Row],[dm_id]],tblDataRequirement[dm_id],tblDataRequirement[domain_sub_requirement])</f>
        <v>Users:Demographics:Age</v>
      </c>
      <c r="B81" s="1" t="str">
        <f>_xlfn.XLOOKUP(tblRequirementMeasureXref[[#This Row],[dm_id]],tblDataRequirement[dm_id],tblDataRequirement[dm_phase])</f>
        <v>demand</v>
      </c>
      <c r="C81" s="1">
        <v>51</v>
      </c>
      <c r="D81" s="1">
        <v>25</v>
      </c>
      <c r="G81" s="1"/>
      <c r="H81" s="61" t="str">
        <f>_xlfn.XLOOKUP(tblRequirementMeasureXref[[#This Row],[msr_id]],tblMeasure[msr_id],tblMeasure[msr_table])</f>
        <v>T25</v>
      </c>
      <c r="I81" s="22" t="str">
        <f>_xlfn.XLOOKUP(tblRequirementMeasureXref[[#This Row],[msr_id]],tblMeasure[msr_id],tblMeasure[msr_name])</f>
        <v>Number of completed episodes of ST-Max for existing clients aged 18 to 64, by primary support reason, 2018-19</v>
      </c>
      <c r="J81" s="22" t="str">
        <f>_xlfn.XLOOKUP(tblRequirementMeasureXref[[#This Row],[msr_id]],tblMeasure[msr_id],tblMeasure[primary_dimensions])</f>
        <v>existing clients, completed episodes</v>
      </c>
      <c r="K81" s="22" t="str">
        <f>_xlfn.XLOOKUP(tblRequirementMeasureXref[[#This Row],[msr_id]],tblMeasure[msr_id],tblMeasure[msr_min_geo_resolution])</f>
        <v>LA</v>
      </c>
      <c r="L81" s="22" t="str">
        <f>_xlfn.XLOOKUP(tblRequirementMeasureXref[[#This Row],[msr_id]],tblMeasure[msr_id],tblMeasure[src_name])</f>
        <v>Adult Social Care Activity and Finance Report</v>
      </c>
    </row>
    <row r="82" spans="1:12" x14ac:dyDescent="0.15">
      <c r="A82" s="1" t="str">
        <f>_xlfn.XLOOKUP(tblRequirementMeasureXref[[#This Row],[dm_id]],tblDataRequirement[dm_id],tblDataRequirement[domain_sub_requirement])</f>
        <v>Service:Support type:Reablement / ST-MAX</v>
      </c>
      <c r="B82" s="1" t="str">
        <f>_xlfn.XLOOKUP(tblRequirementMeasureXref[[#This Row],[dm_id]],tblDataRequirement[dm_id],tblDataRequirement[dm_phase])</f>
        <v>operate</v>
      </c>
      <c r="C82" s="1">
        <v>46</v>
      </c>
      <c r="D82" s="1">
        <v>25</v>
      </c>
      <c r="G82" s="1"/>
      <c r="H82" s="61" t="str">
        <f>_xlfn.XLOOKUP(tblRequirementMeasureXref[[#This Row],[msr_id]],tblMeasure[msr_id],tblMeasure[msr_table])</f>
        <v>T25</v>
      </c>
      <c r="I82" s="22" t="str">
        <f>_xlfn.XLOOKUP(tblRequirementMeasureXref[[#This Row],[msr_id]],tblMeasure[msr_id],tblMeasure[msr_name])</f>
        <v>Number of completed episodes of ST-Max for existing clients aged 18 to 64, by primary support reason, 2018-19</v>
      </c>
      <c r="J82" s="22" t="str">
        <f>_xlfn.XLOOKUP(tblRequirementMeasureXref[[#This Row],[msr_id]],tblMeasure[msr_id],tblMeasure[primary_dimensions])</f>
        <v>existing clients, completed episodes</v>
      </c>
      <c r="K82" s="22" t="str">
        <f>_xlfn.XLOOKUP(tblRequirementMeasureXref[[#This Row],[msr_id]],tblMeasure[msr_id],tblMeasure[msr_min_geo_resolution])</f>
        <v>LA</v>
      </c>
      <c r="L82" s="22" t="str">
        <f>_xlfn.XLOOKUP(tblRequirementMeasureXref[[#This Row],[msr_id]],tblMeasure[msr_id],tblMeasure[src_name])</f>
        <v>Adult Social Care Activity and Finance Report</v>
      </c>
    </row>
    <row r="83" spans="1:12" x14ac:dyDescent="0.15">
      <c r="A83" s="1" t="str">
        <f>_xlfn.XLOOKUP(tblRequirementMeasureXref[[#This Row],[dm_id]],tblDataRequirement[dm_id],tblDataRequirement[domain_sub_requirement])</f>
        <v>Users:Care need:Support reason</v>
      </c>
      <c r="B83" s="1" t="str">
        <f>_xlfn.XLOOKUP(tblRequirementMeasureXref[[#This Row],[dm_id]],tblDataRequirement[dm_id],tblDataRequirement[dm_phase])</f>
        <v>demand</v>
      </c>
      <c r="C83" s="1">
        <v>56</v>
      </c>
      <c r="D83" s="1">
        <v>25</v>
      </c>
      <c r="G83" s="1"/>
      <c r="H83" s="61" t="str">
        <f>_xlfn.XLOOKUP(tblRequirementMeasureXref[[#This Row],[msr_id]],tblMeasure[msr_id],tblMeasure[msr_table])</f>
        <v>T25</v>
      </c>
      <c r="I83" s="22" t="str">
        <f>_xlfn.XLOOKUP(tblRequirementMeasureXref[[#This Row],[msr_id]],tblMeasure[msr_id],tblMeasure[msr_name])</f>
        <v>Number of completed episodes of ST-Max for existing clients aged 18 to 64, by primary support reason, 2018-19</v>
      </c>
      <c r="J83" s="22" t="str">
        <f>_xlfn.XLOOKUP(tblRequirementMeasureXref[[#This Row],[msr_id]],tblMeasure[msr_id],tblMeasure[primary_dimensions])</f>
        <v>existing clients, completed episodes</v>
      </c>
      <c r="K83" s="22" t="str">
        <f>_xlfn.XLOOKUP(tblRequirementMeasureXref[[#This Row],[msr_id]],tblMeasure[msr_id],tblMeasure[msr_min_geo_resolution])</f>
        <v>LA</v>
      </c>
      <c r="L83" s="22" t="str">
        <f>_xlfn.XLOOKUP(tblRequirementMeasureXref[[#This Row],[msr_id]],tblMeasure[msr_id],tblMeasure[src_name])</f>
        <v>Adult Social Care Activity and Finance Report</v>
      </c>
    </row>
    <row r="84" spans="1:12" x14ac:dyDescent="0.15">
      <c r="A84" s="1" t="str">
        <f>_xlfn.XLOOKUP(tblRequirementMeasureXref[[#This Row],[dm_id]],tblDataRequirement[dm_id],tblDataRequirement[domain_sub_requirement])</f>
        <v>Service:Support type:Long-term</v>
      </c>
      <c r="B84" s="1" t="str">
        <f>_xlfn.XLOOKUP(tblRequirementMeasureXref[[#This Row],[dm_id]],tblDataRequirement[dm_id],tblDataRequirement[dm_phase])</f>
        <v>operate</v>
      </c>
      <c r="C84" s="1">
        <v>45</v>
      </c>
      <c r="D84" s="1">
        <v>25</v>
      </c>
      <c r="G84" s="1"/>
      <c r="H84" s="61" t="str">
        <f>_xlfn.XLOOKUP(tblRequirementMeasureXref[[#This Row],[msr_id]],tblMeasure[msr_id],tblMeasure[msr_table])</f>
        <v>T25</v>
      </c>
      <c r="I84" s="22" t="str">
        <f>_xlfn.XLOOKUP(tblRequirementMeasureXref[[#This Row],[msr_id]],tblMeasure[msr_id],tblMeasure[msr_name])</f>
        <v>Number of completed episodes of ST-Max for existing clients aged 18 to 64, by primary support reason, 2018-19</v>
      </c>
      <c r="J84" s="22" t="str">
        <f>_xlfn.XLOOKUP(tblRequirementMeasureXref[[#This Row],[msr_id]],tblMeasure[msr_id],tblMeasure[primary_dimensions])</f>
        <v>existing clients, completed episodes</v>
      </c>
      <c r="K84" s="22" t="str">
        <f>_xlfn.XLOOKUP(tblRequirementMeasureXref[[#This Row],[msr_id]],tblMeasure[msr_id],tblMeasure[msr_min_geo_resolution])</f>
        <v>LA</v>
      </c>
      <c r="L84" s="22" t="str">
        <f>_xlfn.XLOOKUP(tblRequirementMeasureXref[[#This Row],[msr_id]],tblMeasure[msr_id],tblMeasure[src_name])</f>
        <v>Adult Social Care Activity and Finance Report</v>
      </c>
    </row>
    <row r="85" spans="1:12" x14ac:dyDescent="0.15">
      <c r="A85" s="1" t="str">
        <f>_xlfn.XLOOKUP(tblRequirementMeasureXref[[#This Row],[dm_id]],tblDataRequirement[dm_id],tblDataRequirement[domain_sub_requirement])</f>
        <v>Users:Demographics:Age</v>
      </c>
      <c r="B85" s="1" t="str">
        <f>_xlfn.XLOOKUP(tblRequirementMeasureXref[[#This Row],[dm_id]],tblDataRequirement[dm_id],tblDataRequirement[dm_phase])</f>
        <v>demand</v>
      </c>
      <c r="C85" s="1">
        <v>51</v>
      </c>
      <c r="D85" s="1">
        <v>26</v>
      </c>
      <c r="G85" s="1"/>
      <c r="H85" s="61" t="str">
        <f>_xlfn.XLOOKUP(tblRequirementMeasureXref[[#This Row],[msr_id]],tblMeasure[msr_id],tblMeasure[msr_table])</f>
        <v>T26</v>
      </c>
      <c r="I85" s="22" t="str">
        <f>_xlfn.XLOOKUP(tblRequirementMeasureXref[[#This Row],[msr_id]],tblMeasure[msr_id],tblMeasure[msr_name])</f>
        <v>Number of completed episodes of ST-Max for existing clients aged 65 and over, by primary support reason, 2018-19</v>
      </c>
      <c r="J85" s="22" t="str">
        <f>_xlfn.XLOOKUP(tblRequirementMeasureXref[[#This Row],[msr_id]],tblMeasure[msr_id],tblMeasure[primary_dimensions])</f>
        <v>existing clients, completed episodes</v>
      </c>
      <c r="K85" s="22" t="str">
        <f>_xlfn.XLOOKUP(tblRequirementMeasureXref[[#This Row],[msr_id]],tblMeasure[msr_id],tblMeasure[msr_min_geo_resolution])</f>
        <v>LA</v>
      </c>
      <c r="L85" s="22" t="str">
        <f>_xlfn.XLOOKUP(tblRequirementMeasureXref[[#This Row],[msr_id]],tblMeasure[msr_id],tblMeasure[src_name])</f>
        <v>Adult Social Care Activity and Finance Report</v>
      </c>
    </row>
    <row r="86" spans="1:12" x14ac:dyDescent="0.15">
      <c r="A86" s="1" t="str">
        <f>_xlfn.XLOOKUP(tblRequirementMeasureXref[[#This Row],[dm_id]],tblDataRequirement[dm_id],tblDataRequirement[domain_sub_requirement])</f>
        <v>Service:Support type:Reablement / ST-MAX</v>
      </c>
      <c r="B86" s="1" t="str">
        <f>_xlfn.XLOOKUP(tblRequirementMeasureXref[[#This Row],[dm_id]],tblDataRequirement[dm_id],tblDataRequirement[dm_phase])</f>
        <v>operate</v>
      </c>
      <c r="C86" s="1">
        <v>46</v>
      </c>
      <c r="D86" s="1">
        <v>26</v>
      </c>
      <c r="G86" s="1"/>
      <c r="H86" s="61" t="str">
        <f>_xlfn.XLOOKUP(tblRequirementMeasureXref[[#This Row],[msr_id]],tblMeasure[msr_id],tblMeasure[msr_table])</f>
        <v>T26</v>
      </c>
      <c r="I86" s="22" t="str">
        <f>_xlfn.XLOOKUP(tblRequirementMeasureXref[[#This Row],[msr_id]],tblMeasure[msr_id],tblMeasure[msr_name])</f>
        <v>Number of completed episodes of ST-Max for existing clients aged 65 and over, by primary support reason, 2018-19</v>
      </c>
      <c r="J86" s="22" t="str">
        <f>_xlfn.XLOOKUP(tblRequirementMeasureXref[[#This Row],[msr_id]],tblMeasure[msr_id],tblMeasure[primary_dimensions])</f>
        <v>existing clients, completed episodes</v>
      </c>
      <c r="K86" s="22" t="str">
        <f>_xlfn.XLOOKUP(tblRequirementMeasureXref[[#This Row],[msr_id]],tblMeasure[msr_id],tblMeasure[msr_min_geo_resolution])</f>
        <v>LA</v>
      </c>
      <c r="L86" s="22" t="str">
        <f>_xlfn.XLOOKUP(tblRequirementMeasureXref[[#This Row],[msr_id]],tblMeasure[msr_id],tblMeasure[src_name])</f>
        <v>Adult Social Care Activity and Finance Report</v>
      </c>
    </row>
    <row r="87" spans="1:12" x14ac:dyDescent="0.15">
      <c r="A87" s="1" t="str">
        <f>_xlfn.XLOOKUP(tblRequirementMeasureXref[[#This Row],[dm_id]],tblDataRequirement[dm_id],tblDataRequirement[domain_sub_requirement])</f>
        <v>Users:Care need:Support reason</v>
      </c>
      <c r="B87" s="1" t="str">
        <f>_xlfn.XLOOKUP(tblRequirementMeasureXref[[#This Row],[dm_id]],tblDataRequirement[dm_id],tblDataRequirement[dm_phase])</f>
        <v>demand</v>
      </c>
      <c r="C87" s="1">
        <v>56</v>
      </c>
      <c r="D87" s="1">
        <v>26</v>
      </c>
      <c r="G87" s="1"/>
      <c r="H87" s="61" t="str">
        <f>_xlfn.XLOOKUP(tblRequirementMeasureXref[[#This Row],[msr_id]],tblMeasure[msr_id],tblMeasure[msr_table])</f>
        <v>T26</v>
      </c>
      <c r="I87" s="22" t="str">
        <f>_xlfn.XLOOKUP(tblRequirementMeasureXref[[#This Row],[msr_id]],tblMeasure[msr_id],tblMeasure[msr_name])</f>
        <v>Number of completed episodes of ST-Max for existing clients aged 65 and over, by primary support reason, 2018-19</v>
      </c>
      <c r="J87" s="22" t="str">
        <f>_xlfn.XLOOKUP(tblRequirementMeasureXref[[#This Row],[msr_id]],tblMeasure[msr_id],tblMeasure[primary_dimensions])</f>
        <v>existing clients, completed episodes</v>
      </c>
      <c r="K87" s="22" t="str">
        <f>_xlfn.XLOOKUP(tblRequirementMeasureXref[[#This Row],[msr_id]],tblMeasure[msr_id],tblMeasure[msr_min_geo_resolution])</f>
        <v>LA</v>
      </c>
      <c r="L87" s="22" t="str">
        <f>_xlfn.XLOOKUP(tblRequirementMeasureXref[[#This Row],[msr_id]],tblMeasure[msr_id],tblMeasure[src_name])</f>
        <v>Adult Social Care Activity and Finance Report</v>
      </c>
    </row>
    <row r="88" spans="1:12" x14ac:dyDescent="0.15">
      <c r="A88" s="1" t="str">
        <f>_xlfn.XLOOKUP(tblRequirementMeasureXref[[#This Row],[dm_id]],tblDataRequirement[dm_id],tblDataRequirement[domain_sub_requirement])</f>
        <v>Service:Support type:Long-term</v>
      </c>
      <c r="B88" s="1" t="str">
        <f>_xlfn.XLOOKUP(tblRequirementMeasureXref[[#This Row],[dm_id]],tblDataRequirement[dm_id],tblDataRequirement[dm_phase])</f>
        <v>operate</v>
      </c>
      <c r="C88" s="1">
        <v>45</v>
      </c>
      <c r="D88" s="1">
        <v>26</v>
      </c>
      <c r="G88" s="1"/>
      <c r="H88" s="61" t="str">
        <f>_xlfn.XLOOKUP(tblRequirementMeasureXref[[#This Row],[msr_id]],tblMeasure[msr_id],tblMeasure[msr_table])</f>
        <v>T26</v>
      </c>
      <c r="I88" s="22" t="str">
        <f>_xlfn.XLOOKUP(tblRequirementMeasureXref[[#This Row],[msr_id]],tblMeasure[msr_id],tblMeasure[msr_name])</f>
        <v>Number of completed episodes of ST-Max for existing clients aged 65 and over, by primary support reason, 2018-19</v>
      </c>
      <c r="J88" s="22" t="str">
        <f>_xlfn.XLOOKUP(tblRequirementMeasureXref[[#This Row],[msr_id]],tblMeasure[msr_id],tblMeasure[primary_dimensions])</f>
        <v>existing clients, completed episodes</v>
      </c>
      <c r="K88" s="22" t="str">
        <f>_xlfn.XLOOKUP(tblRequirementMeasureXref[[#This Row],[msr_id]],tblMeasure[msr_id],tblMeasure[msr_min_geo_resolution])</f>
        <v>LA</v>
      </c>
      <c r="L88" s="22" t="str">
        <f>_xlfn.XLOOKUP(tblRequirementMeasureXref[[#This Row],[msr_id]],tblMeasure[msr_id],tblMeasure[src_name])</f>
        <v>Adult Social Care Activity and Finance Report</v>
      </c>
    </row>
    <row r="89" spans="1:12" x14ac:dyDescent="0.15">
      <c r="A89" s="1" t="str">
        <f>_xlfn.XLOOKUP(tblRequirementMeasureXref[[#This Row],[dm_id]],tblDataRequirement[dm_id],tblDataRequirement[domain_sub_requirement])</f>
        <v>Users:Demographics:Age</v>
      </c>
      <c r="B89" s="1" t="str">
        <f>_xlfn.XLOOKUP(tblRequirementMeasureXref[[#This Row],[dm_id]],tblDataRequirement[dm_id],tblDataRequirement[dm_phase])</f>
        <v>demand</v>
      </c>
      <c r="C89" s="1">
        <v>51</v>
      </c>
      <c r="D89" s="1">
        <v>27</v>
      </c>
      <c r="G89" s="1"/>
      <c r="H89" s="61" t="str">
        <f>_xlfn.XLOOKUP(tblRequirementMeasureXref[[#This Row],[msr_id]],tblMeasure[msr_id],tblMeasure[msr_table])</f>
        <v>T27</v>
      </c>
      <c r="I89" s="22" t="str">
        <f>_xlfn.XLOOKUP(tblRequirementMeasureXref[[#This Row],[msr_id]],tblMeasure[msr_id],tblMeasure[msr_name])</f>
        <v>Number of completed episodes of ST-Max for existing clients, by what happened next and age band, 2018-19</v>
      </c>
      <c r="J89" s="22" t="str">
        <f>_xlfn.XLOOKUP(tblRequirementMeasureXref[[#This Row],[msr_id]],tblMeasure[msr_id],tblMeasure[primary_dimensions])</f>
        <v>existing clients, completed episodes, sequel</v>
      </c>
      <c r="K89" s="22" t="str">
        <f>_xlfn.XLOOKUP(tblRequirementMeasureXref[[#This Row],[msr_id]],tblMeasure[msr_id],tblMeasure[msr_min_geo_resolution])</f>
        <v>Region</v>
      </c>
      <c r="L89" s="22" t="str">
        <f>_xlfn.XLOOKUP(tblRequirementMeasureXref[[#This Row],[msr_id]],tblMeasure[msr_id],tblMeasure[src_name])</f>
        <v>Adult Social Care Activity and Finance Report</v>
      </c>
    </row>
    <row r="90" spans="1:12" x14ac:dyDescent="0.15">
      <c r="A90" s="1" t="str">
        <f>_xlfn.XLOOKUP(tblRequirementMeasureXref[[#This Row],[dm_id]],tblDataRequirement[dm_id],tblDataRequirement[domain_sub_requirement])</f>
        <v>Service:Support type:Reablement / ST-MAX</v>
      </c>
      <c r="B90" s="1" t="str">
        <f>_xlfn.XLOOKUP(tblRequirementMeasureXref[[#This Row],[dm_id]],tblDataRequirement[dm_id],tblDataRequirement[dm_phase])</f>
        <v>operate</v>
      </c>
      <c r="C90" s="1">
        <v>46</v>
      </c>
      <c r="D90" s="1">
        <v>27</v>
      </c>
      <c r="G90" s="1"/>
      <c r="H90" s="61" t="str">
        <f>_xlfn.XLOOKUP(tblRequirementMeasureXref[[#This Row],[msr_id]],tblMeasure[msr_id],tblMeasure[msr_table])</f>
        <v>T27</v>
      </c>
      <c r="I90" s="22" t="str">
        <f>_xlfn.XLOOKUP(tblRequirementMeasureXref[[#This Row],[msr_id]],tblMeasure[msr_id],tblMeasure[msr_name])</f>
        <v>Number of completed episodes of ST-Max for existing clients, by what happened next and age band, 2018-19</v>
      </c>
      <c r="J90" s="22" t="str">
        <f>_xlfn.XLOOKUP(tblRequirementMeasureXref[[#This Row],[msr_id]],tblMeasure[msr_id],tblMeasure[primary_dimensions])</f>
        <v>existing clients, completed episodes, sequel</v>
      </c>
      <c r="K90" s="22" t="str">
        <f>_xlfn.XLOOKUP(tblRequirementMeasureXref[[#This Row],[msr_id]],tblMeasure[msr_id],tblMeasure[msr_min_geo_resolution])</f>
        <v>Region</v>
      </c>
      <c r="L90" s="22" t="str">
        <f>_xlfn.XLOOKUP(tblRequirementMeasureXref[[#This Row],[msr_id]],tblMeasure[msr_id],tblMeasure[src_name])</f>
        <v>Adult Social Care Activity and Finance Report</v>
      </c>
    </row>
    <row r="91" spans="1:12" x14ac:dyDescent="0.15">
      <c r="A91" s="1" t="str">
        <f>_xlfn.XLOOKUP(tblRequirementMeasureXref[[#This Row],[dm_id]],tblDataRequirement[dm_id],tblDataRequirement[domain_sub_requirement])</f>
        <v>Users:Care need:Support reason</v>
      </c>
      <c r="B91" s="1" t="str">
        <f>_xlfn.XLOOKUP(tblRequirementMeasureXref[[#This Row],[dm_id]],tblDataRequirement[dm_id],tblDataRequirement[dm_phase])</f>
        <v>demand</v>
      </c>
      <c r="C91" s="1">
        <v>56</v>
      </c>
      <c r="D91" s="1">
        <v>27</v>
      </c>
      <c r="G91" s="1"/>
      <c r="H91" s="61" t="str">
        <f>_xlfn.XLOOKUP(tblRequirementMeasureXref[[#This Row],[msr_id]],tblMeasure[msr_id],tblMeasure[msr_table])</f>
        <v>T27</v>
      </c>
      <c r="I91" s="22" t="str">
        <f>_xlfn.XLOOKUP(tblRequirementMeasureXref[[#This Row],[msr_id]],tblMeasure[msr_id],tblMeasure[msr_name])</f>
        <v>Number of completed episodes of ST-Max for existing clients, by what happened next and age band, 2018-19</v>
      </c>
      <c r="J91" s="22" t="str">
        <f>_xlfn.XLOOKUP(tblRequirementMeasureXref[[#This Row],[msr_id]],tblMeasure[msr_id],tblMeasure[primary_dimensions])</f>
        <v>existing clients, completed episodes, sequel</v>
      </c>
      <c r="K91" s="22" t="str">
        <f>_xlfn.XLOOKUP(tblRequirementMeasureXref[[#This Row],[msr_id]],tblMeasure[msr_id],tblMeasure[msr_min_geo_resolution])</f>
        <v>Region</v>
      </c>
      <c r="L91" s="22" t="str">
        <f>_xlfn.XLOOKUP(tblRequirementMeasureXref[[#This Row],[msr_id]],tblMeasure[msr_id],tblMeasure[src_name])</f>
        <v>Adult Social Care Activity and Finance Report</v>
      </c>
    </row>
    <row r="92" spans="1:12" x14ac:dyDescent="0.15">
      <c r="A92" s="1" t="str">
        <f>_xlfn.XLOOKUP(tblRequirementMeasureXref[[#This Row],[dm_id]],tblDataRequirement[dm_id],tblDataRequirement[domain_sub_requirement])</f>
        <v>Service:Support type:Long-term</v>
      </c>
      <c r="B92" s="1" t="str">
        <f>_xlfn.XLOOKUP(tblRequirementMeasureXref[[#This Row],[dm_id]],tblDataRequirement[dm_id],tblDataRequirement[dm_phase])</f>
        <v>operate</v>
      </c>
      <c r="C92" s="1">
        <v>45</v>
      </c>
      <c r="D92" s="1">
        <v>27</v>
      </c>
      <c r="G92" s="1"/>
      <c r="H92" s="61" t="str">
        <f>_xlfn.XLOOKUP(tblRequirementMeasureXref[[#This Row],[msr_id]],tblMeasure[msr_id],tblMeasure[msr_table])</f>
        <v>T27</v>
      </c>
      <c r="I92" s="22" t="str">
        <f>_xlfn.XLOOKUP(tblRequirementMeasureXref[[#This Row],[msr_id]],tblMeasure[msr_id],tblMeasure[msr_name])</f>
        <v>Number of completed episodes of ST-Max for existing clients, by what happened next and age band, 2018-19</v>
      </c>
      <c r="J92" s="22" t="str">
        <f>_xlfn.XLOOKUP(tblRequirementMeasureXref[[#This Row],[msr_id]],tblMeasure[msr_id],tblMeasure[primary_dimensions])</f>
        <v>existing clients, completed episodes, sequel</v>
      </c>
      <c r="K92" s="22" t="str">
        <f>_xlfn.XLOOKUP(tblRequirementMeasureXref[[#This Row],[msr_id]],tblMeasure[msr_id],tblMeasure[msr_min_geo_resolution])</f>
        <v>Region</v>
      </c>
      <c r="L92" s="22" t="str">
        <f>_xlfn.XLOOKUP(tblRequirementMeasureXref[[#This Row],[msr_id]],tblMeasure[msr_id],tblMeasure[src_name])</f>
        <v>Adult Social Care Activity and Finance Report</v>
      </c>
    </row>
    <row r="93" spans="1:12" x14ac:dyDescent="0.15">
      <c r="A93" s="1" t="str">
        <f>_xlfn.XLOOKUP(tblRequirementMeasureXref[[#This Row],[dm_id]],tblDataRequirement[dm_id],tblDataRequirement[domain_sub_requirement])</f>
        <v>Service:Access:Sequel to service</v>
      </c>
      <c r="B93" s="1" t="str">
        <f>_xlfn.XLOOKUP(tblRequirementMeasureXref[[#This Row],[dm_id]],tblDataRequirement[dm_id],tblDataRequirement[dm_phase])</f>
        <v>demand</v>
      </c>
      <c r="C93" s="1">
        <v>59</v>
      </c>
      <c r="D93" s="1">
        <v>27</v>
      </c>
      <c r="G93" s="1"/>
      <c r="H93" s="61" t="str">
        <f>_xlfn.XLOOKUP(tblRequirementMeasureXref[[#This Row],[msr_id]],tblMeasure[msr_id],tblMeasure[msr_table])</f>
        <v>T27</v>
      </c>
      <c r="I93" s="22" t="str">
        <f>_xlfn.XLOOKUP(tblRequirementMeasureXref[[#This Row],[msr_id]],tblMeasure[msr_id],tblMeasure[msr_name])</f>
        <v>Number of completed episodes of ST-Max for existing clients, by what happened next and age band, 2018-19</v>
      </c>
      <c r="J93" s="22" t="str">
        <f>_xlfn.XLOOKUP(tblRequirementMeasureXref[[#This Row],[msr_id]],tblMeasure[msr_id],tblMeasure[primary_dimensions])</f>
        <v>existing clients, completed episodes, sequel</v>
      </c>
      <c r="K93" s="22" t="str">
        <f>_xlfn.XLOOKUP(tblRequirementMeasureXref[[#This Row],[msr_id]],tblMeasure[msr_id],tblMeasure[msr_min_geo_resolution])</f>
        <v>Region</v>
      </c>
      <c r="L93" s="22" t="str">
        <f>_xlfn.XLOOKUP(tblRequirementMeasureXref[[#This Row],[msr_id]],tblMeasure[msr_id],tblMeasure[src_name])</f>
        <v>Adult Social Care Activity and Finance Report</v>
      </c>
    </row>
    <row r="94" spans="1:12" x14ac:dyDescent="0.15">
      <c r="A94" s="1" t="str">
        <f>_xlfn.XLOOKUP(tblRequirementMeasureXref[[#This Row],[dm_id]],tblDataRequirement[dm_id],tblDataRequirement[domain_sub_requirement])</f>
        <v>Service:Access:Requests for local authority-funded care</v>
      </c>
      <c r="B94" s="1" t="str">
        <f>_xlfn.XLOOKUP(tblRequirementMeasureXref[[#This Row],[dm_id]],tblDataRequirement[dm_id],tblDataRequirement[dm_phase])</f>
        <v>demand</v>
      </c>
      <c r="C94" s="1">
        <v>27</v>
      </c>
      <c r="D94" s="1">
        <v>28</v>
      </c>
      <c r="G94" s="1"/>
      <c r="H94" s="61" t="str">
        <f>_xlfn.XLOOKUP(tblRequirementMeasureXref[[#This Row],[msr_id]],tblMeasure[msr_id],tblMeasure[msr_table])</f>
        <v>T28</v>
      </c>
      <c r="I94" s="22" t="str">
        <f>_xlfn.XLOOKUP(tblRequirementMeasureXref[[#This Row],[msr_id]],tblMeasure[msr_id],tblMeasure[msr_name])</f>
        <v>Number of completed episodes of ST-Max per client, by age band, 2018-19</v>
      </c>
      <c r="J94" s="22" t="str">
        <f>_xlfn.XLOOKUP(tblRequirementMeasureXref[[#This Row],[msr_id]],tblMeasure[msr_id],tblMeasure[primary_dimensions])</f>
        <v>completed episodes</v>
      </c>
      <c r="K94" s="22" t="str">
        <f>_xlfn.XLOOKUP(tblRequirementMeasureXref[[#This Row],[msr_id]],tblMeasure[msr_id],tblMeasure[msr_min_geo_resolution])</f>
        <v>LA</v>
      </c>
      <c r="L94" s="22" t="str">
        <f>_xlfn.XLOOKUP(tblRequirementMeasureXref[[#This Row],[msr_id]],tblMeasure[msr_id],tblMeasure[src_name])</f>
        <v>Adult Social Care Activity and Finance Report</v>
      </c>
    </row>
    <row r="95" spans="1:12" x14ac:dyDescent="0.15">
      <c r="A95" s="1" t="str">
        <f>_xlfn.XLOOKUP(tblRequirementMeasureXref[[#This Row],[dm_id]],tblDataRequirement[dm_id],tblDataRequirement[domain_sub_requirement])</f>
        <v>Users:Demographics:Age</v>
      </c>
      <c r="B95" s="1" t="str">
        <f>_xlfn.XLOOKUP(tblRequirementMeasureXref[[#This Row],[dm_id]],tblDataRequirement[dm_id],tblDataRequirement[dm_phase])</f>
        <v>demand</v>
      </c>
      <c r="C95" s="1">
        <v>51</v>
      </c>
      <c r="D95" s="1">
        <v>28</v>
      </c>
      <c r="G95" s="1"/>
      <c r="H95" s="61" t="str">
        <f>_xlfn.XLOOKUP(tblRequirementMeasureXref[[#This Row],[msr_id]],tblMeasure[msr_id],tblMeasure[msr_table])</f>
        <v>T28</v>
      </c>
      <c r="I95" s="22" t="str">
        <f>_xlfn.XLOOKUP(tblRequirementMeasureXref[[#This Row],[msr_id]],tblMeasure[msr_id],tblMeasure[msr_name])</f>
        <v>Number of completed episodes of ST-Max per client, by age band, 2018-19</v>
      </c>
      <c r="J95" s="22" t="str">
        <f>_xlfn.XLOOKUP(tblRequirementMeasureXref[[#This Row],[msr_id]],tblMeasure[msr_id],tblMeasure[primary_dimensions])</f>
        <v>completed episodes</v>
      </c>
      <c r="K95" s="22" t="str">
        <f>_xlfn.XLOOKUP(tblRequirementMeasureXref[[#This Row],[msr_id]],tblMeasure[msr_id],tblMeasure[msr_min_geo_resolution])</f>
        <v>LA</v>
      </c>
      <c r="L95" s="22" t="str">
        <f>_xlfn.XLOOKUP(tblRequirementMeasureXref[[#This Row],[msr_id]],tblMeasure[msr_id],tblMeasure[src_name])</f>
        <v>Adult Social Care Activity and Finance Report</v>
      </c>
    </row>
    <row r="96" spans="1:12" x14ac:dyDescent="0.15">
      <c r="A96" s="1" t="str">
        <f>_xlfn.XLOOKUP(tblRequirementMeasureXref[[#This Row],[dm_id]],tblDataRequirement[dm_id],tblDataRequirement[domain_sub_requirement])</f>
        <v>Service:Support type:Reablement / ST-MAX</v>
      </c>
      <c r="B96" s="1" t="str">
        <f>_xlfn.XLOOKUP(tblRequirementMeasureXref[[#This Row],[dm_id]],tblDataRequirement[dm_id],tblDataRequirement[dm_phase])</f>
        <v>operate</v>
      </c>
      <c r="C96" s="1">
        <v>46</v>
      </c>
      <c r="D96" s="1">
        <v>28</v>
      </c>
      <c r="G96" s="1"/>
      <c r="H96" s="61" t="str">
        <f>_xlfn.XLOOKUP(tblRequirementMeasureXref[[#This Row],[msr_id]],tblMeasure[msr_id],tblMeasure[msr_table])</f>
        <v>T28</v>
      </c>
      <c r="I96" s="22" t="str">
        <f>_xlfn.XLOOKUP(tblRequirementMeasureXref[[#This Row],[msr_id]],tblMeasure[msr_id],tblMeasure[msr_name])</f>
        <v>Number of completed episodes of ST-Max per client, by age band, 2018-19</v>
      </c>
      <c r="J96" s="22" t="str">
        <f>_xlfn.XLOOKUP(tblRequirementMeasureXref[[#This Row],[msr_id]],tblMeasure[msr_id],tblMeasure[primary_dimensions])</f>
        <v>completed episodes</v>
      </c>
      <c r="K96" s="22" t="str">
        <f>_xlfn.XLOOKUP(tblRequirementMeasureXref[[#This Row],[msr_id]],tblMeasure[msr_id],tblMeasure[msr_min_geo_resolution])</f>
        <v>LA</v>
      </c>
      <c r="L96" s="22" t="str">
        <f>_xlfn.XLOOKUP(tblRequirementMeasureXref[[#This Row],[msr_id]],tblMeasure[msr_id],tblMeasure[src_name])</f>
        <v>Adult Social Care Activity and Finance Report</v>
      </c>
    </row>
    <row r="97" spans="1:12" x14ac:dyDescent="0.15">
      <c r="A97" s="1" t="str">
        <f>_xlfn.XLOOKUP(tblRequirementMeasureXref[[#This Row],[dm_id]],tblDataRequirement[dm_id],tblDataRequirement[domain_sub_requirement])</f>
        <v>Users:Demographics:Age</v>
      </c>
      <c r="B97" s="1" t="str">
        <f>_xlfn.XLOOKUP(tblRequirementMeasureXref[[#This Row],[dm_id]],tblDataRequirement[dm_id],tblDataRequirement[dm_phase])</f>
        <v>demand</v>
      </c>
      <c r="C97" s="1">
        <v>51</v>
      </c>
      <c r="D97" s="1">
        <v>29</v>
      </c>
      <c r="G97" s="1"/>
      <c r="H97" s="61" t="str">
        <f>_xlfn.XLOOKUP(tblRequirementMeasureXref[[#This Row],[msr_id]],tblMeasure[msr_id],tblMeasure[msr_table])</f>
        <v>T29</v>
      </c>
      <c r="I97" s="22" t="str">
        <f>_xlfn.XLOOKUP(tblRequirementMeasureXref[[#This Row],[msr_id]],tblMeasure[msr_id],tblMeasure[msr_name])</f>
        <v>Gross Current Expenditure on short term care, by purpose, age band and primary support reason, 2018-19</v>
      </c>
      <c r="J97" s="22" t="str">
        <f>_xlfn.XLOOKUP(tblRequirementMeasureXref[[#This Row],[msr_id]],tblMeasure[msr_id],tblMeasure[primary_dimensions])</f>
        <v>expenditure, purpose</v>
      </c>
      <c r="K97" s="22" t="str">
        <f>_xlfn.XLOOKUP(tblRequirementMeasureXref[[#This Row],[msr_id]],tblMeasure[msr_id],tblMeasure[msr_min_geo_resolution])</f>
        <v>England</v>
      </c>
      <c r="L97" s="22" t="str">
        <f>_xlfn.XLOOKUP(tblRequirementMeasureXref[[#This Row],[msr_id]],tblMeasure[msr_id],tblMeasure[src_name])</f>
        <v>Adult Social Care Activity and Finance Report</v>
      </c>
    </row>
    <row r="98" spans="1:12" x14ac:dyDescent="0.15">
      <c r="A98" s="1" t="str">
        <f>_xlfn.XLOOKUP(tblRequirementMeasureXref[[#This Row],[dm_id]],tblDataRequirement[dm_id],tblDataRequirement[domain_sub_requirement])</f>
        <v>Users:Care need:Support reason</v>
      </c>
      <c r="B98" s="1" t="str">
        <f>_xlfn.XLOOKUP(tblRequirementMeasureXref[[#This Row],[dm_id]],tblDataRequirement[dm_id],tblDataRequirement[dm_phase])</f>
        <v>demand</v>
      </c>
      <c r="C98" s="1">
        <v>56</v>
      </c>
      <c r="D98" s="1">
        <v>29</v>
      </c>
      <c r="G98" s="1"/>
      <c r="H98" s="61" t="str">
        <f>_xlfn.XLOOKUP(tblRequirementMeasureXref[[#This Row],[msr_id]],tblMeasure[msr_id],tblMeasure[msr_table])</f>
        <v>T29</v>
      </c>
      <c r="I98" s="22" t="str">
        <f>_xlfn.XLOOKUP(tblRequirementMeasureXref[[#This Row],[msr_id]],tblMeasure[msr_id],tblMeasure[msr_name])</f>
        <v>Gross Current Expenditure on short term care, by purpose, age band and primary support reason, 2018-19</v>
      </c>
      <c r="J98" s="22" t="str">
        <f>_xlfn.XLOOKUP(tblRequirementMeasureXref[[#This Row],[msr_id]],tblMeasure[msr_id],tblMeasure[primary_dimensions])</f>
        <v>expenditure, purpose</v>
      </c>
      <c r="K98" s="22" t="str">
        <f>_xlfn.XLOOKUP(tblRequirementMeasureXref[[#This Row],[msr_id]],tblMeasure[msr_id],tblMeasure[msr_min_geo_resolution])</f>
        <v>England</v>
      </c>
      <c r="L98" s="22" t="str">
        <f>_xlfn.XLOOKUP(tblRequirementMeasureXref[[#This Row],[msr_id]],tblMeasure[msr_id],tblMeasure[src_name])</f>
        <v>Adult Social Care Activity and Finance Report</v>
      </c>
    </row>
    <row r="99" spans="1:12" x14ac:dyDescent="0.15">
      <c r="A99" s="1" t="str">
        <f>_xlfn.XLOOKUP(tblRequirementMeasureXref[[#This Row],[dm_id]],tblDataRequirement[dm_id],tblDataRequirement[domain_sub_requirement])</f>
        <v>Service:Support type:Short-term</v>
      </c>
      <c r="B99" s="1" t="str">
        <f>_xlfn.XLOOKUP(tblRequirementMeasureXref[[#This Row],[dm_id]],tblDataRequirement[dm_id],tblDataRequirement[dm_phase])</f>
        <v>operate</v>
      </c>
      <c r="C99" s="1">
        <v>44</v>
      </c>
      <c r="D99" s="1">
        <v>29</v>
      </c>
      <c r="G99" s="1"/>
      <c r="H99" s="61" t="str">
        <f>_xlfn.XLOOKUP(tblRequirementMeasureXref[[#This Row],[msr_id]],tblMeasure[msr_id],tblMeasure[msr_table])</f>
        <v>T29</v>
      </c>
      <c r="I99" s="22" t="str">
        <f>_xlfn.XLOOKUP(tblRequirementMeasureXref[[#This Row],[msr_id]],tblMeasure[msr_id],tblMeasure[msr_name])</f>
        <v>Gross Current Expenditure on short term care, by purpose, age band and primary support reason, 2018-19</v>
      </c>
      <c r="J99" s="22" t="str">
        <f>_xlfn.XLOOKUP(tblRequirementMeasureXref[[#This Row],[msr_id]],tblMeasure[msr_id],tblMeasure[primary_dimensions])</f>
        <v>expenditure, purpose</v>
      </c>
      <c r="K99" s="22" t="str">
        <f>_xlfn.XLOOKUP(tblRequirementMeasureXref[[#This Row],[msr_id]],tblMeasure[msr_id],tblMeasure[msr_min_geo_resolution])</f>
        <v>England</v>
      </c>
      <c r="L99" s="22" t="str">
        <f>_xlfn.XLOOKUP(tblRequirementMeasureXref[[#This Row],[msr_id]],tblMeasure[msr_id],tblMeasure[src_name])</f>
        <v>Adult Social Care Activity and Finance Report</v>
      </c>
    </row>
    <row r="100" spans="1:12" x14ac:dyDescent="0.15">
      <c r="A100" s="1" t="str">
        <f>_xlfn.XLOOKUP(tblRequirementMeasureXref[[#This Row],[dm_id]],tblDataRequirement[dm_id],tblDataRequirement[domain_sub_requirement])</f>
        <v>Service:Support type:Reablement / ST-MAX</v>
      </c>
      <c r="B100" s="1" t="str">
        <f>_xlfn.XLOOKUP(tblRequirementMeasureXref[[#This Row],[dm_id]],tblDataRequirement[dm_id],tblDataRequirement[dm_phase])</f>
        <v>operate</v>
      </c>
      <c r="C100" s="1">
        <v>46</v>
      </c>
      <c r="D100" s="1">
        <v>29</v>
      </c>
      <c r="G100" s="1"/>
      <c r="H100" s="61" t="str">
        <f>_xlfn.XLOOKUP(tblRequirementMeasureXref[[#This Row],[msr_id]],tblMeasure[msr_id],tblMeasure[msr_table])</f>
        <v>T29</v>
      </c>
      <c r="I100" s="22" t="str">
        <f>_xlfn.XLOOKUP(tblRequirementMeasureXref[[#This Row],[msr_id]],tblMeasure[msr_id],tblMeasure[msr_name])</f>
        <v>Gross Current Expenditure on short term care, by purpose, age band and primary support reason, 2018-19</v>
      </c>
      <c r="J100" s="22" t="str">
        <f>_xlfn.XLOOKUP(tblRequirementMeasureXref[[#This Row],[msr_id]],tblMeasure[msr_id],tblMeasure[primary_dimensions])</f>
        <v>expenditure, purpose</v>
      </c>
      <c r="K100" s="22" t="str">
        <f>_xlfn.XLOOKUP(tblRequirementMeasureXref[[#This Row],[msr_id]],tblMeasure[msr_id],tblMeasure[msr_min_geo_resolution])</f>
        <v>England</v>
      </c>
      <c r="L100" s="22" t="str">
        <f>_xlfn.XLOOKUP(tblRequirementMeasureXref[[#This Row],[msr_id]],tblMeasure[msr_id],tblMeasure[src_name])</f>
        <v>Adult Social Care Activity and Finance Report</v>
      </c>
    </row>
    <row r="101" spans="1:12" x14ac:dyDescent="0.15">
      <c r="A101" s="1" t="str">
        <f>_xlfn.XLOOKUP(tblRequirementMeasureXref[[#This Row],[dm_id]],tblDataRequirement[dm_id],tblDataRequirement[domain_sub_requirement])</f>
        <v>Funders:Expenditure:Local authorities</v>
      </c>
      <c r="B101" s="1" t="str">
        <f>_xlfn.XLOOKUP(tblRequirementMeasureXref[[#This Row],[dm_id]],tblDataRequirement[dm_id],tblDataRequirement[dm_phase])</f>
        <v>supply</v>
      </c>
      <c r="C101" s="1">
        <v>3</v>
      </c>
      <c r="D101" s="1">
        <v>29</v>
      </c>
      <c r="G101" s="1"/>
      <c r="H101" s="61" t="str">
        <f>_xlfn.XLOOKUP(tblRequirementMeasureXref[[#This Row],[msr_id]],tblMeasure[msr_id],tblMeasure[msr_table])</f>
        <v>T29</v>
      </c>
      <c r="I101" s="22" t="str">
        <f>_xlfn.XLOOKUP(tblRequirementMeasureXref[[#This Row],[msr_id]],tblMeasure[msr_id],tblMeasure[msr_name])</f>
        <v>Gross Current Expenditure on short term care, by purpose, age band and primary support reason, 2018-19</v>
      </c>
      <c r="J101" s="22" t="str">
        <f>_xlfn.XLOOKUP(tblRequirementMeasureXref[[#This Row],[msr_id]],tblMeasure[msr_id],tblMeasure[primary_dimensions])</f>
        <v>expenditure, purpose</v>
      </c>
      <c r="K101" s="22" t="str">
        <f>_xlfn.XLOOKUP(tblRequirementMeasureXref[[#This Row],[msr_id]],tblMeasure[msr_id],tblMeasure[msr_min_geo_resolution])</f>
        <v>England</v>
      </c>
      <c r="L101" s="22" t="str">
        <f>_xlfn.XLOOKUP(tblRequirementMeasureXref[[#This Row],[msr_id]],tblMeasure[msr_id],tblMeasure[src_name])</f>
        <v>Adult Social Care Activity and Finance Report</v>
      </c>
    </row>
    <row r="102" spans="1:12" x14ac:dyDescent="0.15">
      <c r="A102" s="1" t="str">
        <f>_xlfn.XLOOKUP(tblRequirementMeasureXref[[#This Row],[dm_id]],tblDataRequirement[dm_id],tblDataRequirement[domain_sub_requirement])</f>
        <v>Users:Demographics:Age</v>
      </c>
      <c r="B102" s="1" t="str">
        <f>_xlfn.XLOOKUP(tblRequirementMeasureXref[[#This Row],[dm_id]],tblDataRequirement[dm_id],tblDataRequirement[dm_phase])</f>
        <v>demand</v>
      </c>
      <c r="C102" s="1">
        <v>51</v>
      </c>
      <c r="D102" s="1">
        <v>30</v>
      </c>
      <c r="G102" s="1"/>
      <c r="H102" s="61" t="str">
        <f>_xlfn.XLOOKUP(tblRequirementMeasureXref[[#This Row],[msr_id]],tblMeasure[msr_id],tblMeasure[msr_table])</f>
        <v>T30</v>
      </c>
      <c r="I102" s="22" t="str">
        <f>_xlfn.XLOOKUP(tblRequirementMeasureXref[[#This Row],[msr_id]],tblMeasure[msr_id],tblMeasure[msr_name])</f>
        <v>Gross Current Expenditure on short term care for clients aged 18 to 64, by purpose and primary support reason, 2018-19</v>
      </c>
      <c r="J102" s="22" t="str">
        <f>_xlfn.XLOOKUP(tblRequirementMeasureXref[[#This Row],[msr_id]],tblMeasure[msr_id],tblMeasure[primary_dimensions])</f>
        <v>expenditure, purpose</v>
      </c>
      <c r="K102" s="22" t="str">
        <f>_xlfn.XLOOKUP(tblRequirementMeasureXref[[#This Row],[msr_id]],tblMeasure[msr_id],tblMeasure[msr_min_geo_resolution])</f>
        <v>LA</v>
      </c>
      <c r="L102" s="22" t="str">
        <f>_xlfn.XLOOKUP(tblRequirementMeasureXref[[#This Row],[msr_id]],tblMeasure[msr_id],tblMeasure[src_name])</f>
        <v>Adult Social Care Activity and Finance Report</v>
      </c>
    </row>
    <row r="103" spans="1:12" x14ac:dyDescent="0.15">
      <c r="A103" s="1" t="str">
        <f>_xlfn.XLOOKUP(tblRequirementMeasureXref[[#This Row],[dm_id]],tblDataRequirement[dm_id],tblDataRequirement[domain_sub_requirement])</f>
        <v>Users:Care need:Support reason</v>
      </c>
      <c r="B103" s="1" t="str">
        <f>_xlfn.XLOOKUP(tblRequirementMeasureXref[[#This Row],[dm_id]],tblDataRequirement[dm_id],tblDataRequirement[dm_phase])</f>
        <v>demand</v>
      </c>
      <c r="C103" s="1">
        <v>56</v>
      </c>
      <c r="D103" s="1">
        <v>30</v>
      </c>
      <c r="G103" s="1"/>
      <c r="H103" s="61" t="str">
        <f>_xlfn.XLOOKUP(tblRequirementMeasureXref[[#This Row],[msr_id]],tblMeasure[msr_id],tblMeasure[msr_table])</f>
        <v>T30</v>
      </c>
      <c r="I103" s="22" t="str">
        <f>_xlfn.XLOOKUP(tblRequirementMeasureXref[[#This Row],[msr_id]],tblMeasure[msr_id],tblMeasure[msr_name])</f>
        <v>Gross Current Expenditure on short term care for clients aged 18 to 64, by purpose and primary support reason, 2018-19</v>
      </c>
      <c r="J103" s="22" t="str">
        <f>_xlfn.XLOOKUP(tblRequirementMeasureXref[[#This Row],[msr_id]],tblMeasure[msr_id],tblMeasure[primary_dimensions])</f>
        <v>expenditure, purpose</v>
      </c>
      <c r="K103" s="22" t="str">
        <f>_xlfn.XLOOKUP(tblRequirementMeasureXref[[#This Row],[msr_id]],tblMeasure[msr_id],tblMeasure[msr_min_geo_resolution])</f>
        <v>LA</v>
      </c>
      <c r="L103" s="22" t="str">
        <f>_xlfn.XLOOKUP(tblRequirementMeasureXref[[#This Row],[msr_id]],tblMeasure[msr_id],tblMeasure[src_name])</f>
        <v>Adult Social Care Activity and Finance Report</v>
      </c>
    </row>
    <row r="104" spans="1:12" x14ac:dyDescent="0.15">
      <c r="A104" s="1" t="str">
        <f>_xlfn.XLOOKUP(tblRequirementMeasureXref[[#This Row],[dm_id]],tblDataRequirement[dm_id],tblDataRequirement[domain_sub_requirement])</f>
        <v>Service:Support type:Short-term</v>
      </c>
      <c r="B104" s="1" t="str">
        <f>_xlfn.XLOOKUP(tblRequirementMeasureXref[[#This Row],[dm_id]],tblDataRequirement[dm_id],tblDataRequirement[dm_phase])</f>
        <v>operate</v>
      </c>
      <c r="C104" s="1">
        <v>44</v>
      </c>
      <c r="D104" s="1">
        <v>30</v>
      </c>
      <c r="G104" s="1"/>
      <c r="H104" s="61" t="str">
        <f>_xlfn.XLOOKUP(tblRequirementMeasureXref[[#This Row],[msr_id]],tblMeasure[msr_id],tblMeasure[msr_table])</f>
        <v>T30</v>
      </c>
      <c r="I104" s="22" t="str">
        <f>_xlfn.XLOOKUP(tblRequirementMeasureXref[[#This Row],[msr_id]],tblMeasure[msr_id],tblMeasure[msr_name])</f>
        <v>Gross Current Expenditure on short term care for clients aged 18 to 64, by purpose and primary support reason, 2018-19</v>
      </c>
      <c r="J104" s="22" t="str">
        <f>_xlfn.XLOOKUP(tblRequirementMeasureXref[[#This Row],[msr_id]],tblMeasure[msr_id],tblMeasure[primary_dimensions])</f>
        <v>expenditure, purpose</v>
      </c>
      <c r="K104" s="22" t="str">
        <f>_xlfn.XLOOKUP(tblRequirementMeasureXref[[#This Row],[msr_id]],tblMeasure[msr_id],tblMeasure[msr_min_geo_resolution])</f>
        <v>LA</v>
      </c>
      <c r="L104" s="22" t="str">
        <f>_xlfn.XLOOKUP(tblRequirementMeasureXref[[#This Row],[msr_id]],tblMeasure[msr_id],tblMeasure[src_name])</f>
        <v>Adult Social Care Activity and Finance Report</v>
      </c>
    </row>
    <row r="105" spans="1:12" x14ac:dyDescent="0.15">
      <c r="A105" s="1" t="str">
        <f>_xlfn.XLOOKUP(tblRequirementMeasureXref[[#This Row],[dm_id]],tblDataRequirement[dm_id],tblDataRequirement[domain_sub_requirement])</f>
        <v>Service:Support type:Reablement / ST-MAX</v>
      </c>
      <c r="B105" s="1" t="str">
        <f>_xlfn.XLOOKUP(tblRequirementMeasureXref[[#This Row],[dm_id]],tblDataRequirement[dm_id],tblDataRequirement[dm_phase])</f>
        <v>operate</v>
      </c>
      <c r="C105" s="1">
        <v>46</v>
      </c>
      <c r="D105" s="1">
        <v>30</v>
      </c>
      <c r="G105" s="1"/>
      <c r="H105" s="61" t="str">
        <f>_xlfn.XLOOKUP(tblRequirementMeasureXref[[#This Row],[msr_id]],tblMeasure[msr_id],tblMeasure[msr_table])</f>
        <v>T30</v>
      </c>
      <c r="I105" s="22" t="str">
        <f>_xlfn.XLOOKUP(tblRequirementMeasureXref[[#This Row],[msr_id]],tblMeasure[msr_id],tblMeasure[msr_name])</f>
        <v>Gross Current Expenditure on short term care for clients aged 18 to 64, by purpose and primary support reason, 2018-19</v>
      </c>
      <c r="J105" s="22" t="str">
        <f>_xlfn.XLOOKUP(tblRequirementMeasureXref[[#This Row],[msr_id]],tblMeasure[msr_id],tblMeasure[primary_dimensions])</f>
        <v>expenditure, purpose</v>
      </c>
      <c r="K105" s="22" t="str">
        <f>_xlfn.XLOOKUP(tblRequirementMeasureXref[[#This Row],[msr_id]],tblMeasure[msr_id],tblMeasure[msr_min_geo_resolution])</f>
        <v>LA</v>
      </c>
      <c r="L105" s="22" t="str">
        <f>_xlfn.XLOOKUP(tblRequirementMeasureXref[[#This Row],[msr_id]],tblMeasure[msr_id],tblMeasure[src_name])</f>
        <v>Adult Social Care Activity and Finance Report</v>
      </c>
    </row>
    <row r="106" spans="1:12" x14ac:dyDescent="0.15">
      <c r="A106" s="1" t="str">
        <f>_xlfn.XLOOKUP(tblRequirementMeasureXref[[#This Row],[dm_id]],tblDataRequirement[dm_id],tblDataRequirement[domain_sub_requirement])</f>
        <v>Funders:Expenditure:Local authorities</v>
      </c>
      <c r="B106" s="1" t="str">
        <f>_xlfn.XLOOKUP(tblRequirementMeasureXref[[#This Row],[dm_id]],tblDataRequirement[dm_id],tblDataRequirement[dm_phase])</f>
        <v>supply</v>
      </c>
      <c r="C106" s="1">
        <v>3</v>
      </c>
      <c r="D106" s="1">
        <v>30</v>
      </c>
      <c r="G106" s="1"/>
      <c r="H106" s="61" t="str">
        <f>_xlfn.XLOOKUP(tblRequirementMeasureXref[[#This Row],[msr_id]],tblMeasure[msr_id],tblMeasure[msr_table])</f>
        <v>T30</v>
      </c>
      <c r="I106" s="22" t="str">
        <f>_xlfn.XLOOKUP(tblRequirementMeasureXref[[#This Row],[msr_id]],tblMeasure[msr_id],tblMeasure[msr_name])</f>
        <v>Gross Current Expenditure on short term care for clients aged 18 to 64, by purpose and primary support reason, 2018-19</v>
      </c>
      <c r="J106" s="22" t="str">
        <f>_xlfn.XLOOKUP(tblRequirementMeasureXref[[#This Row],[msr_id]],tblMeasure[msr_id],tblMeasure[primary_dimensions])</f>
        <v>expenditure, purpose</v>
      </c>
      <c r="K106" s="22" t="str">
        <f>_xlfn.XLOOKUP(tblRequirementMeasureXref[[#This Row],[msr_id]],tblMeasure[msr_id],tblMeasure[msr_min_geo_resolution])</f>
        <v>LA</v>
      </c>
      <c r="L106" s="22" t="str">
        <f>_xlfn.XLOOKUP(tblRequirementMeasureXref[[#This Row],[msr_id]],tblMeasure[msr_id],tblMeasure[src_name])</f>
        <v>Adult Social Care Activity and Finance Report</v>
      </c>
    </row>
    <row r="107" spans="1:12" x14ac:dyDescent="0.15">
      <c r="A107" s="1" t="str">
        <f>_xlfn.XLOOKUP(tblRequirementMeasureXref[[#This Row],[dm_id]],tblDataRequirement[dm_id],tblDataRequirement[domain_sub_requirement])</f>
        <v>Users:Demographics:Age</v>
      </c>
      <c r="B107" s="1" t="str">
        <f>_xlfn.XLOOKUP(tblRequirementMeasureXref[[#This Row],[dm_id]],tblDataRequirement[dm_id],tblDataRequirement[dm_phase])</f>
        <v>demand</v>
      </c>
      <c r="C107" s="1">
        <v>51</v>
      </c>
      <c r="D107" s="1">
        <v>31</v>
      </c>
      <c r="G107" s="1"/>
      <c r="H107" s="61" t="str">
        <f>_xlfn.XLOOKUP(tblRequirementMeasureXref[[#This Row],[msr_id]],tblMeasure[msr_id],tblMeasure[msr_table])</f>
        <v>T31</v>
      </c>
      <c r="I107" s="22" t="str">
        <f>_xlfn.XLOOKUP(tblRequirementMeasureXref[[#This Row],[msr_id]],tblMeasure[msr_id],tblMeasure[msr_name])</f>
        <v>Gross Current Expenditure on short term care for clients aged 65 and over, by purpose and primary support reason, 2018-19</v>
      </c>
      <c r="J107" s="22" t="str">
        <f>_xlfn.XLOOKUP(tblRequirementMeasureXref[[#This Row],[msr_id]],tblMeasure[msr_id],tblMeasure[primary_dimensions])</f>
        <v>expenditure, purpose</v>
      </c>
      <c r="K107" s="22" t="str">
        <f>_xlfn.XLOOKUP(tblRequirementMeasureXref[[#This Row],[msr_id]],tblMeasure[msr_id],tblMeasure[msr_min_geo_resolution])</f>
        <v>LA</v>
      </c>
      <c r="L107" s="22" t="str">
        <f>_xlfn.XLOOKUP(tblRequirementMeasureXref[[#This Row],[msr_id]],tblMeasure[msr_id],tblMeasure[src_name])</f>
        <v>Adult Social Care Activity and Finance Report</v>
      </c>
    </row>
    <row r="108" spans="1:12" x14ac:dyDescent="0.15">
      <c r="A108" s="1" t="str">
        <f>_xlfn.XLOOKUP(tblRequirementMeasureXref[[#This Row],[dm_id]],tblDataRequirement[dm_id],tblDataRequirement[domain_sub_requirement])</f>
        <v>Users:Care need:Support reason</v>
      </c>
      <c r="B108" s="1" t="str">
        <f>_xlfn.XLOOKUP(tblRequirementMeasureXref[[#This Row],[dm_id]],tblDataRequirement[dm_id],tblDataRequirement[dm_phase])</f>
        <v>demand</v>
      </c>
      <c r="C108" s="1">
        <v>56</v>
      </c>
      <c r="D108" s="1">
        <v>31</v>
      </c>
      <c r="G108" s="1"/>
      <c r="H108" s="61" t="str">
        <f>_xlfn.XLOOKUP(tblRequirementMeasureXref[[#This Row],[msr_id]],tblMeasure[msr_id],tblMeasure[msr_table])</f>
        <v>T31</v>
      </c>
      <c r="I108" s="22" t="str">
        <f>_xlfn.XLOOKUP(tblRequirementMeasureXref[[#This Row],[msr_id]],tblMeasure[msr_id],tblMeasure[msr_name])</f>
        <v>Gross Current Expenditure on short term care for clients aged 65 and over, by purpose and primary support reason, 2018-19</v>
      </c>
      <c r="J108" s="22" t="str">
        <f>_xlfn.XLOOKUP(tblRequirementMeasureXref[[#This Row],[msr_id]],tblMeasure[msr_id],tblMeasure[primary_dimensions])</f>
        <v>expenditure, purpose</v>
      </c>
      <c r="K108" s="22" t="str">
        <f>_xlfn.XLOOKUP(tblRequirementMeasureXref[[#This Row],[msr_id]],tblMeasure[msr_id],tblMeasure[msr_min_geo_resolution])</f>
        <v>LA</v>
      </c>
      <c r="L108" s="22" t="str">
        <f>_xlfn.XLOOKUP(tblRequirementMeasureXref[[#This Row],[msr_id]],tblMeasure[msr_id],tblMeasure[src_name])</f>
        <v>Adult Social Care Activity and Finance Report</v>
      </c>
    </row>
    <row r="109" spans="1:12" x14ac:dyDescent="0.15">
      <c r="A109" s="1" t="str">
        <f>_xlfn.XLOOKUP(tblRequirementMeasureXref[[#This Row],[dm_id]],tblDataRequirement[dm_id],tblDataRequirement[domain_sub_requirement])</f>
        <v>Service:Support type:Short-term</v>
      </c>
      <c r="B109" s="1" t="str">
        <f>_xlfn.XLOOKUP(tblRequirementMeasureXref[[#This Row],[dm_id]],tblDataRequirement[dm_id],tblDataRequirement[dm_phase])</f>
        <v>operate</v>
      </c>
      <c r="C109" s="1">
        <v>44</v>
      </c>
      <c r="D109" s="1">
        <v>31</v>
      </c>
      <c r="G109" s="1"/>
      <c r="H109" s="61" t="str">
        <f>_xlfn.XLOOKUP(tblRequirementMeasureXref[[#This Row],[msr_id]],tblMeasure[msr_id],tblMeasure[msr_table])</f>
        <v>T31</v>
      </c>
      <c r="I109" s="22" t="str">
        <f>_xlfn.XLOOKUP(tblRequirementMeasureXref[[#This Row],[msr_id]],tblMeasure[msr_id],tblMeasure[msr_name])</f>
        <v>Gross Current Expenditure on short term care for clients aged 65 and over, by purpose and primary support reason, 2018-19</v>
      </c>
      <c r="J109" s="22" t="str">
        <f>_xlfn.XLOOKUP(tblRequirementMeasureXref[[#This Row],[msr_id]],tblMeasure[msr_id],tblMeasure[primary_dimensions])</f>
        <v>expenditure, purpose</v>
      </c>
      <c r="K109" s="22" t="str">
        <f>_xlfn.XLOOKUP(tblRequirementMeasureXref[[#This Row],[msr_id]],tblMeasure[msr_id],tblMeasure[msr_min_geo_resolution])</f>
        <v>LA</v>
      </c>
      <c r="L109" s="22" t="str">
        <f>_xlfn.XLOOKUP(tblRequirementMeasureXref[[#This Row],[msr_id]],tblMeasure[msr_id],tblMeasure[src_name])</f>
        <v>Adult Social Care Activity and Finance Report</v>
      </c>
    </row>
    <row r="110" spans="1:12" x14ac:dyDescent="0.15">
      <c r="A110" s="1" t="str">
        <f>_xlfn.XLOOKUP(tblRequirementMeasureXref[[#This Row],[dm_id]],tblDataRequirement[dm_id],tblDataRequirement[domain_sub_requirement])</f>
        <v>Service:Support type:Reablement / ST-MAX</v>
      </c>
      <c r="B110" s="1" t="str">
        <f>_xlfn.XLOOKUP(tblRequirementMeasureXref[[#This Row],[dm_id]],tblDataRequirement[dm_id],tblDataRequirement[dm_phase])</f>
        <v>operate</v>
      </c>
      <c r="C110" s="1">
        <v>46</v>
      </c>
      <c r="D110" s="1">
        <v>31</v>
      </c>
      <c r="G110" s="1"/>
      <c r="H110" s="61" t="str">
        <f>_xlfn.XLOOKUP(tblRequirementMeasureXref[[#This Row],[msr_id]],tblMeasure[msr_id],tblMeasure[msr_table])</f>
        <v>T31</v>
      </c>
      <c r="I110" s="22" t="str">
        <f>_xlfn.XLOOKUP(tblRequirementMeasureXref[[#This Row],[msr_id]],tblMeasure[msr_id],tblMeasure[msr_name])</f>
        <v>Gross Current Expenditure on short term care for clients aged 65 and over, by purpose and primary support reason, 2018-19</v>
      </c>
      <c r="J110" s="22" t="str">
        <f>_xlfn.XLOOKUP(tblRequirementMeasureXref[[#This Row],[msr_id]],tblMeasure[msr_id],tblMeasure[primary_dimensions])</f>
        <v>expenditure, purpose</v>
      </c>
      <c r="K110" s="22" t="str">
        <f>_xlfn.XLOOKUP(tblRequirementMeasureXref[[#This Row],[msr_id]],tblMeasure[msr_id],tblMeasure[msr_min_geo_resolution])</f>
        <v>LA</v>
      </c>
      <c r="L110" s="22" t="str">
        <f>_xlfn.XLOOKUP(tblRequirementMeasureXref[[#This Row],[msr_id]],tblMeasure[msr_id],tblMeasure[src_name])</f>
        <v>Adult Social Care Activity and Finance Report</v>
      </c>
    </row>
    <row r="111" spans="1:12" x14ac:dyDescent="0.15">
      <c r="A111" s="1" t="str">
        <f>_xlfn.XLOOKUP(tblRequirementMeasureXref[[#This Row],[dm_id]],tblDataRequirement[dm_id],tblDataRequirement[domain_sub_requirement])</f>
        <v>Funders:Expenditure:Local authorities</v>
      </c>
      <c r="B111" s="1" t="str">
        <f>_xlfn.XLOOKUP(tblRequirementMeasureXref[[#This Row],[dm_id]],tblDataRequirement[dm_id],tblDataRequirement[dm_phase])</f>
        <v>supply</v>
      </c>
      <c r="C111" s="1">
        <v>3</v>
      </c>
      <c r="D111" s="1">
        <v>31</v>
      </c>
      <c r="G111" s="1"/>
      <c r="H111" s="61" t="str">
        <f>_xlfn.XLOOKUP(tblRequirementMeasureXref[[#This Row],[msr_id]],tblMeasure[msr_id],tblMeasure[msr_table])</f>
        <v>T31</v>
      </c>
      <c r="I111" s="22" t="str">
        <f>_xlfn.XLOOKUP(tblRequirementMeasureXref[[#This Row],[msr_id]],tblMeasure[msr_id],tblMeasure[msr_name])</f>
        <v>Gross Current Expenditure on short term care for clients aged 65 and over, by purpose and primary support reason, 2018-19</v>
      </c>
      <c r="J111" s="22" t="str">
        <f>_xlfn.XLOOKUP(tblRequirementMeasureXref[[#This Row],[msr_id]],tblMeasure[msr_id],tblMeasure[primary_dimensions])</f>
        <v>expenditure, purpose</v>
      </c>
      <c r="K111" s="22" t="str">
        <f>_xlfn.XLOOKUP(tblRequirementMeasureXref[[#This Row],[msr_id]],tblMeasure[msr_id],tblMeasure[msr_min_geo_resolution])</f>
        <v>LA</v>
      </c>
      <c r="L111" s="22" t="str">
        <f>_xlfn.XLOOKUP(tblRequirementMeasureXref[[#This Row],[msr_id]],tblMeasure[msr_id],tblMeasure[src_name])</f>
        <v>Adult Social Care Activity and Finance Report</v>
      </c>
    </row>
    <row r="112" spans="1:12" x14ac:dyDescent="0.15">
      <c r="A112" s="1" t="str">
        <f>_xlfn.XLOOKUP(tblRequirementMeasureXref[[#This Row],[dm_id]],tblDataRequirement[dm_id],tblDataRequirement[domain_sub_requirement])</f>
        <v>Users:Demographics:Age</v>
      </c>
      <c r="B112" s="1" t="str">
        <f>_xlfn.XLOOKUP(tblRequirementMeasureXref[[#This Row],[dm_id]],tblDataRequirement[dm_id],tblDataRequirement[dm_phase])</f>
        <v>demand</v>
      </c>
      <c r="C112" s="1">
        <v>51</v>
      </c>
      <c r="D112" s="1">
        <v>33</v>
      </c>
      <c r="G112" s="1"/>
      <c r="H112" s="61" t="str">
        <f>_xlfn.XLOOKUP(tblRequirementMeasureXref[[#This Row],[msr_id]],tblMeasure[msr_id],tblMeasure[msr_table])</f>
        <v>T33</v>
      </c>
      <c r="I112" s="22" t="str">
        <f>_xlfn.XLOOKUP(tblRequirementMeasureXref[[#This Row],[msr_id]],tblMeasure[msr_id],tblMeasure[msr_name])</f>
        <v>Number of clients accessing long term support during the year, at the end of the year (31 March) and for more than 12 months at the end of the year (31 March), by age band, 2018-19</v>
      </c>
      <c r="J112" s="22" t="str">
        <f>_xlfn.XLOOKUP(tblRequirementMeasureXref[[#This Row],[msr_id]],tblMeasure[msr_id],tblMeasure[primary_dimensions])</f>
        <v>clients</v>
      </c>
      <c r="K112" s="22" t="str">
        <f>_xlfn.XLOOKUP(tblRequirementMeasureXref[[#This Row],[msr_id]],tblMeasure[msr_id],tblMeasure[msr_min_geo_resolution])</f>
        <v>LA</v>
      </c>
      <c r="L112" s="22" t="str">
        <f>_xlfn.XLOOKUP(tblRequirementMeasureXref[[#This Row],[msr_id]],tblMeasure[msr_id],tblMeasure[src_name])</f>
        <v>Adult Social Care Activity and Finance Report</v>
      </c>
    </row>
    <row r="113" spans="1:12" x14ac:dyDescent="0.15">
      <c r="A113" s="1" t="str">
        <f>_xlfn.XLOOKUP(tblRequirementMeasureXref[[#This Row],[dm_id]],tblDataRequirement[dm_id],tblDataRequirement[domain_sub_requirement])</f>
        <v>Service:Access:Eligible for local authority funded care</v>
      </c>
      <c r="B113" s="1" t="str">
        <f>_xlfn.XLOOKUP(tblRequirementMeasureXref[[#This Row],[dm_id]],tblDataRequirement[dm_id],tblDataRequirement[dm_phase])</f>
        <v>demand</v>
      </c>
      <c r="C113" s="1">
        <v>28</v>
      </c>
      <c r="D113" s="1">
        <v>33</v>
      </c>
      <c r="G113" s="1"/>
      <c r="H113" s="61" t="str">
        <f>_xlfn.XLOOKUP(tblRequirementMeasureXref[[#This Row],[msr_id]],tblMeasure[msr_id],tblMeasure[msr_table])</f>
        <v>T33</v>
      </c>
      <c r="I113" s="22" t="str">
        <f>_xlfn.XLOOKUP(tblRequirementMeasureXref[[#This Row],[msr_id]],tblMeasure[msr_id],tblMeasure[msr_name])</f>
        <v>Number of clients accessing long term support during the year, at the end of the year (31 March) and for more than 12 months at the end of the year (31 March), by age band, 2018-19</v>
      </c>
      <c r="J113" s="22" t="str">
        <f>_xlfn.XLOOKUP(tblRequirementMeasureXref[[#This Row],[msr_id]],tblMeasure[msr_id],tblMeasure[primary_dimensions])</f>
        <v>clients</v>
      </c>
      <c r="K113" s="22" t="str">
        <f>_xlfn.XLOOKUP(tblRequirementMeasureXref[[#This Row],[msr_id]],tblMeasure[msr_id],tblMeasure[msr_min_geo_resolution])</f>
        <v>LA</v>
      </c>
      <c r="L113" s="22" t="str">
        <f>_xlfn.XLOOKUP(tblRequirementMeasureXref[[#This Row],[msr_id]],tblMeasure[msr_id],tblMeasure[src_name])</f>
        <v>Adult Social Care Activity and Finance Report</v>
      </c>
    </row>
    <row r="114" spans="1:12" x14ac:dyDescent="0.15">
      <c r="A114" s="1" t="str">
        <f>_xlfn.XLOOKUP(tblRequirementMeasureXref[[#This Row],[dm_id]],tblDataRequirement[dm_id],tblDataRequirement[domain_sub_requirement])</f>
        <v>Service:Support type:Long-term</v>
      </c>
      <c r="B114" s="1" t="str">
        <f>_xlfn.XLOOKUP(tblRequirementMeasureXref[[#This Row],[dm_id]],tblDataRequirement[dm_id],tblDataRequirement[dm_phase])</f>
        <v>operate</v>
      </c>
      <c r="C114" s="1">
        <v>45</v>
      </c>
      <c r="D114" s="1">
        <v>33</v>
      </c>
      <c r="G114" s="1"/>
      <c r="H114" s="61" t="str">
        <f>_xlfn.XLOOKUP(tblRequirementMeasureXref[[#This Row],[msr_id]],tblMeasure[msr_id],tblMeasure[msr_table])</f>
        <v>T33</v>
      </c>
      <c r="I114" s="22" t="str">
        <f>_xlfn.XLOOKUP(tblRequirementMeasureXref[[#This Row],[msr_id]],tblMeasure[msr_id],tblMeasure[msr_name])</f>
        <v>Number of clients accessing long term support during the year, at the end of the year (31 March) and for more than 12 months at the end of the year (31 March), by age band, 2018-19</v>
      </c>
      <c r="J114" s="22" t="str">
        <f>_xlfn.XLOOKUP(tblRequirementMeasureXref[[#This Row],[msr_id]],tblMeasure[msr_id],tblMeasure[primary_dimensions])</f>
        <v>clients</v>
      </c>
      <c r="K114" s="22" t="str">
        <f>_xlfn.XLOOKUP(tblRequirementMeasureXref[[#This Row],[msr_id]],tblMeasure[msr_id],tblMeasure[msr_min_geo_resolution])</f>
        <v>LA</v>
      </c>
      <c r="L114" s="22" t="str">
        <f>_xlfn.XLOOKUP(tblRequirementMeasureXref[[#This Row],[msr_id]],tblMeasure[msr_id],tblMeasure[src_name])</f>
        <v>Adult Social Care Activity and Finance Report</v>
      </c>
    </row>
    <row r="115" spans="1:12" x14ac:dyDescent="0.15">
      <c r="A115" s="1" t="str">
        <f>_xlfn.XLOOKUP(tblRequirementMeasureXref[[#This Row],[dm_id]],tblDataRequirement[dm_id],tblDataRequirement[domain_sub_requirement])</f>
        <v>Users:Demographics:Age</v>
      </c>
      <c r="B115" s="1" t="str">
        <f>_xlfn.XLOOKUP(tblRequirementMeasureXref[[#This Row],[dm_id]],tblDataRequirement[dm_id],tblDataRequirement[dm_phase])</f>
        <v>demand</v>
      </c>
      <c r="C115" s="1">
        <v>51</v>
      </c>
      <c r="D115" s="1">
        <v>34</v>
      </c>
      <c r="G115" s="1"/>
      <c r="H115" s="61" t="str">
        <f>_xlfn.XLOOKUP(tblRequirementMeasureXref[[#This Row],[msr_id]],tblMeasure[msr_id],tblMeasure[msr_table])</f>
        <v>T34</v>
      </c>
      <c r="I115" s="22" t="str">
        <f>_xlfn.XLOOKUP(tblRequirementMeasureXref[[#This Row],[msr_id]],tblMeasure[msr_id],tblMeasure[msr_name])</f>
        <v>Number of clients accessing long term support during the year, by age band and support setting, 2018-19</v>
      </c>
      <c r="J115" s="22" t="str">
        <f>_xlfn.XLOOKUP(tblRequirementMeasureXref[[#This Row],[msr_id]],tblMeasure[msr_id],tblMeasure[primary_dimensions])</f>
        <v>clients</v>
      </c>
      <c r="K115" s="22" t="str">
        <f>_xlfn.XLOOKUP(tblRequirementMeasureXref[[#This Row],[msr_id]],tblMeasure[msr_id],tblMeasure[msr_min_geo_resolution])</f>
        <v>LA</v>
      </c>
      <c r="L115" s="22" t="str">
        <f>_xlfn.XLOOKUP(tblRequirementMeasureXref[[#This Row],[msr_id]],tblMeasure[msr_id],tblMeasure[src_name])</f>
        <v>Adult Social Care Activity and Finance Report</v>
      </c>
    </row>
    <row r="116" spans="1:12" x14ac:dyDescent="0.15">
      <c r="A116" s="1" t="str">
        <f>_xlfn.XLOOKUP(tblRequirementMeasureXref[[#This Row],[dm_id]],tblDataRequirement[dm_id],tblDataRequirement[domain_sub_requirement])</f>
        <v>Service:Access:Eligible for local authority funded care</v>
      </c>
      <c r="B116" s="1" t="str">
        <f>_xlfn.XLOOKUP(tblRequirementMeasureXref[[#This Row],[dm_id]],tblDataRequirement[dm_id],tblDataRequirement[dm_phase])</f>
        <v>demand</v>
      </c>
      <c r="C116" s="1">
        <v>28</v>
      </c>
      <c r="D116" s="1">
        <v>34</v>
      </c>
      <c r="G116" s="1"/>
      <c r="H116" s="61" t="str">
        <f>_xlfn.XLOOKUP(tblRequirementMeasureXref[[#This Row],[msr_id]],tblMeasure[msr_id],tblMeasure[msr_table])</f>
        <v>T34</v>
      </c>
      <c r="I116" s="22" t="str">
        <f>_xlfn.XLOOKUP(tblRequirementMeasureXref[[#This Row],[msr_id]],tblMeasure[msr_id],tblMeasure[msr_name])</f>
        <v>Number of clients accessing long term support during the year, by age band and support setting, 2018-19</v>
      </c>
      <c r="J116" s="22" t="str">
        <f>_xlfn.XLOOKUP(tblRequirementMeasureXref[[#This Row],[msr_id]],tblMeasure[msr_id],tblMeasure[primary_dimensions])</f>
        <v>clients</v>
      </c>
      <c r="K116" s="22" t="str">
        <f>_xlfn.XLOOKUP(tblRequirementMeasureXref[[#This Row],[msr_id]],tblMeasure[msr_id],tblMeasure[msr_min_geo_resolution])</f>
        <v>LA</v>
      </c>
      <c r="L116" s="22" t="str">
        <f>_xlfn.XLOOKUP(tblRequirementMeasureXref[[#This Row],[msr_id]],tblMeasure[msr_id],tblMeasure[src_name])</f>
        <v>Adult Social Care Activity and Finance Report</v>
      </c>
    </row>
    <row r="117" spans="1:12" x14ac:dyDescent="0.15">
      <c r="A117" s="1" t="str">
        <f>_xlfn.XLOOKUP(tblRequirementMeasureXref[[#This Row],[dm_id]],tblDataRequirement[dm_id],tblDataRequirement[domain_sub_requirement])</f>
        <v>Service:Support type:Long-term</v>
      </c>
      <c r="B117" s="1" t="str">
        <f>_xlfn.XLOOKUP(tblRequirementMeasureXref[[#This Row],[dm_id]],tblDataRequirement[dm_id],tblDataRequirement[dm_phase])</f>
        <v>operate</v>
      </c>
      <c r="C117" s="1">
        <v>45</v>
      </c>
      <c r="D117" s="1">
        <v>34</v>
      </c>
      <c r="G117" s="1"/>
      <c r="H117" s="61" t="str">
        <f>_xlfn.XLOOKUP(tblRequirementMeasureXref[[#This Row],[msr_id]],tblMeasure[msr_id],tblMeasure[msr_table])</f>
        <v>T34</v>
      </c>
      <c r="I117" s="22" t="str">
        <f>_xlfn.XLOOKUP(tblRequirementMeasureXref[[#This Row],[msr_id]],tblMeasure[msr_id],tblMeasure[msr_name])</f>
        <v>Number of clients accessing long term support during the year, by age band and support setting, 2018-19</v>
      </c>
      <c r="J117" s="22" t="str">
        <f>_xlfn.XLOOKUP(tblRequirementMeasureXref[[#This Row],[msr_id]],tblMeasure[msr_id],tblMeasure[primary_dimensions])</f>
        <v>clients</v>
      </c>
      <c r="K117" s="22" t="str">
        <f>_xlfn.XLOOKUP(tblRequirementMeasureXref[[#This Row],[msr_id]],tblMeasure[msr_id],tblMeasure[msr_min_geo_resolution])</f>
        <v>LA</v>
      </c>
      <c r="L117" s="22" t="str">
        <f>_xlfn.XLOOKUP(tblRequirementMeasureXref[[#This Row],[msr_id]],tblMeasure[msr_id],tblMeasure[src_name])</f>
        <v>Adult Social Care Activity and Finance Report</v>
      </c>
    </row>
    <row r="118" spans="1:12" x14ac:dyDescent="0.15">
      <c r="A118" s="1" t="str">
        <f>_xlfn.XLOOKUP(tblRequirementMeasureXref[[#This Row],[dm_id]],tblDataRequirement[dm_id],tblDataRequirement[domain_sub_requirement])</f>
        <v>Service:Support setting:Residential care home</v>
      </c>
      <c r="B118" s="1" t="str">
        <f>_xlfn.XLOOKUP(tblRequirementMeasureXref[[#This Row],[dm_id]],tblDataRequirement[dm_id],tblDataRequirement[dm_phase])</f>
        <v>operate</v>
      </c>
      <c r="C118" s="1">
        <v>41</v>
      </c>
      <c r="D118" s="1">
        <v>34</v>
      </c>
      <c r="G118" s="1"/>
      <c r="H118" s="61" t="str">
        <f>_xlfn.XLOOKUP(tblRequirementMeasureXref[[#This Row],[msr_id]],tblMeasure[msr_id],tblMeasure[msr_table])</f>
        <v>T34</v>
      </c>
      <c r="I118" s="22" t="str">
        <f>_xlfn.XLOOKUP(tblRequirementMeasureXref[[#This Row],[msr_id]],tblMeasure[msr_id],tblMeasure[msr_name])</f>
        <v>Number of clients accessing long term support during the year, by age band and support setting, 2018-19</v>
      </c>
      <c r="J118" s="22" t="str">
        <f>_xlfn.XLOOKUP(tblRequirementMeasureXref[[#This Row],[msr_id]],tblMeasure[msr_id],tblMeasure[primary_dimensions])</f>
        <v>clients</v>
      </c>
      <c r="K118" s="22" t="str">
        <f>_xlfn.XLOOKUP(tblRequirementMeasureXref[[#This Row],[msr_id]],tblMeasure[msr_id],tblMeasure[msr_min_geo_resolution])</f>
        <v>LA</v>
      </c>
      <c r="L118" s="22" t="str">
        <f>_xlfn.XLOOKUP(tblRequirementMeasureXref[[#This Row],[msr_id]],tblMeasure[msr_id],tblMeasure[src_name])</f>
        <v>Adult Social Care Activity and Finance Report</v>
      </c>
    </row>
    <row r="119" spans="1:12" x14ac:dyDescent="0.15">
      <c r="A119" s="1" t="str">
        <f>_xlfn.XLOOKUP(tblRequirementMeasureXref[[#This Row],[dm_id]],tblDataRequirement[dm_id],tblDataRequirement[domain_sub_requirement])</f>
        <v>Service:Support setting:Nursing home</v>
      </c>
      <c r="B119" s="1" t="str">
        <f>_xlfn.XLOOKUP(tblRequirementMeasureXref[[#This Row],[dm_id]],tblDataRequirement[dm_id],tblDataRequirement[dm_phase])</f>
        <v>operate</v>
      </c>
      <c r="C119" s="1">
        <v>42</v>
      </c>
      <c r="D119" s="1">
        <v>34</v>
      </c>
      <c r="G119" s="1"/>
      <c r="H119" s="61" t="str">
        <f>_xlfn.XLOOKUP(tblRequirementMeasureXref[[#This Row],[msr_id]],tblMeasure[msr_id],tblMeasure[msr_table])</f>
        <v>T34</v>
      </c>
      <c r="I119" s="22" t="str">
        <f>_xlfn.XLOOKUP(tblRequirementMeasureXref[[#This Row],[msr_id]],tblMeasure[msr_id],tblMeasure[msr_name])</f>
        <v>Number of clients accessing long term support during the year, by age band and support setting, 2018-19</v>
      </c>
      <c r="J119" s="22" t="str">
        <f>_xlfn.XLOOKUP(tblRequirementMeasureXref[[#This Row],[msr_id]],tblMeasure[msr_id],tblMeasure[primary_dimensions])</f>
        <v>clients</v>
      </c>
      <c r="K119" s="22" t="str">
        <f>_xlfn.XLOOKUP(tblRequirementMeasureXref[[#This Row],[msr_id]],tblMeasure[msr_id],tblMeasure[msr_min_geo_resolution])</f>
        <v>LA</v>
      </c>
      <c r="L119" s="22" t="str">
        <f>_xlfn.XLOOKUP(tblRequirementMeasureXref[[#This Row],[msr_id]],tblMeasure[msr_id],tblMeasure[src_name])</f>
        <v>Adult Social Care Activity and Finance Report</v>
      </c>
    </row>
    <row r="120" spans="1:12" x14ac:dyDescent="0.15">
      <c r="A120" s="1" t="str">
        <f>_xlfn.XLOOKUP(tblRequirementMeasureXref[[#This Row],[dm_id]],tblDataRequirement[dm_id],tblDataRequirement[domain_sub_requirement])</f>
        <v>Service:Support setting:Community</v>
      </c>
      <c r="B120" s="1" t="str">
        <f>_xlfn.XLOOKUP(tblRequirementMeasureXref[[#This Row],[dm_id]],tblDataRequirement[dm_id],tblDataRequirement[dm_phase])</f>
        <v>operate</v>
      </c>
      <c r="C120" s="1">
        <v>43</v>
      </c>
      <c r="D120" s="1">
        <v>34</v>
      </c>
      <c r="G120" s="1"/>
      <c r="H120" s="61" t="str">
        <f>_xlfn.XLOOKUP(tblRequirementMeasureXref[[#This Row],[msr_id]],tblMeasure[msr_id],tblMeasure[msr_table])</f>
        <v>T34</v>
      </c>
      <c r="I120" s="22" t="str">
        <f>_xlfn.XLOOKUP(tblRequirementMeasureXref[[#This Row],[msr_id]],tblMeasure[msr_id],tblMeasure[msr_name])</f>
        <v>Number of clients accessing long term support during the year, by age band and support setting, 2018-19</v>
      </c>
      <c r="J120" s="22" t="str">
        <f>_xlfn.XLOOKUP(tblRequirementMeasureXref[[#This Row],[msr_id]],tblMeasure[msr_id],tblMeasure[primary_dimensions])</f>
        <v>clients</v>
      </c>
      <c r="K120" s="22" t="str">
        <f>_xlfn.XLOOKUP(tblRequirementMeasureXref[[#This Row],[msr_id]],tblMeasure[msr_id],tblMeasure[msr_min_geo_resolution])</f>
        <v>LA</v>
      </c>
      <c r="L120" s="22" t="str">
        <f>_xlfn.XLOOKUP(tblRequirementMeasureXref[[#This Row],[msr_id]],tblMeasure[msr_id],tblMeasure[src_name])</f>
        <v>Adult Social Care Activity and Finance Report</v>
      </c>
    </row>
    <row r="121" spans="1:12" x14ac:dyDescent="0.15">
      <c r="A121" s="1" t="str">
        <f>_xlfn.XLOOKUP(tblRequirementMeasureXref[[#This Row],[dm_id]],tblDataRequirement[dm_id],tblDataRequirement[domain_sub_requirement])</f>
        <v>Users:Demographics:Age</v>
      </c>
      <c r="B121" s="1" t="str">
        <f>_xlfn.XLOOKUP(tblRequirementMeasureXref[[#This Row],[dm_id]],tblDataRequirement[dm_id],tblDataRequirement[dm_phase])</f>
        <v>demand</v>
      </c>
      <c r="C121" s="1">
        <v>51</v>
      </c>
      <c r="D121" s="1">
        <v>35</v>
      </c>
      <c r="G121" s="1"/>
      <c r="H121" s="61" t="str">
        <f>_xlfn.XLOOKUP(tblRequirementMeasureXref[[#This Row],[msr_id]],tblMeasure[msr_id],tblMeasure[msr_table])</f>
        <v>T35</v>
      </c>
      <c r="I121" s="22" t="str">
        <f>_xlfn.XLOOKUP(tblRequirementMeasureXref[[#This Row],[msr_id]],tblMeasure[msr_id],tblMeasure[msr_name])</f>
        <v>Number of clients accessing long term support during the year, by primary support reason, age band and support setting, 2018-19</v>
      </c>
      <c r="J121" s="22" t="str">
        <f>_xlfn.XLOOKUP(tblRequirementMeasureXref[[#This Row],[msr_id]],tblMeasure[msr_id],tblMeasure[primary_dimensions])</f>
        <v>clients</v>
      </c>
      <c r="K121" s="22" t="str">
        <f>_xlfn.XLOOKUP(tblRequirementMeasureXref[[#This Row],[msr_id]],tblMeasure[msr_id],tblMeasure[msr_min_geo_resolution])</f>
        <v>England</v>
      </c>
      <c r="L121" s="22" t="str">
        <f>_xlfn.XLOOKUP(tblRequirementMeasureXref[[#This Row],[msr_id]],tblMeasure[msr_id],tblMeasure[src_name])</f>
        <v>Adult Social Care Activity and Finance Report</v>
      </c>
    </row>
    <row r="122" spans="1:12" x14ac:dyDescent="0.15">
      <c r="A122" s="1" t="str">
        <f>_xlfn.XLOOKUP(tblRequirementMeasureXref[[#This Row],[dm_id]],tblDataRequirement[dm_id],tblDataRequirement[domain_sub_requirement])</f>
        <v>Service:Access:Eligible for local authority funded care</v>
      </c>
      <c r="B122" s="1" t="str">
        <f>_xlfn.XLOOKUP(tblRequirementMeasureXref[[#This Row],[dm_id]],tblDataRequirement[dm_id],tblDataRequirement[dm_phase])</f>
        <v>demand</v>
      </c>
      <c r="C122" s="1">
        <v>28</v>
      </c>
      <c r="D122" s="1">
        <v>35</v>
      </c>
      <c r="G122" s="1"/>
      <c r="H122" s="61" t="str">
        <f>_xlfn.XLOOKUP(tblRequirementMeasureXref[[#This Row],[msr_id]],tblMeasure[msr_id],tblMeasure[msr_table])</f>
        <v>T35</v>
      </c>
      <c r="I122" s="22" t="str">
        <f>_xlfn.XLOOKUP(tblRequirementMeasureXref[[#This Row],[msr_id]],tblMeasure[msr_id],tblMeasure[msr_name])</f>
        <v>Number of clients accessing long term support during the year, by primary support reason, age band and support setting, 2018-19</v>
      </c>
      <c r="J122" s="22" t="str">
        <f>_xlfn.XLOOKUP(tblRequirementMeasureXref[[#This Row],[msr_id]],tblMeasure[msr_id],tblMeasure[primary_dimensions])</f>
        <v>clients</v>
      </c>
      <c r="K122" s="22" t="str">
        <f>_xlfn.XLOOKUP(tblRequirementMeasureXref[[#This Row],[msr_id]],tblMeasure[msr_id],tblMeasure[msr_min_geo_resolution])</f>
        <v>England</v>
      </c>
      <c r="L122" s="22" t="str">
        <f>_xlfn.XLOOKUP(tblRequirementMeasureXref[[#This Row],[msr_id]],tblMeasure[msr_id],tblMeasure[src_name])</f>
        <v>Adult Social Care Activity and Finance Report</v>
      </c>
    </row>
    <row r="123" spans="1:12" x14ac:dyDescent="0.15">
      <c r="A123" s="1" t="str">
        <f>_xlfn.XLOOKUP(tblRequirementMeasureXref[[#This Row],[dm_id]],tblDataRequirement[dm_id],tblDataRequirement[domain_sub_requirement])</f>
        <v>Service:Support type:Long-term</v>
      </c>
      <c r="B123" s="1" t="str">
        <f>_xlfn.XLOOKUP(tblRequirementMeasureXref[[#This Row],[dm_id]],tblDataRequirement[dm_id],tblDataRequirement[dm_phase])</f>
        <v>operate</v>
      </c>
      <c r="C123" s="1">
        <v>45</v>
      </c>
      <c r="D123" s="1">
        <v>35</v>
      </c>
      <c r="G123" s="1"/>
      <c r="H123" s="61" t="str">
        <f>_xlfn.XLOOKUP(tblRequirementMeasureXref[[#This Row],[msr_id]],tblMeasure[msr_id],tblMeasure[msr_table])</f>
        <v>T35</v>
      </c>
      <c r="I123" s="22" t="str">
        <f>_xlfn.XLOOKUP(tblRequirementMeasureXref[[#This Row],[msr_id]],tblMeasure[msr_id],tblMeasure[msr_name])</f>
        <v>Number of clients accessing long term support during the year, by primary support reason, age band and support setting, 2018-19</v>
      </c>
      <c r="J123" s="22" t="str">
        <f>_xlfn.XLOOKUP(tblRequirementMeasureXref[[#This Row],[msr_id]],tblMeasure[msr_id],tblMeasure[primary_dimensions])</f>
        <v>clients</v>
      </c>
      <c r="K123" s="22" t="str">
        <f>_xlfn.XLOOKUP(tblRequirementMeasureXref[[#This Row],[msr_id]],tblMeasure[msr_id],tblMeasure[msr_min_geo_resolution])</f>
        <v>England</v>
      </c>
      <c r="L123" s="22" t="str">
        <f>_xlfn.XLOOKUP(tblRequirementMeasureXref[[#This Row],[msr_id]],tblMeasure[msr_id],tblMeasure[src_name])</f>
        <v>Adult Social Care Activity and Finance Report</v>
      </c>
    </row>
    <row r="124" spans="1:12" x14ac:dyDescent="0.15">
      <c r="A124" s="1" t="str">
        <f>_xlfn.XLOOKUP(tblRequirementMeasureXref[[#This Row],[dm_id]],tblDataRequirement[dm_id],tblDataRequirement[domain_sub_requirement])</f>
        <v>Users:Care need:Support reason</v>
      </c>
      <c r="B124" s="1" t="str">
        <f>_xlfn.XLOOKUP(tblRequirementMeasureXref[[#This Row],[dm_id]],tblDataRequirement[dm_id],tblDataRequirement[dm_phase])</f>
        <v>demand</v>
      </c>
      <c r="C124" s="1">
        <v>56</v>
      </c>
      <c r="D124" s="1">
        <v>35</v>
      </c>
      <c r="G124" s="1"/>
      <c r="H124" s="61" t="str">
        <f>_xlfn.XLOOKUP(tblRequirementMeasureXref[[#This Row],[msr_id]],tblMeasure[msr_id],tblMeasure[msr_table])</f>
        <v>T35</v>
      </c>
      <c r="I124" s="22" t="str">
        <f>_xlfn.XLOOKUP(tblRequirementMeasureXref[[#This Row],[msr_id]],tblMeasure[msr_id],tblMeasure[msr_name])</f>
        <v>Number of clients accessing long term support during the year, by primary support reason, age band and support setting, 2018-19</v>
      </c>
      <c r="J124" s="22" t="str">
        <f>_xlfn.XLOOKUP(tblRequirementMeasureXref[[#This Row],[msr_id]],tblMeasure[msr_id],tblMeasure[primary_dimensions])</f>
        <v>clients</v>
      </c>
      <c r="K124" s="22" t="str">
        <f>_xlfn.XLOOKUP(tblRequirementMeasureXref[[#This Row],[msr_id]],tblMeasure[msr_id],tblMeasure[msr_min_geo_resolution])</f>
        <v>England</v>
      </c>
      <c r="L124" s="22" t="str">
        <f>_xlfn.XLOOKUP(tblRequirementMeasureXref[[#This Row],[msr_id]],tblMeasure[msr_id],tblMeasure[src_name])</f>
        <v>Adult Social Care Activity and Finance Report</v>
      </c>
    </row>
    <row r="125" spans="1:12" x14ac:dyDescent="0.15">
      <c r="A125" s="1" t="str">
        <f>_xlfn.XLOOKUP(tblRequirementMeasureXref[[#This Row],[dm_id]],tblDataRequirement[dm_id],tblDataRequirement[domain_sub_requirement])</f>
        <v>Service:Support setting:Residential care home</v>
      </c>
      <c r="B125" s="1" t="str">
        <f>_xlfn.XLOOKUP(tblRequirementMeasureXref[[#This Row],[dm_id]],tblDataRequirement[dm_id],tblDataRequirement[dm_phase])</f>
        <v>operate</v>
      </c>
      <c r="C125" s="1">
        <v>41</v>
      </c>
      <c r="D125" s="1">
        <v>35</v>
      </c>
      <c r="G125" s="1"/>
      <c r="H125" s="61" t="str">
        <f>_xlfn.XLOOKUP(tblRequirementMeasureXref[[#This Row],[msr_id]],tblMeasure[msr_id],tblMeasure[msr_table])</f>
        <v>T35</v>
      </c>
      <c r="I125" s="22" t="str">
        <f>_xlfn.XLOOKUP(tblRequirementMeasureXref[[#This Row],[msr_id]],tblMeasure[msr_id],tblMeasure[msr_name])</f>
        <v>Number of clients accessing long term support during the year, by primary support reason, age band and support setting, 2018-19</v>
      </c>
      <c r="J125" s="22" t="str">
        <f>_xlfn.XLOOKUP(tblRequirementMeasureXref[[#This Row],[msr_id]],tblMeasure[msr_id],tblMeasure[primary_dimensions])</f>
        <v>clients</v>
      </c>
      <c r="K125" s="22" t="str">
        <f>_xlfn.XLOOKUP(tblRequirementMeasureXref[[#This Row],[msr_id]],tblMeasure[msr_id],tblMeasure[msr_min_geo_resolution])</f>
        <v>England</v>
      </c>
      <c r="L125" s="22" t="str">
        <f>_xlfn.XLOOKUP(tblRequirementMeasureXref[[#This Row],[msr_id]],tblMeasure[msr_id],tblMeasure[src_name])</f>
        <v>Adult Social Care Activity and Finance Report</v>
      </c>
    </row>
    <row r="126" spans="1:12" x14ac:dyDescent="0.15">
      <c r="A126" s="1" t="str">
        <f>_xlfn.XLOOKUP(tblRequirementMeasureXref[[#This Row],[dm_id]],tblDataRequirement[dm_id],tblDataRequirement[domain_sub_requirement])</f>
        <v>Service:Support setting:Nursing home</v>
      </c>
      <c r="B126" s="1" t="str">
        <f>_xlfn.XLOOKUP(tblRequirementMeasureXref[[#This Row],[dm_id]],tblDataRequirement[dm_id],tblDataRequirement[dm_phase])</f>
        <v>operate</v>
      </c>
      <c r="C126" s="1">
        <v>42</v>
      </c>
      <c r="D126" s="1">
        <v>35</v>
      </c>
      <c r="G126" s="1"/>
      <c r="H126" s="61" t="str">
        <f>_xlfn.XLOOKUP(tblRequirementMeasureXref[[#This Row],[msr_id]],tblMeasure[msr_id],tblMeasure[msr_table])</f>
        <v>T35</v>
      </c>
      <c r="I126" s="22" t="str">
        <f>_xlfn.XLOOKUP(tblRequirementMeasureXref[[#This Row],[msr_id]],tblMeasure[msr_id],tblMeasure[msr_name])</f>
        <v>Number of clients accessing long term support during the year, by primary support reason, age band and support setting, 2018-19</v>
      </c>
      <c r="J126" s="22" t="str">
        <f>_xlfn.XLOOKUP(tblRequirementMeasureXref[[#This Row],[msr_id]],tblMeasure[msr_id],tblMeasure[primary_dimensions])</f>
        <v>clients</v>
      </c>
      <c r="K126" s="22" t="str">
        <f>_xlfn.XLOOKUP(tblRequirementMeasureXref[[#This Row],[msr_id]],tblMeasure[msr_id],tblMeasure[msr_min_geo_resolution])</f>
        <v>England</v>
      </c>
      <c r="L126" s="22" t="str">
        <f>_xlfn.XLOOKUP(tblRequirementMeasureXref[[#This Row],[msr_id]],tblMeasure[msr_id],tblMeasure[src_name])</f>
        <v>Adult Social Care Activity and Finance Report</v>
      </c>
    </row>
    <row r="127" spans="1:12" x14ac:dyDescent="0.15">
      <c r="A127" s="1" t="str">
        <f>_xlfn.XLOOKUP(tblRequirementMeasureXref[[#This Row],[dm_id]],tblDataRequirement[dm_id],tblDataRequirement[domain_sub_requirement])</f>
        <v>Service:Support setting:Community</v>
      </c>
      <c r="B127" s="1" t="str">
        <f>_xlfn.XLOOKUP(tblRequirementMeasureXref[[#This Row],[dm_id]],tblDataRequirement[dm_id],tblDataRequirement[dm_phase])</f>
        <v>operate</v>
      </c>
      <c r="C127" s="1">
        <v>43</v>
      </c>
      <c r="D127" s="1">
        <v>35</v>
      </c>
      <c r="G127" s="1"/>
      <c r="H127" s="61" t="str">
        <f>_xlfn.XLOOKUP(tblRequirementMeasureXref[[#This Row],[msr_id]],tblMeasure[msr_id],tblMeasure[msr_table])</f>
        <v>T35</v>
      </c>
      <c r="I127" s="22" t="str">
        <f>_xlfn.XLOOKUP(tblRequirementMeasureXref[[#This Row],[msr_id]],tblMeasure[msr_id],tblMeasure[msr_name])</f>
        <v>Number of clients accessing long term support during the year, by primary support reason, age band and support setting, 2018-19</v>
      </c>
      <c r="J127" s="22" t="str">
        <f>_xlfn.XLOOKUP(tblRequirementMeasureXref[[#This Row],[msr_id]],tblMeasure[msr_id],tblMeasure[primary_dimensions])</f>
        <v>clients</v>
      </c>
      <c r="K127" s="22" t="str">
        <f>_xlfn.XLOOKUP(tblRequirementMeasureXref[[#This Row],[msr_id]],tblMeasure[msr_id],tblMeasure[msr_min_geo_resolution])</f>
        <v>England</v>
      </c>
      <c r="L127" s="22" t="str">
        <f>_xlfn.XLOOKUP(tblRequirementMeasureXref[[#This Row],[msr_id]],tblMeasure[msr_id],tblMeasure[src_name])</f>
        <v>Adult Social Care Activity and Finance Report</v>
      </c>
    </row>
    <row r="128" spans="1:12" x14ac:dyDescent="0.15">
      <c r="A128" s="1" t="str">
        <f>_xlfn.XLOOKUP(tblRequirementMeasureXref[[#This Row],[dm_id]],tblDataRequirement[dm_id],tblDataRequirement[domain_sub_requirement])</f>
        <v>Users:Demographics:Age</v>
      </c>
      <c r="B128" s="1" t="str">
        <f>_xlfn.XLOOKUP(tblRequirementMeasureXref[[#This Row],[dm_id]],tblDataRequirement[dm_id],tblDataRequirement[dm_phase])</f>
        <v>demand</v>
      </c>
      <c r="C128" s="1">
        <v>51</v>
      </c>
      <c r="D128" s="1">
        <v>37</v>
      </c>
      <c r="G128" s="1"/>
      <c r="H128" s="61" t="str">
        <f>_xlfn.XLOOKUP(tblRequirementMeasureXref[[#This Row],[msr_id]],tblMeasure[msr_id],tblMeasure[msr_table])</f>
        <v>T37</v>
      </c>
      <c r="I128" s="22" t="str">
        <f>_xlfn.XLOOKUP(tblRequirementMeasureXref[[#This Row],[msr_id]],tblMeasure[msr_id],tblMeasure[msr_name])</f>
        <v>Number of clients accessing long term support at the end of the year, by age band and primary support reason, 2018-19</v>
      </c>
      <c r="J128" s="22" t="str">
        <f>_xlfn.XLOOKUP(tblRequirementMeasureXref[[#This Row],[msr_id]],tblMeasure[msr_id],tblMeasure[primary_dimensions])</f>
        <v>clients</v>
      </c>
      <c r="K128" s="22" t="str">
        <f>_xlfn.XLOOKUP(tblRequirementMeasureXref[[#This Row],[msr_id]],tblMeasure[msr_id],tblMeasure[msr_min_geo_resolution])</f>
        <v>LA</v>
      </c>
      <c r="L128" s="22" t="str">
        <f>_xlfn.XLOOKUP(tblRequirementMeasureXref[[#This Row],[msr_id]],tblMeasure[msr_id],tblMeasure[src_name])</f>
        <v>Adult Social Care Activity and Finance Report</v>
      </c>
    </row>
    <row r="129" spans="1:12" x14ac:dyDescent="0.15">
      <c r="A129" s="1" t="str">
        <f>_xlfn.XLOOKUP(tblRequirementMeasureXref[[#This Row],[dm_id]],tblDataRequirement[dm_id],tblDataRequirement[domain_sub_requirement])</f>
        <v>Service:Access:Eligible for local authority funded care</v>
      </c>
      <c r="B129" s="1" t="str">
        <f>_xlfn.XLOOKUP(tblRequirementMeasureXref[[#This Row],[dm_id]],tblDataRequirement[dm_id],tblDataRequirement[dm_phase])</f>
        <v>demand</v>
      </c>
      <c r="C129" s="1">
        <v>28</v>
      </c>
      <c r="D129" s="1">
        <v>37</v>
      </c>
      <c r="G129" s="1"/>
      <c r="H129" s="61" t="str">
        <f>_xlfn.XLOOKUP(tblRequirementMeasureXref[[#This Row],[msr_id]],tblMeasure[msr_id],tblMeasure[msr_table])</f>
        <v>T37</v>
      </c>
      <c r="I129" s="22" t="str">
        <f>_xlfn.XLOOKUP(tblRequirementMeasureXref[[#This Row],[msr_id]],tblMeasure[msr_id],tblMeasure[msr_name])</f>
        <v>Number of clients accessing long term support at the end of the year, by age band and primary support reason, 2018-19</v>
      </c>
      <c r="J129" s="22" t="str">
        <f>_xlfn.XLOOKUP(tblRequirementMeasureXref[[#This Row],[msr_id]],tblMeasure[msr_id],tblMeasure[primary_dimensions])</f>
        <v>clients</v>
      </c>
      <c r="K129" s="22" t="str">
        <f>_xlfn.XLOOKUP(tblRequirementMeasureXref[[#This Row],[msr_id]],tblMeasure[msr_id],tblMeasure[msr_min_geo_resolution])</f>
        <v>LA</v>
      </c>
      <c r="L129" s="22" t="str">
        <f>_xlfn.XLOOKUP(tblRequirementMeasureXref[[#This Row],[msr_id]],tblMeasure[msr_id],tblMeasure[src_name])</f>
        <v>Adult Social Care Activity and Finance Report</v>
      </c>
    </row>
    <row r="130" spans="1:12" x14ac:dyDescent="0.15">
      <c r="A130" s="1" t="str">
        <f>_xlfn.XLOOKUP(tblRequirementMeasureXref[[#This Row],[dm_id]],tblDataRequirement[dm_id],tblDataRequirement[domain_sub_requirement])</f>
        <v>Service:Support type:Long-term</v>
      </c>
      <c r="B130" s="1" t="str">
        <f>_xlfn.XLOOKUP(tblRequirementMeasureXref[[#This Row],[dm_id]],tblDataRequirement[dm_id],tblDataRequirement[dm_phase])</f>
        <v>operate</v>
      </c>
      <c r="C130" s="1">
        <v>45</v>
      </c>
      <c r="D130" s="1">
        <v>37</v>
      </c>
      <c r="G130" s="1"/>
      <c r="H130" s="61" t="str">
        <f>_xlfn.XLOOKUP(tblRequirementMeasureXref[[#This Row],[msr_id]],tblMeasure[msr_id],tblMeasure[msr_table])</f>
        <v>T37</v>
      </c>
      <c r="I130" s="22" t="str">
        <f>_xlfn.XLOOKUP(tblRequirementMeasureXref[[#This Row],[msr_id]],tblMeasure[msr_id],tblMeasure[msr_name])</f>
        <v>Number of clients accessing long term support at the end of the year, by age band and primary support reason, 2018-19</v>
      </c>
      <c r="J130" s="22" t="str">
        <f>_xlfn.XLOOKUP(tblRequirementMeasureXref[[#This Row],[msr_id]],tblMeasure[msr_id],tblMeasure[primary_dimensions])</f>
        <v>clients</v>
      </c>
      <c r="K130" s="22" t="str">
        <f>_xlfn.XLOOKUP(tblRequirementMeasureXref[[#This Row],[msr_id]],tblMeasure[msr_id],tblMeasure[msr_min_geo_resolution])</f>
        <v>LA</v>
      </c>
      <c r="L130" s="22" t="str">
        <f>_xlfn.XLOOKUP(tblRequirementMeasureXref[[#This Row],[msr_id]],tblMeasure[msr_id],tblMeasure[src_name])</f>
        <v>Adult Social Care Activity and Finance Report</v>
      </c>
    </row>
    <row r="131" spans="1:12" x14ac:dyDescent="0.15">
      <c r="A131" s="1" t="str">
        <f>_xlfn.XLOOKUP(tblRequirementMeasureXref[[#This Row],[dm_id]],tblDataRequirement[dm_id],tblDataRequirement[domain_sub_requirement])</f>
        <v>Users:Care need:Support reason</v>
      </c>
      <c r="B131" s="1" t="str">
        <f>_xlfn.XLOOKUP(tblRequirementMeasureXref[[#This Row],[dm_id]],tblDataRequirement[dm_id],tblDataRequirement[dm_phase])</f>
        <v>demand</v>
      </c>
      <c r="C131" s="1">
        <v>56</v>
      </c>
      <c r="D131" s="1">
        <v>37</v>
      </c>
      <c r="G131" s="1"/>
      <c r="H131" s="61" t="str">
        <f>_xlfn.XLOOKUP(tblRequirementMeasureXref[[#This Row],[msr_id]],tblMeasure[msr_id],tblMeasure[msr_table])</f>
        <v>T37</v>
      </c>
      <c r="I131" s="22" t="str">
        <f>_xlfn.XLOOKUP(tblRequirementMeasureXref[[#This Row],[msr_id]],tblMeasure[msr_id],tblMeasure[msr_name])</f>
        <v>Number of clients accessing long term support at the end of the year, by age band and primary support reason, 2018-19</v>
      </c>
      <c r="J131" s="22" t="str">
        <f>_xlfn.XLOOKUP(tblRequirementMeasureXref[[#This Row],[msr_id]],tblMeasure[msr_id],tblMeasure[primary_dimensions])</f>
        <v>clients</v>
      </c>
      <c r="K131" s="22" t="str">
        <f>_xlfn.XLOOKUP(tblRequirementMeasureXref[[#This Row],[msr_id]],tblMeasure[msr_id],tblMeasure[msr_min_geo_resolution])</f>
        <v>LA</v>
      </c>
      <c r="L131" s="22" t="str">
        <f>_xlfn.XLOOKUP(tblRequirementMeasureXref[[#This Row],[msr_id]],tblMeasure[msr_id],tblMeasure[src_name])</f>
        <v>Adult Social Care Activity and Finance Report</v>
      </c>
    </row>
    <row r="132" spans="1:12" x14ac:dyDescent="0.15">
      <c r="A132" s="1" t="str">
        <f>_xlfn.XLOOKUP(tblRequirementMeasureXref[[#This Row],[dm_id]],tblDataRequirement[dm_id],tblDataRequirement[domain_sub_requirement])</f>
        <v>Users:Demographics:Age</v>
      </c>
      <c r="B132" s="1" t="str">
        <f>_xlfn.XLOOKUP(tblRequirementMeasureXref[[#This Row],[dm_id]],tblDataRequirement[dm_id],tblDataRequirement[dm_phase])</f>
        <v>demand</v>
      </c>
      <c r="C132" s="1">
        <v>51</v>
      </c>
      <c r="D132" s="1">
        <v>38</v>
      </c>
      <c r="G132" s="1"/>
      <c r="H132" s="61" t="str">
        <f>_xlfn.XLOOKUP(tblRequirementMeasureXref[[#This Row],[msr_id]],tblMeasure[msr_id],tblMeasure[msr_table])</f>
        <v>T38</v>
      </c>
      <c r="I132" s="22" t="str">
        <f>_xlfn.XLOOKUP(tblRequirementMeasureXref[[#This Row],[msr_id]],tblMeasure[msr_id],tblMeasure[msr_name])</f>
        <v>Number of clients accessing long term support at the end of the year, by age band and support setting, 2018-19</v>
      </c>
      <c r="J132" s="22" t="str">
        <f>_xlfn.XLOOKUP(tblRequirementMeasureXref[[#This Row],[msr_id]],tblMeasure[msr_id],tblMeasure[primary_dimensions])</f>
        <v>clients</v>
      </c>
      <c r="K132" s="22" t="str">
        <f>_xlfn.XLOOKUP(tblRequirementMeasureXref[[#This Row],[msr_id]],tblMeasure[msr_id],tblMeasure[msr_min_geo_resolution])</f>
        <v>LA</v>
      </c>
      <c r="L132" s="22" t="str">
        <f>_xlfn.XLOOKUP(tblRequirementMeasureXref[[#This Row],[msr_id]],tblMeasure[msr_id],tblMeasure[src_name])</f>
        <v>Adult Social Care Activity and Finance Report</v>
      </c>
    </row>
    <row r="133" spans="1:12" x14ac:dyDescent="0.15">
      <c r="A133" s="1" t="str">
        <f>_xlfn.XLOOKUP(tblRequirementMeasureXref[[#This Row],[dm_id]],tblDataRequirement[dm_id],tblDataRequirement[domain_sub_requirement])</f>
        <v>Service:Access:Eligible for local authority funded care</v>
      </c>
      <c r="B133" s="1" t="str">
        <f>_xlfn.XLOOKUP(tblRequirementMeasureXref[[#This Row],[dm_id]],tblDataRequirement[dm_id],tblDataRequirement[dm_phase])</f>
        <v>demand</v>
      </c>
      <c r="C133" s="1">
        <v>28</v>
      </c>
      <c r="D133" s="1">
        <v>38</v>
      </c>
      <c r="G133" s="1"/>
      <c r="H133" s="61" t="str">
        <f>_xlfn.XLOOKUP(tblRequirementMeasureXref[[#This Row],[msr_id]],tblMeasure[msr_id],tblMeasure[msr_table])</f>
        <v>T38</v>
      </c>
      <c r="I133" s="22" t="str">
        <f>_xlfn.XLOOKUP(tblRequirementMeasureXref[[#This Row],[msr_id]],tblMeasure[msr_id],tblMeasure[msr_name])</f>
        <v>Number of clients accessing long term support at the end of the year, by age band and support setting, 2018-19</v>
      </c>
      <c r="J133" s="22" t="str">
        <f>_xlfn.XLOOKUP(tblRequirementMeasureXref[[#This Row],[msr_id]],tblMeasure[msr_id],tblMeasure[primary_dimensions])</f>
        <v>clients</v>
      </c>
      <c r="K133" s="22" t="str">
        <f>_xlfn.XLOOKUP(tblRequirementMeasureXref[[#This Row],[msr_id]],tblMeasure[msr_id],tblMeasure[msr_min_geo_resolution])</f>
        <v>LA</v>
      </c>
      <c r="L133" s="22" t="str">
        <f>_xlfn.XLOOKUP(tblRequirementMeasureXref[[#This Row],[msr_id]],tblMeasure[msr_id],tblMeasure[src_name])</f>
        <v>Adult Social Care Activity and Finance Report</v>
      </c>
    </row>
    <row r="134" spans="1:12" x14ac:dyDescent="0.15">
      <c r="A134" s="1" t="str">
        <f>_xlfn.XLOOKUP(tblRequirementMeasureXref[[#This Row],[dm_id]],tblDataRequirement[dm_id],tblDataRequirement[domain_sub_requirement])</f>
        <v>Service:Support type:Long-term</v>
      </c>
      <c r="B134" s="1" t="str">
        <f>_xlfn.XLOOKUP(tblRequirementMeasureXref[[#This Row],[dm_id]],tblDataRequirement[dm_id],tblDataRequirement[dm_phase])</f>
        <v>operate</v>
      </c>
      <c r="C134" s="1">
        <v>45</v>
      </c>
      <c r="D134" s="1">
        <v>38</v>
      </c>
      <c r="G134" s="1"/>
      <c r="H134" s="61" t="str">
        <f>_xlfn.XLOOKUP(tblRequirementMeasureXref[[#This Row],[msr_id]],tblMeasure[msr_id],tblMeasure[msr_table])</f>
        <v>T38</v>
      </c>
      <c r="I134" s="22" t="str">
        <f>_xlfn.XLOOKUP(tblRequirementMeasureXref[[#This Row],[msr_id]],tblMeasure[msr_id],tblMeasure[msr_name])</f>
        <v>Number of clients accessing long term support at the end of the year, by age band and support setting, 2018-19</v>
      </c>
      <c r="J134" s="22" t="str">
        <f>_xlfn.XLOOKUP(tblRequirementMeasureXref[[#This Row],[msr_id]],tblMeasure[msr_id],tblMeasure[primary_dimensions])</f>
        <v>clients</v>
      </c>
      <c r="K134" s="22" t="str">
        <f>_xlfn.XLOOKUP(tblRequirementMeasureXref[[#This Row],[msr_id]],tblMeasure[msr_id],tblMeasure[msr_min_geo_resolution])</f>
        <v>LA</v>
      </c>
      <c r="L134" s="22" t="str">
        <f>_xlfn.XLOOKUP(tblRequirementMeasureXref[[#This Row],[msr_id]],tblMeasure[msr_id],tblMeasure[src_name])</f>
        <v>Adult Social Care Activity and Finance Report</v>
      </c>
    </row>
    <row r="135" spans="1:12" x14ac:dyDescent="0.15">
      <c r="A135" s="1" t="str">
        <f>_xlfn.XLOOKUP(tblRequirementMeasureXref[[#This Row],[dm_id]],tblDataRequirement[dm_id],tblDataRequirement[domain_sub_requirement])</f>
        <v>Service:Support setting:Residential care home</v>
      </c>
      <c r="B135" s="1" t="str">
        <f>_xlfn.XLOOKUP(tblRequirementMeasureXref[[#This Row],[dm_id]],tblDataRequirement[dm_id],tblDataRequirement[dm_phase])</f>
        <v>operate</v>
      </c>
      <c r="C135" s="1">
        <v>41</v>
      </c>
      <c r="D135" s="1">
        <v>38</v>
      </c>
      <c r="G135" s="1"/>
      <c r="H135" s="61" t="str">
        <f>_xlfn.XLOOKUP(tblRequirementMeasureXref[[#This Row],[msr_id]],tblMeasure[msr_id],tblMeasure[msr_table])</f>
        <v>T38</v>
      </c>
      <c r="I135" s="22" t="str">
        <f>_xlfn.XLOOKUP(tblRequirementMeasureXref[[#This Row],[msr_id]],tblMeasure[msr_id],tblMeasure[msr_name])</f>
        <v>Number of clients accessing long term support at the end of the year, by age band and support setting, 2018-19</v>
      </c>
      <c r="J135" s="22" t="str">
        <f>_xlfn.XLOOKUP(tblRequirementMeasureXref[[#This Row],[msr_id]],tblMeasure[msr_id],tblMeasure[primary_dimensions])</f>
        <v>clients</v>
      </c>
      <c r="K135" s="22" t="str">
        <f>_xlfn.XLOOKUP(tblRequirementMeasureXref[[#This Row],[msr_id]],tblMeasure[msr_id],tblMeasure[msr_min_geo_resolution])</f>
        <v>LA</v>
      </c>
      <c r="L135" s="22" t="str">
        <f>_xlfn.XLOOKUP(tblRequirementMeasureXref[[#This Row],[msr_id]],tblMeasure[msr_id],tblMeasure[src_name])</f>
        <v>Adult Social Care Activity and Finance Report</v>
      </c>
    </row>
    <row r="136" spans="1:12" x14ac:dyDescent="0.15">
      <c r="A136" s="1" t="str">
        <f>_xlfn.XLOOKUP(tblRequirementMeasureXref[[#This Row],[dm_id]],tblDataRequirement[dm_id],tblDataRequirement[domain_sub_requirement])</f>
        <v>Service:Support setting:Nursing home</v>
      </c>
      <c r="B136" s="1" t="str">
        <f>_xlfn.XLOOKUP(tblRequirementMeasureXref[[#This Row],[dm_id]],tblDataRequirement[dm_id],tblDataRequirement[dm_phase])</f>
        <v>operate</v>
      </c>
      <c r="C136" s="1">
        <v>42</v>
      </c>
      <c r="D136" s="1">
        <v>38</v>
      </c>
      <c r="G136" s="1"/>
      <c r="H136" s="61" t="str">
        <f>_xlfn.XLOOKUP(tblRequirementMeasureXref[[#This Row],[msr_id]],tblMeasure[msr_id],tblMeasure[msr_table])</f>
        <v>T38</v>
      </c>
      <c r="I136" s="22" t="str">
        <f>_xlfn.XLOOKUP(tblRequirementMeasureXref[[#This Row],[msr_id]],tblMeasure[msr_id],tblMeasure[msr_name])</f>
        <v>Number of clients accessing long term support at the end of the year, by age band and support setting, 2018-19</v>
      </c>
      <c r="J136" s="22" t="str">
        <f>_xlfn.XLOOKUP(tblRequirementMeasureXref[[#This Row],[msr_id]],tblMeasure[msr_id],tblMeasure[primary_dimensions])</f>
        <v>clients</v>
      </c>
      <c r="K136" s="22" t="str">
        <f>_xlfn.XLOOKUP(tblRequirementMeasureXref[[#This Row],[msr_id]],tblMeasure[msr_id],tblMeasure[msr_min_geo_resolution])</f>
        <v>LA</v>
      </c>
      <c r="L136" s="22" t="str">
        <f>_xlfn.XLOOKUP(tblRequirementMeasureXref[[#This Row],[msr_id]],tblMeasure[msr_id],tblMeasure[src_name])</f>
        <v>Adult Social Care Activity and Finance Report</v>
      </c>
    </row>
    <row r="137" spans="1:12" x14ac:dyDescent="0.15">
      <c r="A137" s="1" t="str">
        <f>_xlfn.XLOOKUP(tblRequirementMeasureXref[[#This Row],[dm_id]],tblDataRequirement[dm_id],tblDataRequirement[domain_sub_requirement])</f>
        <v>Service:Support setting:Community</v>
      </c>
      <c r="B137" s="1" t="str">
        <f>_xlfn.XLOOKUP(tblRequirementMeasureXref[[#This Row],[dm_id]],tblDataRequirement[dm_id],tblDataRequirement[dm_phase])</f>
        <v>operate</v>
      </c>
      <c r="C137" s="1">
        <v>43</v>
      </c>
      <c r="D137" s="1">
        <v>38</v>
      </c>
      <c r="G137" s="1"/>
      <c r="H137" s="61" t="str">
        <f>_xlfn.XLOOKUP(tblRequirementMeasureXref[[#This Row],[msr_id]],tblMeasure[msr_id],tblMeasure[msr_table])</f>
        <v>T38</v>
      </c>
      <c r="I137" s="22" t="str">
        <f>_xlfn.XLOOKUP(tblRequirementMeasureXref[[#This Row],[msr_id]],tblMeasure[msr_id],tblMeasure[msr_name])</f>
        <v>Number of clients accessing long term support at the end of the year, by age band and support setting, 2018-19</v>
      </c>
      <c r="J137" s="22" t="str">
        <f>_xlfn.XLOOKUP(tblRequirementMeasureXref[[#This Row],[msr_id]],tblMeasure[msr_id],tblMeasure[primary_dimensions])</f>
        <v>clients</v>
      </c>
      <c r="K137" s="22" t="str">
        <f>_xlfn.XLOOKUP(tblRequirementMeasureXref[[#This Row],[msr_id]],tblMeasure[msr_id],tblMeasure[msr_min_geo_resolution])</f>
        <v>LA</v>
      </c>
      <c r="L137" s="22" t="str">
        <f>_xlfn.XLOOKUP(tblRequirementMeasureXref[[#This Row],[msr_id]],tblMeasure[msr_id],tblMeasure[src_name])</f>
        <v>Adult Social Care Activity and Finance Report</v>
      </c>
    </row>
    <row r="138" spans="1:12" x14ac:dyDescent="0.15">
      <c r="A138" s="1" t="str">
        <f>_xlfn.XLOOKUP(tblRequirementMeasureXref[[#This Row],[dm_id]],tblDataRequirement[dm_id],tblDataRequirement[domain_sub_requirement])</f>
        <v>Users:Demographics:Age</v>
      </c>
      <c r="B138" s="1" t="str">
        <f>_xlfn.XLOOKUP(tblRequirementMeasureXref[[#This Row],[dm_id]],tblDataRequirement[dm_id],tblDataRequirement[dm_phase])</f>
        <v>demand</v>
      </c>
      <c r="C138" s="1">
        <v>51</v>
      </c>
      <c r="D138" s="1">
        <v>39</v>
      </c>
      <c r="G138" s="1"/>
      <c r="H138" s="61" t="str">
        <f>_xlfn.XLOOKUP(tblRequirementMeasureXref[[#This Row],[msr_id]],tblMeasure[msr_id],tblMeasure[msr_table])</f>
        <v>T39</v>
      </c>
      <c r="I138" s="22" t="str">
        <f>_xlfn.XLOOKUP(tblRequirementMeasureXref[[#This Row],[msr_id]],tblMeasure[msr_id],tblMeasure[msr_name])</f>
        <v>Number of clients accessing long term support at the end of the year, by support setting, age band and primary support reason, 2018-19</v>
      </c>
      <c r="J138" s="22" t="str">
        <f>_xlfn.XLOOKUP(tblRequirementMeasureXref[[#This Row],[msr_id]],tblMeasure[msr_id],tblMeasure[primary_dimensions])</f>
        <v>clients</v>
      </c>
      <c r="K138" s="22" t="str">
        <f>_xlfn.XLOOKUP(tblRequirementMeasureXref[[#This Row],[msr_id]],tblMeasure[msr_id],tblMeasure[msr_min_geo_resolution])</f>
        <v>England</v>
      </c>
      <c r="L138" s="22" t="str">
        <f>_xlfn.XLOOKUP(tblRequirementMeasureXref[[#This Row],[msr_id]],tblMeasure[msr_id],tblMeasure[src_name])</f>
        <v>Adult Social Care Activity and Finance Report</v>
      </c>
    </row>
    <row r="139" spans="1:12" x14ac:dyDescent="0.15">
      <c r="A139" s="1" t="str">
        <f>_xlfn.XLOOKUP(tblRequirementMeasureXref[[#This Row],[dm_id]],tblDataRequirement[dm_id],tblDataRequirement[domain_sub_requirement])</f>
        <v>Service:Access:Eligible for local authority funded care</v>
      </c>
      <c r="B139" s="1" t="str">
        <f>_xlfn.XLOOKUP(tblRequirementMeasureXref[[#This Row],[dm_id]],tblDataRequirement[dm_id],tblDataRequirement[dm_phase])</f>
        <v>demand</v>
      </c>
      <c r="C139" s="1">
        <v>28</v>
      </c>
      <c r="D139" s="1">
        <v>39</v>
      </c>
      <c r="G139" s="1"/>
      <c r="H139" s="61" t="str">
        <f>_xlfn.XLOOKUP(tblRequirementMeasureXref[[#This Row],[msr_id]],tblMeasure[msr_id],tblMeasure[msr_table])</f>
        <v>T39</v>
      </c>
      <c r="I139" s="22" t="str">
        <f>_xlfn.XLOOKUP(tblRequirementMeasureXref[[#This Row],[msr_id]],tblMeasure[msr_id],tblMeasure[msr_name])</f>
        <v>Number of clients accessing long term support at the end of the year, by support setting, age band and primary support reason, 2018-19</v>
      </c>
      <c r="J139" s="22" t="str">
        <f>_xlfn.XLOOKUP(tblRequirementMeasureXref[[#This Row],[msr_id]],tblMeasure[msr_id],tblMeasure[primary_dimensions])</f>
        <v>clients</v>
      </c>
      <c r="K139" s="22" t="str">
        <f>_xlfn.XLOOKUP(tblRequirementMeasureXref[[#This Row],[msr_id]],tblMeasure[msr_id],tblMeasure[msr_min_geo_resolution])</f>
        <v>England</v>
      </c>
      <c r="L139" s="22" t="str">
        <f>_xlfn.XLOOKUP(tblRequirementMeasureXref[[#This Row],[msr_id]],tblMeasure[msr_id],tblMeasure[src_name])</f>
        <v>Adult Social Care Activity and Finance Report</v>
      </c>
    </row>
    <row r="140" spans="1:12" x14ac:dyDescent="0.15">
      <c r="A140" s="1" t="str">
        <f>_xlfn.XLOOKUP(tblRequirementMeasureXref[[#This Row],[dm_id]],tblDataRequirement[dm_id],tblDataRequirement[domain_sub_requirement])</f>
        <v>Service:Support type:Long-term</v>
      </c>
      <c r="B140" s="1" t="str">
        <f>_xlfn.XLOOKUP(tblRequirementMeasureXref[[#This Row],[dm_id]],tblDataRequirement[dm_id],tblDataRequirement[dm_phase])</f>
        <v>operate</v>
      </c>
      <c r="C140" s="1">
        <v>45</v>
      </c>
      <c r="D140" s="1">
        <v>39</v>
      </c>
      <c r="G140" s="1"/>
      <c r="H140" s="61" t="str">
        <f>_xlfn.XLOOKUP(tblRequirementMeasureXref[[#This Row],[msr_id]],tblMeasure[msr_id],tblMeasure[msr_table])</f>
        <v>T39</v>
      </c>
      <c r="I140" s="22" t="str">
        <f>_xlfn.XLOOKUP(tblRequirementMeasureXref[[#This Row],[msr_id]],tblMeasure[msr_id],tblMeasure[msr_name])</f>
        <v>Number of clients accessing long term support at the end of the year, by support setting, age band and primary support reason, 2018-19</v>
      </c>
      <c r="J140" s="22" t="str">
        <f>_xlfn.XLOOKUP(tblRequirementMeasureXref[[#This Row],[msr_id]],tblMeasure[msr_id],tblMeasure[primary_dimensions])</f>
        <v>clients</v>
      </c>
      <c r="K140" s="22" t="str">
        <f>_xlfn.XLOOKUP(tblRequirementMeasureXref[[#This Row],[msr_id]],tblMeasure[msr_id],tblMeasure[msr_min_geo_resolution])</f>
        <v>England</v>
      </c>
      <c r="L140" s="22" t="str">
        <f>_xlfn.XLOOKUP(tblRequirementMeasureXref[[#This Row],[msr_id]],tblMeasure[msr_id],tblMeasure[src_name])</f>
        <v>Adult Social Care Activity and Finance Report</v>
      </c>
    </row>
    <row r="141" spans="1:12" x14ac:dyDescent="0.15">
      <c r="A141" s="1" t="str">
        <f>_xlfn.XLOOKUP(tblRequirementMeasureXref[[#This Row],[dm_id]],tblDataRequirement[dm_id],tblDataRequirement[domain_sub_requirement])</f>
        <v>Users:Care need:Support reason</v>
      </c>
      <c r="B141" s="1" t="str">
        <f>_xlfn.XLOOKUP(tblRequirementMeasureXref[[#This Row],[dm_id]],tblDataRequirement[dm_id],tblDataRequirement[dm_phase])</f>
        <v>demand</v>
      </c>
      <c r="C141" s="1">
        <v>56</v>
      </c>
      <c r="D141" s="1">
        <v>39</v>
      </c>
      <c r="G141" s="1"/>
      <c r="H141" s="61" t="str">
        <f>_xlfn.XLOOKUP(tblRequirementMeasureXref[[#This Row],[msr_id]],tblMeasure[msr_id],tblMeasure[msr_table])</f>
        <v>T39</v>
      </c>
      <c r="I141" s="22" t="str">
        <f>_xlfn.XLOOKUP(tblRequirementMeasureXref[[#This Row],[msr_id]],tblMeasure[msr_id],tblMeasure[msr_name])</f>
        <v>Number of clients accessing long term support at the end of the year, by support setting, age band and primary support reason, 2018-19</v>
      </c>
      <c r="J141" s="22" t="str">
        <f>_xlfn.XLOOKUP(tblRequirementMeasureXref[[#This Row],[msr_id]],tblMeasure[msr_id],tblMeasure[primary_dimensions])</f>
        <v>clients</v>
      </c>
      <c r="K141" s="22" t="str">
        <f>_xlfn.XLOOKUP(tblRequirementMeasureXref[[#This Row],[msr_id]],tblMeasure[msr_id],tblMeasure[msr_min_geo_resolution])</f>
        <v>England</v>
      </c>
      <c r="L141" s="22" t="str">
        <f>_xlfn.XLOOKUP(tblRequirementMeasureXref[[#This Row],[msr_id]],tblMeasure[msr_id],tblMeasure[src_name])</f>
        <v>Adult Social Care Activity and Finance Report</v>
      </c>
    </row>
    <row r="142" spans="1:12" x14ac:dyDescent="0.15">
      <c r="A142" s="1" t="str">
        <f>_xlfn.XLOOKUP(tblRequirementMeasureXref[[#This Row],[dm_id]],tblDataRequirement[dm_id],tblDataRequirement[domain_sub_requirement])</f>
        <v>Users:Demographics:Age</v>
      </c>
      <c r="B142" s="1" t="str">
        <f>_xlfn.XLOOKUP(tblRequirementMeasureXref[[#This Row],[dm_id]],tblDataRequirement[dm_id],tblDataRequirement[dm_phase])</f>
        <v>demand</v>
      </c>
      <c r="C142" s="1">
        <v>51</v>
      </c>
      <c r="D142" s="1">
        <v>40</v>
      </c>
      <c r="G142" s="1"/>
      <c r="H142" s="61" t="str">
        <f>_xlfn.XLOOKUP(tblRequirementMeasureXref[[#This Row],[msr_id]],tblMeasure[msr_id],tblMeasure[msr_table])</f>
        <v>T40</v>
      </c>
      <c r="I142" s="22" t="str">
        <f>_xlfn.XLOOKUP(tblRequirementMeasureXref[[#This Row],[msr_id]],tblMeasure[msr_id],tblMeasure[msr_name])</f>
        <v>Number of clients accessing long term support at the end of the year, by age band and cost status, 2018-19</v>
      </c>
      <c r="J142" s="22" t="str">
        <f>_xlfn.XLOOKUP(tblRequirementMeasureXref[[#This Row],[msr_id]],tblMeasure[msr_id],tblMeasure[primary_dimensions])</f>
        <v>clients, cost status</v>
      </c>
      <c r="K142" s="22" t="str">
        <f>_xlfn.XLOOKUP(tblRequirementMeasureXref[[#This Row],[msr_id]],tblMeasure[msr_id],tblMeasure[msr_min_geo_resolution])</f>
        <v>LA</v>
      </c>
      <c r="L142" s="22" t="str">
        <f>_xlfn.XLOOKUP(tblRequirementMeasureXref[[#This Row],[msr_id]],tblMeasure[msr_id],tblMeasure[src_name])</f>
        <v>Adult Social Care Activity and Finance Report</v>
      </c>
    </row>
    <row r="143" spans="1:12" x14ac:dyDescent="0.15">
      <c r="A143" s="1" t="str">
        <f>_xlfn.XLOOKUP(tblRequirementMeasureXref[[#This Row],[dm_id]],tblDataRequirement[dm_id],tblDataRequirement[domain_sub_requirement])</f>
        <v>Service:Access:Eligible for local authority funded care</v>
      </c>
      <c r="B143" s="1" t="str">
        <f>_xlfn.XLOOKUP(tblRequirementMeasureXref[[#This Row],[dm_id]],tblDataRequirement[dm_id],tblDataRequirement[dm_phase])</f>
        <v>demand</v>
      </c>
      <c r="C143" s="1">
        <v>28</v>
      </c>
      <c r="D143" s="1">
        <v>40</v>
      </c>
      <c r="G143" s="1"/>
      <c r="H143" s="61" t="str">
        <f>_xlfn.XLOOKUP(tblRequirementMeasureXref[[#This Row],[msr_id]],tblMeasure[msr_id],tblMeasure[msr_table])</f>
        <v>T40</v>
      </c>
      <c r="I143" s="22" t="str">
        <f>_xlfn.XLOOKUP(tblRequirementMeasureXref[[#This Row],[msr_id]],tblMeasure[msr_id],tblMeasure[msr_name])</f>
        <v>Number of clients accessing long term support at the end of the year, by age band and cost status, 2018-19</v>
      </c>
      <c r="J143" s="22" t="str">
        <f>_xlfn.XLOOKUP(tblRequirementMeasureXref[[#This Row],[msr_id]],tblMeasure[msr_id],tblMeasure[primary_dimensions])</f>
        <v>clients, cost status</v>
      </c>
      <c r="K143" s="22" t="str">
        <f>_xlfn.XLOOKUP(tblRequirementMeasureXref[[#This Row],[msr_id]],tblMeasure[msr_id],tblMeasure[msr_min_geo_resolution])</f>
        <v>LA</v>
      </c>
      <c r="L143" s="22" t="str">
        <f>_xlfn.XLOOKUP(tblRequirementMeasureXref[[#This Row],[msr_id]],tblMeasure[msr_id],tblMeasure[src_name])</f>
        <v>Adult Social Care Activity and Finance Report</v>
      </c>
    </row>
    <row r="144" spans="1:12" x14ac:dyDescent="0.15">
      <c r="A144" s="1" t="str">
        <f>_xlfn.XLOOKUP(tblRequirementMeasureXref[[#This Row],[dm_id]],tblDataRequirement[dm_id],tblDataRequirement[domain_sub_requirement])</f>
        <v>Service:Access:Not eligible for local authority funded care</v>
      </c>
      <c r="B144" s="1" t="str">
        <f>_xlfn.XLOOKUP(tblRequirementMeasureXref[[#This Row],[dm_id]],tblDataRequirement[dm_id],tblDataRequirement[dm_phase])</f>
        <v>demand</v>
      </c>
      <c r="C144" s="1">
        <v>57</v>
      </c>
      <c r="D144" s="1">
        <v>40</v>
      </c>
      <c r="G144" s="1"/>
      <c r="H144" s="61" t="str">
        <f>_xlfn.XLOOKUP(tblRequirementMeasureXref[[#This Row],[msr_id]],tblMeasure[msr_id],tblMeasure[msr_table])</f>
        <v>T40</v>
      </c>
      <c r="I144" s="22" t="str">
        <f>_xlfn.XLOOKUP(tblRequirementMeasureXref[[#This Row],[msr_id]],tblMeasure[msr_id],tblMeasure[msr_name])</f>
        <v>Number of clients accessing long term support at the end of the year, by age band and cost status, 2018-19</v>
      </c>
      <c r="J144" s="22" t="str">
        <f>_xlfn.XLOOKUP(tblRequirementMeasureXref[[#This Row],[msr_id]],tblMeasure[msr_id],tblMeasure[primary_dimensions])</f>
        <v>clients, cost status</v>
      </c>
      <c r="K144" s="22" t="str">
        <f>_xlfn.XLOOKUP(tblRequirementMeasureXref[[#This Row],[msr_id]],tblMeasure[msr_id],tblMeasure[msr_min_geo_resolution])</f>
        <v>LA</v>
      </c>
      <c r="L144" s="22" t="str">
        <f>_xlfn.XLOOKUP(tblRequirementMeasureXref[[#This Row],[msr_id]],tblMeasure[msr_id],tblMeasure[src_name])</f>
        <v>Adult Social Care Activity and Finance Report</v>
      </c>
    </row>
    <row r="145" spans="1:12" x14ac:dyDescent="0.15">
      <c r="A145" s="1" t="str">
        <f>_xlfn.XLOOKUP(tblRequirementMeasureXref[[#This Row],[dm_id]],tblDataRequirement[dm_id],tblDataRequirement[domain_sub_requirement])</f>
        <v>Service:Support type:Long-term</v>
      </c>
      <c r="B145" s="1" t="str">
        <f>_xlfn.XLOOKUP(tblRequirementMeasureXref[[#This Row],[dm_id]],tblDataRequirement[dm_id],tblDataRequirement[dm_phase])</f>
        <v>operate</v>
      </c>
      <c r="C145" s="1">
        <v>45</v>
      </c>
      <c r="D145" s="1">
        <v>40</v>
      </c>
      <c r="G145" s="1"/>
      <c r="H145" s="61" t="str">
        <f>_xlfn.XLOOKUP(tblRequirementMeasureXref[[#This Row],[msr_id]],tblMeasure[msr_id],tblMeasure[msr_table])</f>
        <v>T40</v>
      </c>
      <c r="I145" s="22" t="str">
        <f>_xlfn.XLOOKUP(tblRequirementMeasureXref[[#This Row],[msr_id]],tblMeasure[msr_id],tblMeasure[msr_name])</f>
        <v>Number of clients accessing long term support at the end of the year, by age band and cost status, 2018-19</v>
      </c>
      <c r="J145" s="22" t="str">
        <f>_xlfn.XLOOKUP(tblRequirementMeasureXref[[#This Row],[msr_id]],tblMeasure[msr_id],tblMeasure[primary_dimensions])</f>
        <v>clients, cost status</v>
      </c>
      <c r="K145" s="22" t="str">
        <f>_xlfn.XLOOKUP(tblRequirementMeasureXref[[#This Row],[msr_id]],tblMeasure[msr_id],tblMeasure[msr_min_geo_resolution])</f>
        <v>LA</v>
      </c>
      <c r="L145" s="22" t="str">
        <f>_xlfn.XLOOKUP(tblRequirementMeasureXref[[#This Row],[msr_id]],tblMeasure[msr_id],tblMeasure[src_name])</f>
        <v>Adult Social Care Activity and Finance Report</v>
      </c>
    </row>
    <row r="146" spans="1:12" x14ac:dyDescent="0.15">
      <c r="A146" s="1" t="str">
        <f>_xlfn.XLOOKUP(tblRequirementMeasureXref[[#This Row],[dm_id]],tblDataRequirement[dm_id],tblDataRequirement[domain_sub_requirement])</f>
        <v>Users:Demographics:Age</v>
      </c>
      <c r="B146" s="1" t="str">
        <f>_xlfn.XLOOKUP(tblRequirementMeasureXref[[#This Row],[dm_id]],tblDataRequirement[dm_id],tblDataRequirement[dm_phase])</f>
        <v>demand</v>
      </c>
      <c r="C146" s="1">
        <v>51</v>
      </c>
      <c r="D146" s="1">
        <v>41</v>
      </c>
      <c r="G146" s="1"/>
      <c r="H146" s="61" t="str">
        <f>_xlfn.XLOOKUP(tblRequirementMeasureXref[[#This Row],[msr_id]],tblMeasure[msr_id],tblMeasure[msr_table])</f>
        <v>T41</v>
      </c>
      <c r="I146" s="22" t="str">
        <f>_xlfn.XLOOKUP(tblRequirementMeasureXref[[#This Row],[msr_id]],tblMeasure[msr_id],tblMeasure[msr_name])</f>
        <v>Gross Current Expenditure on long term care for clients aged 18 to 64, by support setting, 2018-19</v>
      </c>
      <c r="J146" s="22" t="str">
        <f>_xlfn.XLOOKUP(tblRequirementMeasureXref[[#This Row],[msr_id]],tblMeasure[msr_id],tblMeasure[primary_dimensions])</f>
        <v>expenditure</v>
      </c>
      <c r="K146" s="22" t="str">
        <f>_xlfn.XLOOKUP(tblRequirementMeasureXref[[#This Row],[msr_id]],tblMeasure[msr_id],tblMeasure[msr_min_geo_resolution])</f>
        <v>LA</v>
      </c>
      <c r="L146" s="22" t="str">
        <f>_xlfn.XLOOKUP(tblRequirementMeasureXref[[#This Row],[msr_id]],tblMeasure[msr_id],tblMeasure[src_name])</f>
        <v>Adult Social Care Activity and Finance Report</v>
      </c>
    </row>
    <row r="147" spans="1:12" x14ac:dyDescent="0.15">
      <c r="A147" s="1" t="str">
        <f>_xlfn.XLOOKUP(tblRequirementMeasureXref[[#This Row],[dm_id]],tblDataRequirement[dm_id],tblDataRequirement[domain_sub_requirement])</f>
        <v>Service:Support type:Long-term</v>
      </c>
      <c r="B147" s="1" t="str">
        <f>_xlfn.XLOOKUP(tblRequirementMeasureXref[[#This Row],[dm_id]],tblDataRequirement[dm_id],tblDataRequirement[dm_phase])</f>
        <v>operate</v>
      </c>
      <c r="C147" s="1">
        <v>45</v>
      </c>
      <c r="D147" s="1">
        <v>41</v>
      </c>
      <c r="G147" s="1"/>
      <c r="H147" s="61" t="str">
        <f>_xlfn.XLOOKUP(tblRequirementMeasureXref[[#This Row],[msr_id]],tblMeasure[msr_id],tblMeasure[msr_table])</f>
        <v>T41</v>
      </c>
      <c r="I147" s="22" t="str">
        <f>_xlfn.XLOOKUP(tblRequirementMeasureXref[[#This Row],[msr_id]],tblMeasure[msr_id],tblMeasure[msr_name])</f>
        <v>Gross Current Expenditure on long term care for clients aged 18 to 64, by support setting, 2018-19</v>
      </c>
      <c r="J147" s="22" t="str">
        <f>_xlfn.XLOOKUP(tblRequirementMeasureXref[[#This Row],[msr_id]],tblMeasure[msr_id],tblMeasure[primary_dimensions])</f>
        <v>expenditure</v>
      </c>
      <c r="K147" s="22" t="str">
        <f>_xlfn.XLOOKUP(tblRequirementMeasureXref[[#This Row],[msr_id]],tblMeasure[msr_id],tblMeasure[msr_min_geo_resolution])</f>
        <v>LA</v>
      </c>
      <c r="L147" s="22" t="str">
        <f>_xlfn.XLOOKUP(tblRequirementMeasureXref[[#This Row],[msr_id]],tblMeasure[msr_id],tblMeasure[src_name])</f>
        <v>Adult Social Care Activity and Finance Report</v>
      </c>
    </row>
    <row r="148" spans="1:12" x14ac:dyDescent="0.15">
      <c r="A148" s="1" t="str">
        <f>_xlfn.XLOOKUP(tblRequirementMeasureXref[[#This Row],[dm_id]],tblDataRequirement[dm_id],tblDataRequirement[domain_sub_requirement])</f>
        <v>Funders:Expenditure:Local authorities</v>
      </c>
      <c r="B148" s="1" t="str">
        <f>_xlfn.XLOOKUP(tblRequirementMeasureXref[[#This Row],[dm_id]],tblDataRequirement[dm_id],tblDataRequirement[dm_phase])</f>
        <v>supply</v>
      </c>
      <c r="C148" s="1">
        <v>3</v>
      </c>
      <c r="D148" s="1">
        <v>41</v>
      </c>
      <c r="G148" s="1"/>
      <c r="H148" s="61" t="str">
        <f>_xlfn.XLOOKUP(tblRequirementMeasureXref[[#This Row],[msr_id]],tblMeasure[msr_id],tblMeasure[msr_table])</f>
        <v>T41</v>
      </c>
      <c r="I148" s="22" t="str">
        <f>_xlfn.XLOOKUP(tblRequirementMeasureXref[[#This Row],[msr_id]],tblMeasure[msr_id],tblMeasure[msr_name])</f>
        <v>Gross Current Expenditure on long term care for clients aged 18 to 64, by support setting, 2018-19</v>
      </c>
      <c r="J148" s="22" t="str">
        <f>_xlfn.XLOOKUP(tblRequirementMeasureXref[[#This Row],[msr_id]],tblMeasure[msr_id],tblMeasure[primary_dimensions])</f>
        <v>expenditure</v>
      </c>
      <c r="K148" s="22" t="str">
        <f>_xlfn.XLOOKUP(tblRequirementMeasureXref[[#This Row],[msr_id]],tblMeasure[msr_id],tblMeasure[msr_min_geo_resolution])</f>
        <v>LA</v>
      </c>
      <c r="L148" s="22" t="str">
        <f>_xlfn.XLOOKUP(tblRequirementMeasureXref[[#This Row],[msr_id]],tblMeasure[msr_id],tblMeasure[src_name])</f>
        <v>Adult Social Care Activity and Finance Report</v>
      </c>
    </row>
    <row r="149" spans="1:12" x14ac:dyDescent="0.15">
      <c r="A149" s="1" t="str">
        <f>_xlfn.XLOOKUP(tblRequirementMeasureXref[[#This Row],[dm_id]],tblDataRequirement[dm_id],tblDataRequirement[domain_sub_requirement])</f>
        <v>Service:Support setting:Residential care home</v>
      </c>
      <c r="B149" s="1" t="str">
        <f>_xlfn.XLOOKUP(tblRequirementMeasureXref[[#This Row],[dm_id]],tblDataRequirement[dm_id],tblDataRequirement[dm_phase])</f>
        <v>operate</v>
      </c>
      <c r="C149" s="1">
        <v>41</v>
      </c>
      <c r="D149" s="1">
        <v>41</v>
      </c>
      <c r="G149" s="1"/>
      <c r="H149" s="61" t="str">
        <f>_xlfn.XLOOKUP(tblRequirementMeasureXref[[#This Row],[msr_id]],tblMeasure[msr_id],tblMeasure[msr_table])</f>
        <v>T41</v>
      </c>
      <c r="I149" s="22" t="str">
        <f>_xlfn.XLOOKUP(tblRequirementMeasureXref[[#This Row],[msr_id]],tblMeasure[msr_id],tblMeasure[msr_name])</f>
        <v>Gross Current Expenditure on long term care for clients aged 18 to 64, by support setting, 2018-19</v>
      </c>
      <c r="J149" s="22" t="str">
        <f>_xlfn.XLOOKUP(tblRequirementMeasureXref[[#This Row],[msr_id]],tblMeasure[msr_id],tblMeasure[primary_dimensions])</f>
        <v>expenditure</v>
      </c>
      <c r="K149" s="22" t="str">
        <f>_xlfn.XLOOKUP(tblRequirementMeasureXref[[#This Row],[msr_id]],tblMeasure[msr_id],tblMeasure[msr_min_geo_resolution])</f>
        <v>LA</v>
      </c>
      <c r="L149" s="22" t="str">
        <f>_xlfn.XLOOKUP(tblRequirementMeasureXref[[#This Row],[msr_id]],tblMeasure[msr_id],tblMeasure[src_name])</f>
        <v>Adult Social Care Activity and Finance Report</v>
      </c>
    </row>
    <row r="150" spans="1:12" x14ac:dyDescent="0.15">
      <c r="A150" s="1" t="str">
        <f>_xlfn.XLOOKUP(tblRequirementMeasureXref[[#This Row],[dm_id]],tblDataRequirement[dm_id],tblDataRequirement[domain_sub_requirement])</f>
        <v>Service:Support setting:Nursing home</v>
      </c>
      <c r="B150" s="1" t="str">
        <f>_xlfn.XLOOKUP(tblRequirementMeasureXref[[#This Row],[dm_id]],tblDataRequirement[dm_id],tblDataRequirement[dm_phase])</f>
        <v>operate</v>
      </c>
      <c r="C150" s="1">
        <v>42</v>
      </c>
      <c r="D150" s="1">
        <v>41</v>
      </c>
      <c r="G150" s="1"/>
      <c r="H150" s="61" t="str">
        <f>_xlfn.XLOOKUP(tblRequirementMeasureXref[[#This Row],[msr_id]],tblMeasure[msr_id],tblMeasure[msr_table])</f>
        <v>T41</v>
      </c>
      <c r="I150" s="22" t="str">
        <f>_xlfn.XLOOKUP(tblRequirementMeasureXref[[#This Row],[msr_id]],tblMeasure[msr_id],tblMeasure[msr_name])</f>
        <v>Gross Current Expenditure on long term care for clients aged 18 to 64, by support setting, 2018-19</v>
      </c>
      <c r="J150" s="22" t="str">
        <f>_xlfn.XLOOKUP(tblRequirementMeasureXref[[#This Row],[msr_id]],tblMeasure[msr_id],tblMeasure[primary_dimensions])</f>
        <v>expenditure</v>
      </c>
      <c r="K150" s="22" t="str">
        <f>_xlfn.XLOOKUP(tblRequirementMeasureXref[[#This Row],[msr_id]],tblMeasure[msr_id],tblMeasure[msr_min_geo_resolution])</f>
        <v>LA</v>
      </c>
      <c r="L150" s="22" t="str">
        <f>_xlfn.XLOOKUP(tblRequirementMeasureXref[[#This Row],[msr_id]],tblMeasure[msr_id],tblMeasure[src_name])</f>
        <v>Adult Social Care Activity and Finance Report</v>
      </c>
    </row>
    <row r="151" spans="1:12" x14ac:dyDescent="0.15">
      <c r="A151" s="1" t="str">
        <f>_xlfn.XLOOKUP(tblRequirementMeasureXref[[#This Row],[dm_id]],tblDataRequirement[dm_id],tblDataRequirement[domain_sub_requirement])</f>
        <v>Service:Support setting:Community</v>
      </c>
      <c r="B151" s="1" t="str">
        <f>_xlfn.XLOOKUP(tblRequirementMeasureXref[[#This Row],[dm_id]],tblDataRequirement[dm_id],tblDataRequirement[dm_phase])</f>
        <v>operate</v>
      </c>
      <c r="C151" s="1">
        <v>43</v>
      </c>
      <c r="D151" s="1">
        <v>41</v>
      </c>
      <c r="G151" s="1"/>
      <c r="H151" s="61" t="str">
        <f>_xlfn.XLOOKUP(tblRequirementMeasureXref[[#This Row],[msr_id]],tblMeasure[msr_id],tblMeasure[msr_table])</f>
        <v>T41</v>
      </c>
      <c r="I151" s="22" t="str">
        <f>_xlfn.XLOOKUP(tblRequirementMeasureXref[[#This Row],[msr_id]],tblMeasure[msr_id],tblMeasure[msr_name])</f>
        <v>Gross Current Expenditure on long term care for clients aged 18 to 64, by support setting, 2018-19</v>
      </c>
      <c r="J151" s="22" t="str">
        <f>_xlfn.XLOOKUP(tblRequirementMeasureXref[[#This Row],[msr_id]],tblMeasure[msr_id],tblMeasure[primary_dimensions])</f>
        <v>expenditure</v>
      </c>
      <c r="K151" s="22" t="str">
        <f>_xlfn.XLOOKUP(tblRequirementMeasureXref[[#This Row],[msr_id]],tblMeasure[msr_id],tblMeasure[msr_min_geo_resolution])</f>
        <v>LA</v>
      </c>
      <c r="L151" s="22" t="str">
        <f>_xlfn.XLOOKUP(tblRequirementMeasureXref[[#This Row],[msr_id]],tblMeasure[msr_id],tblMeasure[src_name])</f>
        <v>Adult Social Care Activity and Finance Report</v>
      </c>
    </row>
    <row r="152" spans="1:12" x14ac:dyDescent="0.15">
      <c r="A152" s="1" t="str">
        <f>_xlfn.XLOOKUP(tblRequirementMeasureXref[[#This Row],[dm_id]],tblDataRequirement[dm_id],tblDataRequirement[domain_sub_requirement])</f>
        <v>Users:Demographics:Age</v>
      </c>
      <c r="B152" s="1" t="str">
        <f>_xlfn.XLOOKUP(tblRequirementMeasureXref[[#This Row],[dm_id]],tblDataRequirement[dm_id],tblDataRequirement[dm_phase])</f>
        <v>demand</v>
      </c>
      <c r="C152" s="1">
        <v>51</v>
      </c>
      <c r="D152" s="1">
        <v>42</v>
      </c>
      <c r="G152" s="1"/>
      <c r="H152" s="61" t="str">
        <f>_xlfn.XLOOKUP(tblRequirementMeasureXref[[#This Row],[msr_id]],tblMeasure[msr_id],tblMeasure[msr_table])</f>
        <v>T42</v>
      </c>
      <c r="I152" s="22" t="str">
        <f>_xlfn.XLOOKUP(tblRequirementMeasureXref[[#This Row],[msr_id]],tblMeasure[msr_id],tblMeasure[msr_name])</f>
        <v>Gross Current Expenditure on long term care for clients aged 65 and over, by support setting, 2018-19</v>
      </c>
      <c r="J152" s="22" t="str">
        <f>_xlfn.XLOOKUP(tblRequirementMeasureXref[[#This Row],[msr_id]],tblMeasure[msr_id],tblMeasure[primary_dimensions])</f>
        <v>expenditure</v>
      </c>
      <c r="K152" s="22" t="str">
        <f>_xlfn.XLOOKUP(tblRequirementMeasureXref[[#This Row],[msr_id]],tblMeasure[msr_id],tblMeasure[msr_min_geo_resolution])</f>
        <v>LA</v>
      </c>
      <c r="L152" s="22" t="str">
        <f>_xlfn.XLOOKUP(tblRequirementMeasureXref[[#This Row],[msr_id]],tblMeasure[msr_id],tblMeasure[src_name])</f>
        <v>Adult Social Care Activity and Finance Report</v>
      </c>
    </row>
    <row r="153" spans="1:12" x14ac:dyDescent="0.15">
      <c r="A153" s="1" t="str">
        <f>_xlfn.XLOOKUP(tblRequirementMeasureXref[[#This Row],[dm_id]],tblDataRequirement[dm_id],tblDataRequirement[domain_sub_requirement])</f>
        <v>Service:Support type:Long-term</v>
      </c>
      <c r="B153" s="1" t="str">
        <f>_xlfn.XLOOKUP(tblRequirementMeasureXref[[#This Row],[dm_id]],tblDataRequirement[dm_id],tblDataRequirement[dm_phase])</f>
        <v>operate</v>
      </c>
      <c r="C153" s="1">
        <v>45</v>
      </c>
      <c r="D153" s="1">
        <v>42</v>
      </c>
      <c r="G153" s="1"/>
      <c r="H153" s="61" t="str">
        <f>_xlfn.XLOOKUP(tblRequirementMeasureXref[[#This Row],[msr_id]],tblMeasure[msr_id],tblMeasure[msr_table])</f>
        <v>T42</v>
      </c>
      <c r="I153" s="22" t="str">
        <f>_xlfn.XLOOKUP(tblRequirementMeasureXref[[#This Row],[msr_id]],tblMeasure[msr_id],tblMeasure[msr_name])</f>
        <v>Gross Current Expenditure on long term care for clients aged 65 and over, by support setting, 2018-19</v>
      </c>
      <c r="J153" s="22" t="str">
        <f>_xlfn.XLOOKUP(tblRequirementMeasureXref[[#This Row],[msr_id]],tblMeasure[msr_id],tblMeasure[primary_dimensions])</f>
        <v>expenditure</v>
      </c>
      <c r="K153" s="22" t="str">
        <f>_xlfn.XLOOKUP(tblRequirementMeasureXref[[#This Row],[msr_id]],tblMeasure[msr_id],tblMeasure[msr_min_geo_resolution])</f>
        <v>LA</v>
      </c>
      <c r="L153" s="22" t="str">
        <f>_xlfn.XLOOKUP(tblRequirementMeasureXref[[#This Row],[msr_id]],tblMeasure[msr_id],tblMeasure[src_name])</f>
        <v>Adult Social Care Activity and Finance Report</v>
      </c>
    </row>
    <row r="154" spans="1:12" x14ac:dyDescent="0.15">
      <c r="A154" s="1" t="str">
        <f>_xlfn.XLOOKUP(tblRequirementMeasureXref[[#This Row],[dm_id]],tblDataRequirement[dm_id],tblDataRequirement[domain_sub_requirement])</f>
        <v>Funders:Expenditure:Local authorities</v>
      </c>
      <c r="B154" s="1" t="str">
        <f>_xlfn.XLOOKUP(tblRequirementMeasureXref[[#This Row],[dm_id]],tblDataRequirement[dm_id],tblDataRequirement[dm_phase])</f>
        <v>supply</v>
      </c>
      <c r="C154" s="1">
        <v>3</v>
      </c>
      <c r="D154" s="1">
        <v>42</v>
      </c>
      <c r="G154" s="1"/>
      <c r="H154" s="61" t="str">
        <f>_xlfn.XLOOKUP(tblRequirementMeasureXref[[#This Row],[msr_id]],tblMeasure[msr_id],tblMeasure[msr_table])</f>
        <v>T42</v>
      </c>
      <c r="I154" s="22" t="str">
        <f>_xlfn.XLOOKUP(tblRequirementMeasureXref[[#This Row],[msr_id]],tblMeasure[msr_id],tblMeasure[msr_name])</f>
        <v>Gross Current Expenditure on long term care for clients aged 65 and over, by support setting, 2018-19</v>
      </c>
      <c r="J154" s="22" t="str">
        <f>_xlfn.XLOOKUP(tblRequirementMeasureXref[[#This Row],[msr_id]],tblMeasure[msr_id],tblMeasure[primary_dimensions])</f>
        <v>expenditure</v>
      </c>
      <c r="K154" s="22" t="str">
        <f>_xlfn.XLOOKUP(tblRequirementMeasureXref[[#This Row],[msr_id]],tblMeasure[msr_id],tblMeasure[msr_min_geo_resolution])</f>
        <v>LA</v>
      </c>
      <c r="L154" s="22" t="str">
        <f>_xlfn.XLOOKUP(tblRequirementMeasureXref[[#This Row],[msr_id]],tblMeasure[msr_id],tblMeasure[src_name])</f>
        <v>Adult Social Care Activity and Finance Report</v>
      </c>
    </row>
    <row r="155" spans="1:12" x14ac:dyDescent="0.15">
      <c r="A155" s="1" t="str">
        <f>_xlfn.XLOOKUP(tblRequirementMeasureXref[[#This Row],[dm_id]],tblDataRequirement[dm_id],tblDataRequirement[domain_sub_requirement])</f>
        <v>Service:Support setting:Residential care home</v>
      </c>
      <c r="B155" s="1" t="str">
        <f>_xlfn.XLOOKUP(tblRequirementMeasureXref[[#This Row],[dm_id]],tblDataRequirement[dm_id],tblDataRequirement[dm_phase])</f>
        <v>operate</v>
      </c>
      <c r="C155" s="1">
        <v>41</v>
      </c>
      <c r="D155" s="1">
        <v>42</v>
      </c>
      <c r="G155" s="1"/>
      <c r="H155" s="61" t="str">
        <f>_xlfn.XLOOKUP(tblRequirementMeasureXref[[#This Row],[msr_id]],tblMeasure[msr_id],tblMeasure[msr_table])</f>
        <v>T42</v>
      </c>
      <c r="I155" s="22" t="str">
        <f>_xlfn.XLOOKUP(tblRequirementMeasureXref[[#This Row],[msr_id]],tblMeasure[msr_id],tblMeasure[msr_name])</f>
        <v>Gross Current Expenditure on long term care for clients aged 65 and over, by support setting, 2018-19</v>
      </c>
      <c r="J155" s="22" t="str">
        <f>_xlfn.XLOOKUP(tblRequirementMeasureXref[[#This Row],[msr_id]],tblMeasure[msr_id],tblMeasure[primary_dimensions])</f>
        <v>expenditure</v>
      </c>
      <c r="K155" s="22" t="str">
        <f>_xlfn.XLOOKUP(tblRequirementMeasureXref[[#This Row],[msr_id]],tblMeasure[msr_id],tblMeasure[msr_min_geo_resolution])</f>
        <v>LA</v>
      </c>
      <c r="L155" s="22" t="str">
        <f>_xlfn.XLOOKUP(tblRequirementMeasureXref[[#This Row],[msr_id]],tblMeasure[msr_id],tblMeasure[src_name])</f>
        <v>Adult Social Care Activity and Finance Report</v>
      </c>
    </row>
    <row r="156" spans="1:12" x14ac:dyDescent="0.15">
      <c r="A156" s="1" t="str">
        <f>_xlfn.XLOOKUP(tblRequirementMeasureXref[[#This Row],[dm_id]],tblDataRequirement[dm_id],tblDataRequirement[domain_sub_requirement])</f>
        <v>Service:Support setting:Nursing home</v>
      </c>
      <c r="B156" s="1" t="str">
        <f>_xlfn.XLOOKUP(tblRequirementMeasureXref[[#This Row],[dm_id]],tblDataRequirement[dm_id],tblDataRequirement[dm_phase])</f>
        <v>operate</v>
      </c>
      <c r="C156" s="1">
        <v>42</v>
      </c>
      <c r="D156" s="1">
        <v>42</v>
      </c>
      <c r="G156" s="1"/>
      <c r="H156" s="61" t="str">
        <f>_xlfn.XLOOKUP(tblRequirementMeasureXref[[#This Row],[msr_id]],tblMeasure[msr_id],tblMeasure[msr_table])</f>
        <v>T42</v>
      </c>
      <c r="I156" s="22" t="str">
        <f>_xlfn.XLOOKUP(tblRequirementMeasureXref[[#This Row],[msr_id]],tblMeasure[msr_id],tblMeasure[msr_name])</f>
        <v>Gross Current Expenditure on long term care for clients aged 65 and over, by support setting, 2018-19</v>
      </c>
      <c r="J156" s="22" t="str">
        <f>_xlfn.XLOOKUP(tblRequirementMeasureXref[[#This Row],[msr_id]],tblMeasure[msr_id],tblMeasure[primary_dimensions])</f>
        <v>expenditure</v>
      </c>
      <c r="K156" s="22" t="str">
        <f>_xlfn.XLOOKUP(tblRequirementMeasureXref[[#This Row],[msr_id]],tblMeasure[msr_id],tblMeasure[msr_min_geo_resolution])</f>
        <v>LA</v>
      </c>
      <c r="L156" s="22" t="str">
        <f>_xlfn.XLOOKUP(tblRequirementMeasureXref[[#This Row],[msr_id]],tblMeasure[msr_id],tblMeasure[src_name])</f>
        <v>Adult Social Care Activity and Finance Report</v>
      </c>
    </row>
    <row r="157" spans="1:12" x14ac:dyDescent="0.15">
      <c r="A157" s="1" t="str">
        <f>_xlfn.XLOOKUP(tblRequirementMeasureXref[[#This Row],[dm_id]],tblDataRequirement[dm_id],tblDataRequirement[domain_sub_requirement])</f>
        <v>Service:Support setting:Community</v>
      </c>
      <c r="B157" s="1" t="str">
        <f>_xlfn.XLOOKUP(tblRequirementMeasureXref[[#This Row],[dm_id]],tblDataRequirement[dm_id],tblDataRequirement[dm_phase])</f>
        <v>operate</v>
      </c>
      <c r="C157" s="1">
        <v>43</v>
      </c>
      <c r="D157" s="1">
        <v>42</v>
      </c>
      <c r="G157" s="1"/>
      <c r="H157" s="61" t="str">
        <f>_xlfn.XLOOKUP(tblRequirementMeasureXref[[#This Row],[msr_id]],tblMeasure[msr_id],tblMeasure[msr_table])</f>
        <v>T42</v>
      </c>
      <c r="I157" s="22" t="str">
        <f>_xlfn.XLOOKUP(tblRequirementMeasureXref[[#This Row],[msr_id]],tblMeasure[msr_id],tblMeasure[msr_name])</f>
        <v>Gross Current Expenditure on long term care for clients aged 65 and over, by support setting, 2018-19</v>
      </c>
      <c r="J157" s="22" t="str">
        <f>_xlfn.XLOOKUP(tblRequirementMeasureXref[[#This Row],[msr_id]],tblMeasure[msr_id],tblMeasure[primary_dimensions])</f>
        <v>expenditure</v>
      </c>
      <c r="K157" s="22" t="str">
        <f>_xlfn.XLOOKUP(tblRequirementMeasureXref[[#This Row],[msr_id]],tblMeasure[msr_id],tblMeasure[msr_min_geo_resolution])</f>
        <v>LA</v>
      </c>
      <c r="L157" s="22" t="str">
        <f>_xlfn.XLOOKUP(tblRequirementMeasureXref[[#This Row],[msr_id]],tblMeasure[msr_id],tblMeasure[src_name])</f>
        <v>Adult Social Care Activity and Finance Report</v>
      </c>
    </row>
    <row r="158" spans="1:12" x14ac:dyDescent="0.15">
      <c r="A158" s="1" t="str">
        <f>_xlfn.XLOOKUP(tblRequirementMeasureXref[[#This Row],[dm_id]],tblDataRequirement[dm_id],tblDataRequirement[domain_sub_requirement])</f>
        <v>Users:Demographics:Age</v>
      </c>
      <c r="B158" s="1" t="str">
        <f>_xlfn.XLOOKUP(tblRequirementMeasureXref[[#This Row],[dm_id]],tblDataRequirement[dm_id],tblDataRequirement[dm_phase])</f>
        <v>demand</v>
      </c>
      <c r="C158" s="1">
        <v>51</v>
      </c>
      <c r="D158" s="1">
        <v>43</v>
      </c>
      <c r="G158" s="1"/>
      <c r="H158" s="61" t="str">
        <f>_xlfn.XLOOKUP(tblRequirementMeasureXref[[#This Row],[msr_id]],tblMeasure[msr_id],tblMeasure[msr_table])</f>
        <v>T43</v>
      </c>
      <c r="I158" s="22" t="str">
        <f>_xlfn.XLOOKUP(tblRequirementMeasureXref[[#This Row],[msr_id]],tblMeasure[msr_id],tblMeasure[msr_name])</f>
        <v>Gross Current Expenditure on long term care, by support setting, age band and primary support reason, 2018-19</v>
      </c>
      <c r="J158" s="22" t="str">
        <f>_xlfn.XLOOKUP(tblRequirementMeasureXref[[#This Row],[msr_id]],tblMeasure[msr_id],tblMeasure[primary_dimensions])</f>
        <v>expenditure</v>
      </c>
      <c r="K158" s="22" t="str">
        <f>_xlfn.XLOOKUP(tblRequirementMeasureXref[[#This Row],[msr_id]],tblMeasure[msr_id],tblMeasure[msr_min_geo_resolution])</f>
        <v>England</v>
      </c>
      <c r="L158" s="22" t="str">
        <f>_xlfn.XLOOKUP(tblRequirementMeasureXref[[#This Row],[msr_id]],tblMeasure[msr_id],tblMeasure[src_name])</f>
        <v>Adult Social Care Activity and Finance Report</v>
      </c>
    </row>
    <row r="159" spans="1:12" x14ac:dyDescent="0.15">
      <c r="A159" s="1" t="str">
        <f>_xlfn.XLOOKUP(tblRequirementMeasureXref[[#This Row],[dm_id]],tblDataRequirement[dm_id],tblDataRequirement[domain_sub_requirement])</f>
        <v>Service:Support type:Long-term</v>
      </c>
      <c r="B159" s="1" t="str">
        <f>_xlfn.XLOOKUP(tblRequirementMeasureXref[[#This Row],[dm_id]],tblDataRequirement[dm_id],tblDataRequirement[dm_phase])</f>
        <v>operate</v>
      </c>
      <c r="C159" s="1">
        <v>45</v>
      </c>
      <c r="D159" s="1">
        <v>43</v>
      </c>
      <c r="G159" s="1"/>
      <c r="H159" s="61" t="str">
        <f>_xlfn.XLOOKUP(tblRequirementMeasureXref[[#This Row],[msr_id]],tblMeasure[msr_id],tblMeasure[msr_table])</f>
        <v>T43</v>
      </c>
      <c r="I159" s="22" t="str">
        <f>_xlfn.XLOOKUP(tblRequirementMeasureXref[[#This Row],[msr_id]],tblMeasure[msr_id],tblMeasure[msr_name])</f>
        <v>Gross Current Expenditure on long term care, by support setting, age band and primary support reason, 2018-19</v>
      </c>
      <c r="J159" s="22" t="str">
        <f>_xlfn.XLOOKUP(tblRequirementMeasureXref[[#This Row],[msr_id]],tblMeasure[msr_id],tblMeasure[primary_dimensions])</f>
        <v>expenditure</v>
      </c>
      <c r="K159" s="22" t="str">
        <f>_xlfn.XLOOKUP(tblRequirementMeasureXref[[#This Row],[msr_id]],tblMeasure[msr_id],tblMeasure[msr_min_geo_resolution])</f>
        <v>England</v>
      </c>
      <c r="L159" s="22" t="str">
        <f>_xlfn.XLOOKUP(tblRequirementMeasureXref[[#This Row],[msr_id]],tblMeasure[msr_id],tblMeasure[src_name])</f>
        <v>Adult Social Care Activity and Finance Report</v>
      </c>
    </row>
    <row r="160" spans="1:12" x14ac:dyDescent="0.15">
      <c r="A160" s="1" t="str">
        <f>_xlfn.XLOOKUP(tblRequirementMeasureXref[[#This Row],[dm_id]],tblDataRequirement[dm_id],tblDataRequirement[domain_sub_requirement])</f>
        <v>Funders:Expenditure:Local authorities</v>
      </c>
      <c r="B160" s="1" t="str">
        <f>_xlfn.XLOOKUP(tblRequirementMeasureXref[[#This Row],[dm_id]],tblDataRequirement[dm_id],tblDataRequirement[dm_phase])</f>
        <v>supply</v>
      </c>
      <c r="C160" s="1">
        <v>3</v>
      </c>
      <c r="D160" s="1">
        <v>43</v>
      </c>
      <c r="G160" s="1"/>
      <c r="H160" s="61" t="str">
        <f>_xlfn.XLOOKUP(tblRequirementMeasureXref[[#This Row],[msr_id]],tblMeasure[msr_id],tblMeasure[msr_table])</f>
        <v>T43</v>
      </c>
      <c r="I160" s="22" t="str">
        <f>_xlfn.XLOOKUP(tblRequirementMeasureXref[[#This Row],[msr_id]],tblMeasure[msr_id],tblMeasure[msr_name])</f>
        <v>Gross Current Expenditure on long term care, by support setting, age band and primary support reason, 2018-19</v>
      </c>
      <c r="J160" s="22" t="str">
        <f>_xlfn.XLOOKUP(tblRequirementMeasureXref[[#This Row],[msr_id]],tblMeasure[msr_id],tblMeasure[primary_dimensions])</f>
        <v>expenditure</v>
      </c>
      <c r="K160" s="22" t="str">
        <f>_xlfn.XLOOKUP(tblRequirementMeasureXref[[#This Row],[msr_id]],tblMeasure[msr_id],tblMeasure[msr_min_geo_resolution])</f>
        <v>England</v>
      </c>
      <c r="L160" s="22" t="str">
        <f>_xlfn.XLOOKUP(tblRequirementMeasureXref[[#This Row],[msr_id]],tblMeasure[msr_id],tblMeasure[src_name])</f>
        <v>Adult Social Care Activity and Finance Report</v>
      </c>
    </row>
    <row r="161" spans="1:12" x14ac:dyDescent="0.15">
      <c r="A161" s="1" t="str">
        <f>_xlfn.XLOOKUP(tblRequirementMeasureXref[[#This Row],[dm_id]],tblDataRequirement[dm_id],tblDataRequirement[domain_sub_requirement])</f>
        <v>Users:Care need:Support reason</v>
      </c>
      <c r="B161" s="1" t="str">
        <f>_xlfn.XLOOKUP(tblRequirementMeasureXref[[#This Row],[dm_id]],tblDataRequirement[dm_id],tblDataRequirement[dm_phase])</f>
        <v>demand</v>
      </c>
      <c r="C161" s="1">
        <v>56</v>
      </c>
      <c r="D161" s="1">
        <v>43</v>
      </c>
      <c r="G161" s="1"/>
      <c r="H161" s="61" t="str">
        <f>_xlfn.XLOOKUP(tblRequirementMeasureXref[[#This Row],[msr_id]],tblMeasure[msr_id],tblMeasure[msr_table])</f>
        <v>T43</v>
      </c>
      <c r="I161" s="22" t="str">
        <f>_xlfn.XLOOKUP(tblRequirementMeasureXref[[#This Row],[msr_id]],tblMeasure[msr_id],tblMeasure[msr_name])</f>
        <v>Gross Current Expenditure on long term care, by support setting, age band and primary support reason, 2018-19</v>
      </c>
      <c r="J161" s="22" t="str">
        <f>_xlfn.XLOOKUP(tblRequirementMeasureXref[[#This Row],[msr_id]],tblMeasure[msr_id],tblMeasure[primary_dimensions])</f>
        <v>expenditure</v>
      </c>
      <c r="K161" s="22" t="str">
        <f>_xlfn.XLOOKUP(tblRequirementMeasureXref[[#This Row],[msr_id]],tblMeasure[msr_id],tblMeasure[msr_min_geo_resolution])</f>
        <v>England</v>
      </c>
      <c r="L161" s="22" t="str">
        <f>_xlfn.XLOOKUP(tblRequirementMeasureXref[[#This Row],[msr_id]],tblMeasure[msr_id],tblMeasure[src_name])</f>
        <v>Adult Social Care Activity and Finance Report</v>
      </c>
    </row>
    <row r="162" spans="1:12" x14ac:dyDescent="0.15">
      <c r="A162" s="1" t="str">
        <f>_xlfn.XLOOKUP(tblRequirementMeasureXref[[#This Row],[dm_id]],tblDataRequirement[dm_id],tblDataRequirement[domain_sub_requirement])</f>
        <v>Service:Support setting:Residential care home</v>
      </c>
      <c r="B162" s="1" t="str">
        <f>_xlfn.XLOOKUP(tblRequirementMeasureXref[[#This Row],[dm_id]],tblDataRequirement[dm_id],tblDataRequirement[dm_phase])</f>
        <v>operate</v>
      </c>
      <c r="C162" s="1">
        <v>41</v>
      </c>
      <c r="D162" s="1">
        <v>43</v>
      </c>
      <c r="G162" s="1"/>
      <c r="H162" s="61" t="str">
        <f>_xlfn.XLOOKUP(tblRequirementMeasureXref[[#This Row],[msr_id]],tblMeasure[msr_id],tblMeasure[msr_table])</f>
        <v>T43</v>
      </c>
      <c r="I162" s="22" t="str">
        <f>_xlfn.XLOOKUP(tblRequirementMeasureXref[[#This Row],[msr_id]],tblMeasure[msr_id],tblMeasure[msr_name])</f>
        <v>Gross Current Expenditure on long term care, by support setting, age band and primary support reason, 2018-19</v>
      </c>
      <c r="J162" s="22" t="str">
        <f>_xlfn.XLOOKUP(tblRequirementMeasureXref[[#This Row],[msr_id]],tblMeasure[msr_id],tblMeasure[primary_dimensions])</f>
        <v>expenditure</v>
      </c>
      <c r="K162" s="22" t="str">
        <f>_xlfn.XLOOKUP(tblRequirementMeasureXref[[#This Row],[msr_id]],tblMeasure[msr_id],tblMeasure[msr_min_geo_resolution])</f>
        <v>England</v>
      </c>
      <c r="L162" s="22" t="str">
        <f>_xlfn.XLOOKUP(tblRequirementMeasureXref[[#This Row],[msr_id]],tblMeasure[msr_id],tblMeasure[src_name])</f>
        <v>Adult Social Care Activity and Finance Report</v>
      </c>
    </row>
    <row r="163" spans="1:12" x14ac:dyDescent="0.15">
      <c r="A163" s="1" t="str">
        <f>_xlfn.XLOOKUP(tblRequirementMeasureXref[[#This Row],[dm_id]],tblDataRequirement[dm_id],tblDataRequirement[domain_sub_requirement])</f>
        <v>Service:Support setting:Nursing home</v>
      </c>
      <c r="B163" s="1" t="str">
        <f>_xlfn.XLOOKUP(tblRequirementMeasureXref[[#This Row],[dm_id]],tblDataRequirement[dm_id],tblDataRequirement[dm_phase])</f>
        <v>operate</v>
      </c>
      <c r="C163" s="1">
        <v>42</v>
      </c>
      <c r="D163" s="1">
        <v>43</v>
      </c>
      <c r="G163" s="1"/>
      <c r="H163" s="61" t="str">
        <f>_xlfn.XLOOKUP(tblRequirementMeasureXref[[#This Row],[msr_id]],tblMeasure[msr_id],tblMeasure[msr_table])</f>
        <v>T43</v>
      </c>
      <c r="I163" s="22" t="str">
        <f>_xlfn.XLOOKUP(tblRequirementMeasureXref[[#This Row],[msr_id]],tblMeasure[msr_id],tblMeasure[msr_name])</f>
        <v>Gross Current Expenditure on long term care, by support setting, age band and primary support reason, 2018-19</v>
      </c>
      <c r="J163" s="22" t="str">
        <f>_xlfn.XLOOKUP(tblRequirementMeasureXref[[#This Row],[msr_id]],tblMeasure[msr_id],tblMeasure[primary_dimensions])</f>
        <v>expenditure</v>
      </c>
      <c r="K163" s="22" t="str">
        <f>_xlfn.XLOOKUP(tblRequirementMeasureXref[[#This Row],[msr_id]],tblMeasure[msr_id],tblMeasure[msr_min_geo_resolution])</f>
        <v>England</v>
      </c>
      <c r="L163" s="22" t="str">
        <f>_xlfn.XLOOKUP(tblRequirementMeasureXref[[#This Row],[msr_id]],tblMeasure[msr_id],tblMeasure[src_name])</f>
        <v>Adult Social Care Activity and Finance Report</v>
      </c>
    </row>
    <row r="164" spans="1:12" x14ac:dyDescent="0.15">
      <c r="A164" s="1" t="str">
        <f>_xlfn.XLOOKUP(tblRequirementMeasureXref[[#This Row],[dm_id]],tblDataRequirement[dm_id],tblDataRequirement[domain_sub_requirement])</f>
        <v>Service:Support setting:Community</v>
      </c>
      <c r="B164" s="1" t="str">
        <f>_xlfn.XLOOKUP(tblRequirementMeasureXref[[#This Row],[dm_id]],tblDataRequirement[dm_id],tblDataRequirement[dm_phase])</f>
        <v>operate</v>
      </c>
      <c r="C164" s="1">
        <v>43</v>
      </c>
      <c r="D164" s="1">
        <v>43</v>
      </c>
      <c r="G164" s="1"/>
      <c r="H164" s="61" t="str">
        <f>_xlfn.XLOOKUP(tblRequirementMeasureXref[[#This Row],[msr_id]],tblMeasure[msr_id],tblMeasure[msr_table])</f>
        <v>T43</v>
      </c>
      <c r="I164" s="22" t="str">
        <f>_xlfn.XLOOKUP(tblRequirementMeasureXref[[#This Row],[msr_id]],tblMeasure[msr_id],tblMeasure[msr_name])</f>
        <v>Gross Current Expenditure on long term care, by support setting, age band and primary support reason, 2018-19</v>
      </c>
      <c r="J164" s="22" t="str">
        <f>_xlfn.XLOOKUP(tblRequirementMeasureXref[[#This Row],[msr_id]],tblMeasure[msr_id],tblMeasure[primary_dimensions])</f>
        <v>expenditure</v>
      </c>
      <c r="K164" s="22" t="str">
        <f>_xlfn.XLOOKUP(tblRequirementMeasureXref[[#This Row],[msr_id]],tblMeasure[msr_id],tblMeasure[msr_min_geo_resolution])</f>
        <v>England</v>
      </c>
      <c r="L164" s="22" t="str">
        <f>_xlfn.XLOOKUP(tblRequirementMeasureXref[[#This Row],[msr_id]],tblMeasure[msr_id],tblMeasure[src_name])</f>
        <v>Adult Social Care Activity and Finance Report</v>
      </c>
    </row>
    <row r="165" spans="1:12" x14ac:dyDescent="0.15">
      <c r="A165" s="1" t="str">
        <f>_xlfn.XLOOKUP(tblRequirementMeasureXref[[#This Row],[dm_id]],tblDataRequirement[dm_id],tblDataRequirement[domain_sub_requirement])</f>
        <v>Funders:Expenditure:Local authorities</v>
      </c>
      <c r="B165" s="1" t="str">
        <f>_xlfn.XLOOKUP(tblRequirementMeasureXref[[#This Row],[dm_id]],tblDataRequirement[dm_id],tblDataRequirement[dm_phase])</f>
        <v>supply</v>
      </c>
      <c r="C165" s="1">
        <v>3</v>
      </c>
      <c r="D165" s="1">
        <v>44</v>
      </c>
      <c r="G165" s="1"/>
      <c r="H165" s="61" t="str">
        <f>_xlfn.XLOOKUP(tblRequirementMeasureXref[[#This Row],[msr_id]],tblMeasure[msr_id],tblMeasure[msr_table])</f>
        <v>T44</v>
      </c>
      <c r="I165" s="22" t="str">
        <f>_xlfn.XLOOKUP(tblRequirementMeasureXref[[#This Row],[msr_id]],tblMeasure[msr_id],tblMeasure[msr_name])</f>
        <v>Gross Current Expenditure on other (not long or short term) social care, by primary support reason, 2018-19</v>
      </c>
      <c r="J165" s="22" t="str">
        <f>_xlfn.XLOOKUP(tblRequirementMeasureXref[[#This Row],[msr_id]],tblMeasure[msr_id],tblMeasure[primary_dimensions])</f>
        <v>expenditure</v>
      </c>
      <c r="K165" s="22" t="str">
        <f>_xlfn.XLOOKUP(tblRequirementMeasureXref[[#This Row],[msr_id]],tblMeasure[msr_id],tblMeasure[msr_min_geo_resolution])</f>
        <v>LA</v>
      </c>
      <c r="L165" s="22" t="str">
        <f>_xlfn.XLOOKUP(tblRequirementMeasureXref[[#This Row],[msr_id]],tblMeasure[msr_id],tblMeasure[src_name])</f>
        <v>Adult Social Care Activity and Finance Report</v>
      </c>
    </row>
    <row r="166" spans="1:12" x14ac:dyDescent="0.15">
      <c r="A166" s="1" t="str">
        <f>_xlfn.XLOOKUP(tblRequirementMeasureXref[[#This Row],[dm_id]],tblDataRequirement[dm_id],tblDataRequirement[domain_sub_requirement])</f>
        <v>Service:Support type:Other (not ST or LT)</v>
      </c>
      <c r="B166" s="1" t="str">
        <f>_xlfn.XLOOKUP(tblRequirementMeasureXref[[#This Row],[dm_id]],tblDataRequirement[dm_id],tblDataRequirement[dm_phase])</f>
        <v>operate</v>
      </c>
      <c r="C166" s="1">
        <v>68</v>
      </c>
      <c r="D166" s="1">
        <v>44</v>
      </c>
      <c r="G166" s="1"/>
      <c r="H166" s="61" t="str">
        <f>_xlfn.XLOOKUP(tblRequirementMeasureXref[[#This Row],[msr_id]],tblMeasure[msr_id],tblMeasure[msr_table])</f>
        <v>T44</v>
      </c>
      <c r="I166" s="22" t="str">
        <f>_xlfn.XLOOKUP(tblRequirementMeasureXref[[#This Row],[msr_id]],tblMeasure[msr_id],tblMeasure[msr_name])</f>
        <v>Gross Current Expenditure on other (not long or short term) social care, by primary support reason, 2018-19</v>
      </c>
      <c r="J166" s="22" t="str">
        <f>_xlfn.XLOOKUP(tblRequirementMeasureXref[[#This Row],[msr_id]],tblMeasure[msr_id],tblMeasure[primary_dimensions])</f>
        <v>expenditure</v>
      </c>
      <c r="K166" s="22" t="str">
        <f>_xlfn.XLOOKUP(tblRequirementMeasureXref[[#This Row],[msr_id]],tblMeasure[msr_id],tblMeasure[msr_min_geo_resolution])</f>
        <v>LA</v>
      </c>
      <c r="L166" s="22" t="str">
        <f>_xlfn.XLOOKUP(tblRequirementMeasureXref[[#This Row],[msr_id]],tblMeasure[msr_id],tblMeasure[src_name])</f>
        <v>Adult Social Care Activity and Finance Report</v>
      </c>
    </row>
    <row r="167" spans="1:12" x14ac:dyDescent="0.15">
      <c r="A167" s="1" t="str">
        <f>_xlfn.XLOOKUP(tblRequirementMeasureXref[[#This Row],[dm_id]],tblDataRequirement[dm_id],tblDataRequirement[domain_sub_requirement])</f>
        <v>Users:Care need:Support reason</v>
      </c>
      <c r="B167" s="1" t="str">
        <f>_xlfn.XLOOKUP(tblRequirementMeasureXref[[#This Row],[dm_id]],tblDataRequirement[dm_id],tblDataRequirement[dm_phase])</f>
        <v>demand</v>
      </c>
      <c r="C167" s="1">
        <v>56</v>
      </c>
      <c r="D167" s="1">
        <v>44</v>
      </c>
      <c r="G167" s="1"/>
      <c r="H167" s="61" t="str">
        <f>_xlfn.XLOOKUP(tblRequirementMeasureXref[[#This Row],[msr_id]],tblMeasure[msr_id],tblMeasure[msr_table])</f>
        <v>T44</v>
      </c>
      <c r="I167" s="22" t="str">
        <f>_xlfn.XLOOKUP(tblRequirementMeasureXref[[#This Row],[msr_id]],tblMeasure[msr_id],tblMeasure[msr_name])</f>
        <v>Gross Current Expenditure on other (not long or short term) social care, by primary support reason, 2018-19</v>
      </c>
      <c r="J167" s="22" t="str">
        <f>_xlfn.XLOOKUP(tblRequirementMeasureXref[[#This Row],[msr_id]],tblMeasure[msr_id],tblMeasure[primary_dimensions])</f>
        <v>expenditure</v>
      </c>
      <c r="K167" s="22" t="str">
        <f>_xlfn.XLOOKUP(tblRequirementMeasureXref[[#This Row],[msr_id]],tblMeasure[msr_id],tblMeasure[msr_min_geo_resolution])</f>
        <v>LA</v>
      </c>
      <c r="L167" s="22" t="str">
        <f>_xlfn.XLOOKUP(tblRequirementMeasureXref[[#This Row],[msr_id]],tblMeasure[msr_id],tblMeasure[src_name])</f>
        <v>Adult Social Care Activity and Finance Report</v>
      </c>
    </row>
    <row r="168" spans="1:12" x14ac:dyDescent="0.15">
      <c r="A168" s="1" t="str">
        <f>_xlfn.XLOOKUP(tblRequirementMeasureXref[[#This Row],[dm_id]],tblDataRequirement[dm_id],tblDataRequirement[domain_sub_requirement])</f>
        <v>Service:Support type:Unpaid Carer support</v>
      </c>
      <c r="B168" s="1" t="str">
        <f>_xlfn.XLOOKUP(tblRequirementMeasureXref[[#This Row],[dm_id]],tblDataRequirement[dm_id],tblDataRequirement[dm_phase])</f>
        <v>operate</v>
      </c>
      <c r="C168" s="1">
        <v>80</v>
      </c>
      <c r="D168" s="1">
        <v>45</v>
      </c>
      <c r="G168" s="1"/>
      <c r="H168" s="61" t="str">
        <f>_xlfn.XLOOKUP(tblRequirementMeasureXref[[#This Row],[msr_id]],tblMeasure[msr_id],tblMeasure[msr_table])</f>
        <v>T45</v>
      </c>
      <c r="I168" s="22" t="str">
        <f>_xlfn.XLOOKUP(tblRequirementMeasureXref[[#This Row],[msr_id]],tblMeasure[msr_id],tblMeasure[msr_name])</f>
        <v>Support provided to carers during the year, by type of support provided, 2018-19</v>
      </c>
      <c r="J168" s="22" t="str">
        <f>_xlfn.XLOOKUP(tblRequirementMeasureXref[[#This Row],[msr_id]],tblMeasure[msr_id],tblMeasure[primary_dimensions])</f>
        <v>carer support, carer support type, users involved</v>
      </c>
      <c r="K168" s="22" t="str">
        <f>_xlfn.XLOOKUP(tblRequirementMeasureXref[[#This Row],[msr_id]],tblMeasure[msr_id],tblMeasure[msr_min_geo_resolution])</f>
        <v>LA</v>
      </c>
      <c r="L168" s="22" t="str">
        <f>_xlfn.XLOOKUP(tblRequirementMeasureXref[[#This Row],[msr_id]],tblMeasure[msr_id],tblMeasure[src_name])</f>
        <v>Adult Social Care Activity and Finance Report</v>
      </c>
    </row>
    <row r="169" spans="1:12" x14ac:dyDescent="0.15">
      <c r="A169" s="1" t="str">
        <f>_xlfn.XLOOKUP(tblRequirementMeasureXref[[#This Row],[dm_id]],tblDataRequirement[dm_id],tblDataRequirement[domain_sub_requirement])</f>
        <v>Service:Access:Eligible for local authority funded care</v>
      </c>
      <c r="B169" s="1" t="str">
        <f>_xlfn.XLOOKUP(tblRequirementMeasureXref[[#This Row],[dm_id]],tblDataRequirement[dm_id],tblDataRequirement[dm_phase])</f>
        <v>demand</v>
      </c>
      <c r="C169" s="1">
        <v>28</v>
      </c>
      <c r="D169" s="1">
        <v>45</v>
      </c>
      <c r="G169" s="1"/>
      <c r="H169" s="61" t="str">
        <f>_xlfn.XLOOKUP(tblRequirementMeasureXref[[#This Row],[msr_id]],tblMeasure[msr_id],tblMeasure[msr_table])</f>
        <v>T45</v>
      </c>
      <c r="I169" s="22" t="str">
        <f>_xlfn.XLOOKUP(tblRequirementMeasureXref[[#This Row],[msr_id]],tblMeasure[msr_id],tblMeasure[msr_name])</f>
        <v>Support provided to carers during the year, by type of support provided, 2018-19</v>
      </c>
      <c r="J169" s="22" t="str">
        <f>_xlfn.XLOOKUP(tblRequirementMeasureXref[[#This Row],[msr_id]],tblMeasure[msr_id],tblMeasure[primary_dimensions])</f>
        <v>carer support, carer support type, users involved</v>
      </c>
      <c r="K169" s="22" t="str">
        <f>_xlfn.XLOOKUP(tblRequirementMeasureXref[[#This Row],[msr_id]],tblMeasure[msr_id],tblMeasure[msr_min_geo_resolution])</f>
        <v>LA</v>
      </c>
      <c r="L169" s="22" t="str">
        <f>_xlfn.XLOOKUP(tblRequirementMeasureXref[[#This Row],[msr_id]],tblMeasure[msr_id],tblMeasure[src_name])</f>
        <v>Adult Social Care Activity and Finance Report</v>
      </c>
    </row>
    <row r="170" spans="1:12" x14ac:dyDescent="0.15">
      <c r="A170" s="1" t="str">
        <f>_xlfn.XLOOKUP(tblRequirementMeasureXref[[#This Row],[dm_id]],tblDataRequirement[dm_id],tblDataRequirement[domain_sub_requirement])</f>
        <v>Service:Access:Not eligible for local authority funded care</v>
      </c>
      <c r="B170" s="1" t="str">
        <f>_xlfn.XLOOKUP(tblRequirementMeasureXref[[#This Row],[dm_id]],tblDataRequirement[dm_id],tblDataRequirement[dm_phase])</f>
        <v>demand</v>
      </c>
      <c r="C170" s="1">
        <v>57</v>
      </c>
      <c r="D170" s="1">
        <v>45</v>
      </c>
      <c r="G170" s="1"/>
      <c r="H170" s="61" t="str">
        <f>_xlfn.XLOOKUP(tblRequirementMeasureXref[[#This Row],[msr_id]],tblMeasure[msr_id],tblMeasure[msr_table])</f>
        <v>T45</v>
      </c>
      <c r="I170" s="22" t="str">
        <f>_xlfn.XLOOKUP(tblRequirementMeasureXref[[#This Row],[msr_id]],tblMeasure[msr_id],tblMeasure[msr_name])</f>
        <v>Support provided to carers during the year, by type of support provided, 2018-19</v>
      </c>
      <c r="J170" s="22" t="str">
        <f>_xlfn.XLOOKUP(tblRequirementMeasureXref[[#This Row],[msr_id]],tblMeasure[msr_id],tblMeasure[primary_dimensions])</f>
        <v>carer support, carer support type, users involved</v>
      </c>
      <c r="K170" s="22" t="str">
        <f>_xlfn.XLOOKUP(tblRequirementMeasureXref[[#This Row],[msr_id]],tblMeasure[msr_id],tblMeasure[msr_min_geo_resolution])</f>
        <v>LA</v>
      </c>
      <c r="L170" s="22" t="str">
        <f>_xlfn.XLOOKUP(tblRequirementMeasureXref[[#This Row],[msr_id]],tblMeasure[msr_id],tblMeasure[src_name])</f>
        <v>Adult Social Care Activity and Finance Report</v>
      </c>
    </row>
    <row r="171" spans="1:12" x14ac:dyDescent="0.15">
      <c r="A171" s="1" t="str">
        <f>_xlfn.XLOOKUP(tblRequirementMeasureXref[[#This Row],[dm_id]],tblDataRequirement[dm_id],tblDataRequirement[domain_sub_requirement])</f>
        <v>Unpaid Carers:Workforce:Workforce</v>
      </c>
      <c r="B171" s="1" t="str">
        <f>_xlfn.XLOOKUP(tblRequirementMeasureXref[[#This Row],[dm_id]],tblDataRequirement[dm_id],tblDataRequirement[dm_phase])</f>
        <v>supply</v>
      </c>
      <c r="C171" s="1">
        <v>19</v>
      </c>
      <c r="D171" s="1">
        <v>45</v>
      </c>
      <c r="G171" s="1"/>
      <c r="H171" s="61" t="str">
        <f>_xlfn.XLOOKUP(tblRequirementMeasureXref[[#This Row],[msr_id]],tblMeasure[msr_id],tblMeasure[msr_table])</f>
        <v>T45</v>
      </c>
      <c r="I171" s="22" t="str">
        <f>_xlfn.XLOOKUP(tblRequirementMeasureXref[[#This Row],[msr_id]],tblMeasure[msr_id],tblMeasure[msr_name])</f>
        <v>Support provided to carers during the year, by type of support provided, 2018-19</v>
      </c>
      <c r="J171" s="22" t="str">
        <f>_xlfn.XLOOKUP(tblRequirementMeasureXref[[#This Row],[msr_id]],tblMeasure[msr_id],tblMeasure[primary_dimensions])</f>
        <v>carer support, carer support type, users involved</v>
      </c>
      <c r="K171" s="22" t="str">
        <f>_xlfn.XLOOKUP(tblRequirementMeasureXref[[#This Row],[msr_id]],tblMeasure[msr_id],tblMeasure[msr_min_geo_resolution])</f>
        <v>LA</v>
      </c>
      <c r="L171" s="22" t="str">
        <f>_xlfn.XLOOKUP(tblRequirementMeasureXref[[#This Row],[msr_id]],tblMeasure[msr_id],tblMeasure[src_name])</f>
        <v>Adult Social Care Activity and Finance Report</v>
      </c>
    </row>
    <row r="172" spans="1:12" x14ac:dyDescent="0.15">
      <c r="A172" s="1" t="str">
        <f>_xlfn.XLOOKUP(tblRequirementMeasureXref[[#This Row],[dm_id]],tblDataRequirement[dm_id],tblDataRequirement[domain_sub_requirement])</f>
        <v>Unpaid Carers:Income:Direct payments</v>
      </c>
      <c r="B172" s="1" t="str">
        <f>_xlfn.XLOOKUP(tblRequirementMeasureXref[[#This Row],[dm_id]],tblDataRequirement[dm_id],tblDataRequirement[dm_phase])</f>
        <v>supply</v>
      </c>
      <c r="C172" s="1">
        <v>90</v>
      </c>
      <c r="D172" s="1">
        <v>45</v>
      </c>
      <c r="G172" s="1"/>
      <c r="H172" s="62" t="str">
        <f>_xlfn.XLOOKUP(tblRequirementMeasureXref[[#This Row],[msr_id]],tblMeasure[msr_id],tblMeasure[msr_table])</f>
        <v>T45</v>
      </c>
      <c r="I172" s="22" t="str">
        <f>_xlfn.XLOOKUP(tblRequirementMeasureXref[[#This Row],[msr_id]],tblMeasure[msr_id],tblMeasure[msr_name])</f>
        <v>Support provided to carers during the year, by type of support provided, 2018-19</v>
      </c>
      <c r="J172" s="22" t="str">
        <f>_xlfn.XLOOKUP(tblRequirementMeasureXref[[#This Row],[msr_id]],tblMeasure[msr_id],tblMeasure[primary_dimensions])</f>
        <v>carer support, carer support type, users involved</v>
      </c>
      <c r="K172" s="22" t="str">
        <f>_xlfn.XLOOKUP(tblRequirementMeasureXref[[#This Row],[msr_id]],tblMeasure[msr_id],tblMeasure[msr_min_geo_resolution])</f>
        <v>LA</v>
      </c>
      <c r="L172" s="22" t="str">
        <f>_xlfn.XLOOKUP(tblRequirementMeasureXref[[#This Row],[msr_id]],tblMeasure[msr_id],tblMeasure[src_name])</f>
        <v>Adult Social Care Activity and Finance Report</v>
      </c>
    </row>
    <row r="173" spans="1:12" x14ac:dyDescent="0.15">
      <c r="A173" s="1" t="str">
        <f>_xlfn.XLOOKUP(tblRequirementMeasureXref[[#This Row],[dm_id]],tblDataRequirement[dm_id],tblDataRequirement[domain_sub_requirement])</f>
        <v>Service:Support type:Unpaid Carer support</v>
      </c>
      <c r="B173" s="1" t="str">
        <f>_xlfn.XLOOKUP(tblRequirementMeasureXref[[#This Row],[dm_id]],tblDataRequirement[dm_id],tblDataRequirement[dm_phase])</f>
        <v>operate</v>
      </c>
      <c r="C173" s="1">
        <v>80</v>
      </c>
      <c r="D173" s="1">
        <v>46</v>
      </c>
      <c r="G173" s="1"/>
      <c r="H173" s="61" t="str">
        <f>_xlfn.XLOOKUP(tblRequirementMeasureXref[[#This Row],[msr_id]],tblMeasure[msr_id],tblMeasure[msr_table])</f>
        <v>T46</v>
      </c>
      <c r="I173" s="22" t="str">
        <f>_xlfn.XLOOKUP(tblRequirementMeasureXref[[#This Row],[msr_id]],tblMeasure[msr_id],tblMeasure[msr_name])</f>
        <v>Support provided to carers during the year, by type of support provided and age band, 2018-19</v>
      </c>
      <c r="J173" s="22" t="str">
        <f>_xlfn.XLOOKUP(tblRequirementMeasureXref[[#This Row],[msr_id]],tblMeasure[msr_id],tblMeasure[primary_dimensions])</f>
        <v>carer age, carer support, carer support type, users involved</v>
      </c>
      <c r="K173" s="22" t="str">
        <f>_xlfn.XLOOKUP(tblRequirementMeasureXref[[#This Row],[msr_id]],tblMeasure[msr_id],tblMeasure[msr_min_geo_resolution])</f>
        <v>England</v>
      </c>
      <c r="L173" s="22" t="str">
        <f>_xlfn.XLOOKUP(tblRequirementMeasureXref[[#This Row],[msr_id]],tblMeasure[msr_id],tblMeasure[src_name])</f>
        <v>Adult Social Care Activity and Finance Report</v>
      </c>
    </row>
    <row r="174" spans="1:12" x14ac:dyDescent="0.15">
      <c r="A174" s="1" t="str">
        <f>_xlfn.XLOOKUP(tblRequirementMeasureXref[[#This Row],[dm_id]],tblDataRequirement[dm_id],tblDataRequirement[domain_sub_requirement])</f>
        <v>Service:Access:Eligible for local authority funded care</v>
      </c>
      <c r="B174" s="1" t="str">
        <f>_xlfn.XLOOKUP(tblRequirementMeasureXref[[#This Row],[dm_id]],tblDataRequirement[dm_id],tblDataRequirement[dm_phase])</f>
        <v>demand</v>
      </c>
      <c r="C174" s="1">
        <v>28</v>
      </c>
      <c r="D174" s="1">
        <v>46</v>
      </c>
      <c r="G174" s="1"/>
      <c r="H174" s="61" t="str">
        <f>_xlfn.XLOOKUP(tblRequirementMeasureXref[[#This Row],[msr_id]],tblMeasure[msr_id],tblMeasure[msr_table])</f>
        <v>T46</v>
      </c>
      <c r="I174" s="22" t="str">
        <f>_xlfn.XLOOKUP(tblRequirementMeasureXref[[#This Row],[msr_id]],tblMeasure[msr_id],tblMeasure[msr_name])</f>
        <v>Support provided to carers during the year, by type of support provided and age band, 2018-19</v>
      </c>
      <c r="J174" s="22" t="str">
        <f>_xlfn.XLOOKUP(tblRequirementMeasureXref[[#This Row],[msr_id]],tblMeasure[msr_id],tblMeasure[primary_dimensions])</f>
        <v>carer age, carer support, carer support type, users involved</v>
      </c>
      <c r="K174" s="22" t="str">
        <f>_xlfn.XLOOKUP(tblRequirementMeasureXref[[#This Row],[msr_id]],tblMeasure[msr_id],tblMeasure[msr_min_geo_resolution])</f>
        <v>England</v>
      </c>
      <c r="L174" s="22" t="str">
        <f>_xlfn.XLOOKUP(tblRequirementMeasureXref[[#This Row],[msr_id]],tblMeasure[msr_id],tblMeasure[src_name])</f>
        <v>Adult Social Care Activity and Finance Report</v>
      </c>
    </row>
    <row r="175" spans="1:12" x14ac:dyDescent="0.15">
      <c r="A175" s="1" t="str">
        <f>_xlfn.XLOOKUP(tblRequirementMeasureXref[[#This Row],[dm_id]],tblDataRequirement[dm_id],tblDataRequirement[domain_sub_requirement])</f>
        <v>Service:Access:Not eligible for local authority funded care</v>
      </c>
      <c r="B175" s="1" t="str">
        <f>_xlfn.XLOOKUP(tblRequirementMeasureXref[[#This Row],[dm_id]],tblDataRequirement[dm_id],tblDataRequirement[dm_phase])</f>
        <v>demand</v>
      </c>
      <c r="C175" s="1">
        <v>57</v>
      </c>
      <c r="D175" s="1">
        <v>46</v>
      </c>
      <c r="G175" s="1"/>
      <c r="H175" s="61" t="str">
        <f>_xlfn.XLOOKUP(tblRequirementMeasureXref[[#This Row],[msr_id]],tblMeasure[msr_id],tblMeasure[msr_table])</f>
        <v>T46</v>
      </c>
      <c r="I175" s="22" t="str">
        <f>_xlfn.XLOOKUP(tblRequirementMeasureXref[[#This Row],[msr_id]],tblMeasure[msr_id],tblMeasure[msr_name])</f>
        <v>Support provided to carers during the year, by type of support provided and age band, 2018-19</v>
      </c>
      <c r="J175" s="22" t="str">
        <f>_xlfn.XLOOKUP(tblRequirementMeasureXref[[#This Row],[msr_id]],tblMeasure[msr_id],tblMeasure[primary_dimensions])</f>
        <v>carer age, carer support, carer support type, users involved</v>
      </c>
      <c r="K175" s="22" t="str">
        <f>_xlfn.XLOOKUP(tblRequirementMeasureXref[[#This Row],[msr_id]],tblMeasure[msr_id],tblMeasure[msr_min_geo_resolution])</f>
        <v>England</v>
      </c>
      <c r="L175" s="22" t="str">
        <f>_xlfn.XLOOKUP(tblRequirementMeasureXref[[#This Row],[msr_id]],tblMeasure[msr_id],tblMeasure[src_name])</f>
        <v>Adult Social Care Activity and Finance Report</v>
      </c>
    </row>
    <row r="176" spans="1:12" x14ac:dyDescent="0.15">
      <c r="A176" s="1" t="str">
        <f>_xlfn.XLOOKUP(tblRequirementMeasureXref[[#This Row],[dm_id]],tblDataRequirement[dm_id],tblDataRequirement[domain_sub_requirement])</f>
        <v>Unpaid Carers:Demographics:Age</v>
      </c>
      <c r="B176" s="1" t="str">
        <f>_xlfn.XLOOKUP(tblRequirementMeasureXref[[#This Row],[dm_id]],tblDataRequirement[dm_id],tblDataRequirement[dm_phase])</f>
        <v>supply</v>
      </c>
      <c r="C176" s="1">
        <v>81</v>
      </c>
      <c r="D176" s="1">
        <v>46</v>
      </c>
      <c r="G176" s="1"/>
      <c r="H176" s="61" t="str">
        <f>_xlfn.XLOOKUP(tblRequirementMeasureXref[[#This Row],[msr_id]],tblMeasure[msr_id],tblMeasure[msr_table])</f>
        <v>T46</v>
      </c>
      <c r="I176" s="22" t="str">
        <f>_xlfn.XLOOKUP(tblRequirementMeasureXref[[#This Row],[msr_id]],tblMeasure[msr_id],tblMeasure[msr_name])</f>
        <v>Support provided to carers during the year, by type of support provided and age band, 2018-19</v>
      </c>
      <c r="J176" s="22" t="str">
        <f>_xlfn.XLOOKUP(tblRequirementMeasureXref[[#This Row],[msr_id]],tblMeasure[msr_id],tblMeasure[primary_dimensions])</f>
        <v>carer age, carer support, carer support type, users involved</v>
      </c>
      <c r="K176" s="22" t="str">
        <f>_xlfn.XLOOKUP(tblRequirementMeasureXref[[#This Row],[msr_id]],tblMeasure[msr_id],tblMeasure[msr_min_geo_resolution])</f>
        <v>England</v>
      </c>
      <c r="L176" s="22" t="str">
        <f>_xlfn.XLOOKUP(tblRequirementMeasureXref[[#This Row],[msr_id]],tblMeasure[msr_id],tblMeasure[src_name])</f>
        <v>Adult Social Care Activity and Finance Report</v>
      </c>
    </row>
    <row r="177" spans="1:12" x14ac:dyDescent="0.15">
      <c r="A177" s="1" t="str">
        <f>_xlfn.XLOOKUP(tblRequirementMeasureXref[[#This Row],[dm_id]],tblDataRequirement[dm_id],tblDataRequirement[domain_sub_requirement])</f>
        <v>Unpaid Carers:Workforce:Workforce</v>
      </c>
      <c r="B177" s="1" t="str">
        <f>_xlfn.XLOOKUP(tblRequirementMeasureXref[[#This Row],[dm_id]],tblDataRequirement[dm_id],tblDataRequirement[dm_phase])</f>
        <v>supply</v>
      </c>
      <c r="C177" s="1">
        <v>19</v>
      </c>
      <c r="D177" s="1">
        <v>46</v>
      </c>
      <c r="G177" s="1"/>
      <c r="H177" s="61" t="str">
        <f>_xlfn.XLOOKUP(tblRequirementMeasureXref[[#This Row],[msr_id]],tblMeasure[msr_id],tblMeasure[msr_table])</f>
        <v>T46</v>
      </c>
      <c r="I177" s="22" t="str">
        <f>_xlfn.XLOOKUP(tblRequirementMeasureXref[[#This Row],[msr_id]],tblMeasure[msr_id],tblMeasure[msr_name])</f>
        <v>Support provided to carers during the year, by type of support provided and age band, 2018-19</v>
      </c>
      <c r="J177" s="22" t="str">
        <f>_xlfn.XLOOKUP(tblRequirementMeasureXref[[#This Row],[msr_id]],tblMeasure[msr_id],tblMeasure[primary_dimensions])</f>
        <v>carer age, carer support, carer support type, users involved</v>
      </c>
      <c r="K177" s="22" t="str">
        <f>_xlfn.XLOOKUP(tblRequirementMeasureXref[[#This Row],[msr_id]],tblMeasure[msr_id],tblMeasure[msr_min_geo_resolution])</f>
        <v>England</v>
      </c>
      <c r="L177" s="22" t="str">
        <f>_xlfn.XLOOKUP(tblRequirementMeasureXref[[#This Row],[msr_id]],tblMeasure[msr_id],tblMeasure[src_name])</f>
        <v>Adult Social Care Activity and Finance Report</v>
      </c>
    </row>
    <row r="178" spans="1:12" x14ac:dyDescent="0.15">
      <c r="A178" s="1" t="str">
        <f>_xlfn.XLOOKUP(tblRequirementMeasureXref[[#This Row],[dm_id]],tblDataRequirement[dm_id],tblDataRequirement[domain_sub_requirement])</f>
        <v>Unpaid Carers:Income:Direct payments</v>
      </c>
      <c r="B178" s="1" t="str">
        <f>_xlfn.XLOOKUP(tblRequirementMeasureXref[[#This Row],[dm_id]],tblDataRequirement[dm_id],tblDataRequirement[dm_phase])</f>
        <v>supply</v>
      </c>
      <c r="C178" s="1">
        <v>90</v>
      </c>
      <c r="D178" s="1">
        <v>46</v>
      </c>
      <c r="G178" s="1"/>
      <c r="H178" s="62" t="str">
        <f>_xlfn.XLOOKUP(tblRequirementMeasureXref[[#This Row],[msr_id]],tblMeasure[msr_id],tblMeasure[msr_table])</f>
        <v>T46</v>
      </c>
      <c r="I178" s="22" t="str">
        <f>_xlfn.XLOOKUP(tblRequirementMeasureXref[[#This Row],[msr_id]],tblMeasure[msr_id],tblMeasure[msr_name])</f>
        <v>Support provided to carers during the year, by type of support provided and age band, 2018-19</v>
      </c>
      <c r="J178" s="22" t="str">
        <f>_xlfn.XLOOKUP(tblRequirementMeasureXref[[#This Row],[msr_id]],tblMeasure[msr_id],tblMeasure[primary_dimensions])</f>
        <v>carer age, carer support, carer support type, users involved</v>
      </c>
      <c r="K178" s="22" t="str">
        <f>_xlfn.XLOOKUP(tblRequirementMeasureXref[[#This Row],[msr_id]],tblMeasure[msr_id],tblMeasure[msr_min_geo_resolution])</f>
        <v>England</v>
      </c>
      <c r="L178" s="22" t="str">
        <f>_xlfn.XLOOKUP(tblRequirementMeasureXref[[#This Row],[msr_id]],tblMeasure[msr_id],tblMeasure[src_name])</f>
        <v>Adult Social Care Activity and Finance Report</v>
      </c>
    </row>
    <row r="179" spans="1:12" x14ac:dyDescent="0.15">
      <c r="A179" s="1" t="str">
        <f>_xlfn.XLOOKUP(tblRequirementMeasureXref[[#This Row],[dm_id]],tblDataRequirement[dm_id],tblDataRequirement[domain_sub_requirement])</f>
        <v>Service:Support type:Unpaid Carer support</v>
      </c>
      <c r="B179" s="1" t="str">
        <f>_xlfn.XLOOKUP(tblRequirementMeasureXref[[#This Row],[dm_id]],tblDataRequirement[dm_id],tblDataRequirement[dm_phase])</f>
        <v>operate</v>
      </c>
      <c r="C179" s="1">
        <v>80</v>
      </c>
      <c r="D179" s="1">
        <v>47</v>
      </c>
      <c r="G179" s="1"/>
      <c r="H179" s="61" t="str">
        <f>_xlfn.XLOOKUP(tblRequirementMeasureXref[[#This Row],[msr_id]],tblMeasure[msr_id],tblMeasure[msr_table])</f>
        <v>T47</v>
      </c>
      <c r="I179" s="22" t="str">
        <f>_xlfn.XLOOKUP(tblRequirementMeasureXref[[#This Row],[msr_id]],tblMeasure[msr_id],tblMeasure[msr_name])</f>
        <v>Support provided to carers during the year, by age band, 2018-19</v>
      </c>
      <c r="J179" s="22" t="str">
        <f>_xlfn.XLOOKUP(tblRequirementMeasureXref[[#This Row],[msr_id]],tblMeasure[msr_id],tblMeasure[primary_dimensions])</f>
        <v>carer age, carer support</v>
      </c>
      <c r="K179" s="22" t="str">
        <f>_xlfn.XLOOKUP(tblRequirementMeasureXref[[#This Row],[msr_id]],tblMeasure[msr_id],tblMeasure[msr_min_geo_resolution])</f>
        <v>LA</v>
      </c>
      <c r="L179" s="22" t="str">
        <f>_xlfn.XLOOKUP(tblRequirementMeasureXref[[#This Row],[msr_id]],tblMeasure[msr_id],tblMeasure[src_name])</f>
        <v>Adult Social Care Activity and Finance Report</v>
      </c>
    </row>
    <row r="180" spans="1:12" x14ac:dyDescent="0.15">
      <c r="A180" s="1" t="str">
        <f>_xlfn.XLOOKUP(tblRequirementMeasureXref[[#This Row],[dm_id]],tblDataRequirement[dm_id],tblDataRequirement[domain_sub_requirement])</f>
        <v>Service:Access:Eligible for local authority funded care</v>
      </c>
      <c r="B180" s="1" t="str">
        <f>_xlfn.XLOOKUP(tblRequirementMeasureXref[[#This Row],[dm_id]],tblDataRequirement[dm_id],tblDataRequirement[dm_phase])</f>
        <v>demand</v>
      </c>
      <c r="C180" s="1">
        <v>28</v>
      </c>
      <c r="D180" s="1">
        <v>47</v>
      </c>
      <c r="G180" s="1"/>
      <c r="H180" s="61" t="str">
        <f>_xlfn.XLOOKUP(tblRequirementMeasureXref[[#This Row],[msr_id]],tblMeasure[msr_id],tblMeasure[msr_table])</f>
        <v>T47</v>
      </c>
      <c r="I180" s="22" t="str">
        <f>_xlfn.XLOOKUP(tblRequirementMeasureXref[[#This Row],[msr_id]],tblMeasure[msr_id],tblMeasure[msr_name])</f>
        <v>Support provided to carers during the year, by age band, 2018-19</v>
      </c>
      <c r="J180" s="22" t="str">
        <f>_xlfn.XLOOKUP(tblRequirementMeasureXref[[#This Row],[msr_id]],tblMeasure[msr_id],tblMeasure[primary_dimensions])</f>
        <v>carer age, carer support</v>
      </c>
      <c r="K180" s="22" t="str">
        <f>_xlfn.XLOOKUP(tblRequirementMeasureXref[[#This Row],[msr_id]],tblMeasure[msr_id],tblMeasure[msr_min_geo_resolution])</f>
        <v>LA</v>
      </c>
      <c r="L180" s="22" t="str">
        <f>_xlfn.XLOOKUP(tblRequirementMeasureXref[[#This Row],[msr_id]],tblMeasure[msr_id],tblMeasure[src_name])</f>
        <v>Adult Social Care Activity and Finance Report</v>
      </c>
    </row>
    <row r="181" spans="1:12" x14ac:dyDescent="0.15">
      <c r="A181" s="1" t="str">
        <f>_xlfn.XLOOKUP(tblRequirementMeasureXref[[#This Row],[dm_id]],tblDataRequirement[dm_id],tblDataRequirement[domain_sub_requirement])</f>
        <v>Unpaid Carers:Demographics:Age</v>
      </c>
      <c r="B181" s="1" t="str">
        <f>_xlfn.XLOOKUP(tblRequirementMeasureXref[[#This Row],[dm_id]],tblDataRequirement[dm_id],tblDataRequirement[dm_phase])</f>
        <v>supply</v>
      </c>
      <c r="C181" s="1">
        <v>81</v>
      </c>
      <c r="D181" s="1">
        <v>47</v>
      </c>
      <c r="G181" s="1"/>
      <c r="H181" s="61" t="str">
        <f>_xlfn.XLOOKUP(tblRequirementMeasureXref[[#This Row],[msr_id]],tblMeasure[msr_id],tblMeasure[msr_table])</f>
        <v>T47</v>
      </c>
      <c r="I181" s="22" t="str">
        <f>_xlfn.XLOOKUP(tblRequirementMeasureXref[[#This Row],[msr_id]],tblMeasure[msr_id],tblMeasure[msr_name])</f>
        <v>Support provided to carers during the year, by age band, 2018-19</v>
      </c>
      <c r="J181" s="22" t="str">
        <f>_xlfn.XLOOKUP(tblRequirementMeasureXref[[#This Row],[msr_id]],tblMeasure[msr_id],tblMeasure[primary_dimensions])</f>
        <v>carer age, carer support</v>
      </c>
      <c r="K181" s="22" t="str">
        <f>_xlfn.XLOOKUP(tblRequirementMeasureXref[[#This Row],[msr_id]],tblMeasure[msr_id],tblMeasure[msr_min_geo_resolution])</f>
        <v>LA</v>
      </c>
      <c r="L181" s="22" t="str">
        <f>_xlfn.XLOOKUP(tblRequirementMeasureXref[[#This Row],[msr_id]],tblMeasure[msr_id],tblMeasure[src_name])</f>
        <v>Adult Social Care Activity and Finance Report</v>
      </c>
    </row>
    <row r="182" spans="1:12" x14ac:dyDescent="0.15">
      <c r="A182" s="1" t="str">
        <f>_xlfn.XLOOKUP(tblRequirementMeasureXref[[#This Row],[dm_id]],tblDataRequirement[dm_id],tblDataRequirement[domain_sub_requirement])</f>
        <v>Unpaid Carers:Workforce:Workforce</v>
      </c>
      <c r="B182" s="1" t="str">
        <f>_xlfn.XLOOKUP(tblRequirementMeasureXref[[#This Row],[dm_id]],tblDataRequirement[dm_id],tblDataRequirement[dm_phase])</f>
        <v>supply</v>
      </c>
      <c r="C182" s="1">
        <v>19</v>
      </c>
      <c r="D182" s="1">
        <v>47</v>
      </c>
      <c r="G182" s="1"/>
      <c r="H182" s="61" t="str">
        <f>_xlfn.XLOOKUP(tblRequirementMeasureXref[[#This Row],[msr_id]],tblMeasure[msr_id],tblMeasure[msr_table])</f>
        <v>T47</v>
      </c>
      <c r="I182" s="22" t="str">
        <f>_xlfn.XLOOKUP(tblRequirementMeasureXref[[#This Row],[msr_id]],tblMeasure[msr_id],tblMeasure[msr_name])</f>
        <v>Support provided to carers during the year, by age band, 2018-19</v>
      </c>
      <c r="J182" s="22" t="str">
        <f>_xlfn.XLOOKUP(tblRequirementMeasureXref[[#This Row],[msr_id]],tblMeasure[msr_id],tblMeasure[primary_dimensions])</f>
        <v>carer age, carer support</v>
      </c>
      <c r="K182" s="22" t="str">
        <f>_xlfn.XLOOKUP(tblRequirementMeasureXref[[#This Row],[msr_id]],tblMeasure[msr_id],tblMeasure[msr_min_geo_resolution])</f>
        <v>LA</v>
      </c>
      <c r="L182" s="22" t="str">
        <f>_xlfn.XLOOKUP(tblRequirementMeasureXref[[#This Row],[msr_id]],tblMeasure[msr_id],tblMeasure[src_name])</f>
        <v>Adult Social Care Activity and Finance Report</v>
      </c>
    </row>
    <row r="183" spans="1:12" x14ac:dyDescent="0.15">
      <c r="A183" s="1" t="str">
        <f>_xlfn.XLOOKUP(tblRequirementMeasureXref[[#This Row],[dm_id]],tblDataRequirement[dm_id],tblDataRequirement[domain_sub_requirement])</f>
        <v>Service:Support type:Long-term</v>
      </c>
      <c r="B183" s="1" t="str">
        <f>_xlfn.XLOOKUP(tblRequirementMeasureXref[[#This Row],[dm_id]],tblDataRequirement[dm_id],tblDataRequirement[dm_phase])</f>
        <v>operate</v>
      </c>
      <c r="C183" s="1">
        <v>45</v>
      </c>
      <c r="D183" s="1">
        <v>48</v>
      </c>
      <c r="G183" s="1"/>
      <c r="H183" s="61" t="str">
        <f>_xlfn.XLOOKUP(tblRequirementMeasureXref[[#This Row],[msr_id]],tblMeasure[msr_id],tblMeasure[msr_table])</f>
        <v>T48</v>
      </c>
      <c r="I183" s="22" t="str">
        <f>_xlfn.XLOOKUP(tblRequirementMeasureXref[[#This Row],[msr_id]],tblMeasure[msr_id],tblMeasure[msr_name])</f>
        <v>Unplanned and planned reviews during the year of clients that have been accessing long term support for more than 12 months at the end of the year (31 March), 2018-19</v>
      </c>
      <c r="J183" s="22" t="str">
        <f>_xlfn.XLOOKUP(tblRequirementMeasureXref[[#This Row],[msr_id]],tblMeasure[msr_id],tblMeasure[primary_dimensions])</f>
        <v>reviews</v>
      </c>
      <c r="K183" s="22" t="str">
        <f>_xlfn.XLOOKUP(tblRequirementMeasureXref[[#This Row],[msr_id]],tblMeasure[msr_id],tblMeasure[msr_min_geo_resolution])</f>
        <v>LA</v>
      </c>
      <c r="L183" s="22" t="str">
        <f>_xlfn.XLOOKUP(tblRequirementMeasureXref[[#This Row],[msr_id]],tblMeasure[msr_id],tblMeasure[src_name])</f>
        <v>Adult Social Care Activity and Finance Report</v>
      </c>
    </row>
    <row r="184" spans="1:12" x14ac:dyDescent="0.15">
      <c r="A184" s="1" t="str">
        <f>_xlfn.XLOOKUP(tblRequirementMeasureXref[[#This Row],[dm_id]],tblDataRequirement[dm_id],tblDataRequirement[domain_sub_requirement])</f>
        <v>Service:Access:Eligible for local authority funded care</v>
      </c>
      <c r="B184" s="1" t="str">
        <f>_xlfn.XLOOKUP(tblRequirementMeasureXref[[#This Row],[dm_id]],tblDataRequirement[dm_id],tblDataRequirement[dm_phase])</f>
        <v>demand</v>
      </c>
      <c r="C184" s="1">
        <v>28</v>
      </c>
      <c r="D184" s="1">
        <v>48</v>
      </c>
      <c r="G184" s="1"/>
      <c r="H184" s="61" t="str">
        <f>_xlfn.XLOOKUP(tblRequirementMeasureXref[[#This Row],[msr_id]],tblMeasure[msr_id],tblMeasure[msr_table])</f>
        <v>T48</v>
      </c>
      <c r="I184" s="22" t="str">
        <f>_xlfn.XLOOKUP(tblRequirementMeasureXref[[#This Row],[msr_id]],tblMeasure[msr_id],tblMeasure[msr_name])</f>
        <v>Unplanned and planned reviews during the year of clients that have been accessing long term support for more than 12 months at the end of the year (31 March), 2018-19</v>
      </c>
      <c r="J184" s="22" t="str">
        <f>_xlfn.XLOOKUP(tblRequirementMeasureXref[[#This Row],[msr_id]],tblMeasure[msr_id],tblMeasure[primary_dimensions])</f>
        <v>reviews</v>
      </c>
      <c r="K184" s="22" t="str">
        <f>_xlfn.XLOOKUP(tblRequirementMeasureXref[[#This Row],[msr_id]],tblMeasure[msr_id],tblMeasure[msr_min_geo_resolution])</f>
        <v>LA</v>
      </c>
      <c r="L184" s="22" t="str">
        <f>_xlfn.XLOOKUP(tblRequirementMeasureXref[[#This Row],[msr_id]],tblMeasure[msr_id],tblMeasure[src_name])</f>
        <v>Adult Social Care Activity and Finance Report</v>
      </c>
    </row>
    <row r="185" spans="1:12" x14ac:dyDescent="0.15">
      <c r="A185" s="1" t="str">
        <f>_xlfn.XLOOKUP(tblRequirementMeasureXref[[#This Row],[dm_id]],tblDataRequirement[dm_id],tblDataRequirement[domain_sub_requirement])</f>
        <v>Service:Access:Reviews</v>
      </c>
      <c r="B185" s="1" t="str">
        <f>_xlfn.XLOOKUP(tblRequirementMeasureXref[[#This Row],[dm_id]],tblDataRequirement[dm_id],tblDataRequirement[dm_phase])</f>
        <v>demand</v>
      </c>
      <c r="C185" s="1">
        <v>69</v>
      </c>
      <c r="D185" s="1">
        <v>48</v>
      </c>
      <c r="G185" s="1"/>
      <c r="H185" s="61" t="str">
        <f>_xlfn.XLOOKUP(tblRequirementMeasureXref[[#This Row],[msr_id]],tblMeasure[msr_id],tblMeasure[msr_table])</f>
        <v>T48</v>
      </c>
      <c r="I185" s="22" t="str">
        <f>_xlfn.XLOOKUP(tblRequirementMeasureXref[[#This Row],[msr_id]],tblMeasure[msr_id],tblMeasure[msr_name])</f>
        <v>Unplanned and planned reviews during the year of clients that have been accessing long term support for more than 12 months at the end of the year (31 March), 2018-19</v>
      </c>
      <c r="J185" s="22" t="str">
        <f>_xlfn.XLOOKUP(tblRequirementMeasureXref[[#This Row],[msr_id]],tblMeasure[msr_id],tblMeasure[primary_dimensions])</f>
        <v>reviews</v>
      </c>
      <c r="K185" s="22" t="str">
        <f>_xlfn.XLOOKUP(tblRequirementMeasureXref[[#This Row],[msr_id]],tblMeasure[msr_id],tblMeasure[msr_min_geo_resolution])</f>
        <v>LA</v>
      </c>
      <c r="L185" s="22" t="str">
        <f>_xlfn.XLOOKUP(tblRequirementMeasureXref[[#This Row],[msr_id]],tblMeasure[msr_id],tblMeasure[src_name])</f>
        <v>Adult Social Care Activity and Finance Report</v>
      </c>
    </row>
    <row r="186" spans="1:12" x14ac:dyDescent="0.15">
      <c r="A186" s="1" t="str">
        <f>_xlfn.XLOOKUP(tblRequirementMeasureXref[[#This Row],[dm_id]],tblDataRequirement[dm_id],tblDataRequirement[domain_sub_requirement])</f>
        <v>Service:Support setting:Home</v>
      </c>
      <c r="B186" s="1" t="str">
        <f>_xlfn.XLOOKUP(tblRequirementMeasureXref[[#This Row],[dm_id]],tblDataRequirement[dm_id],tblDataRequirement[dm_phase])</f>
        <v>operate</v>
      </c>
      <c r="C186" s="1">
        <v>40</v>
      </c>
      <c r="D186" s="1">
        <v>49</v>
      </c>
      <c r="G186" s="1"/>
      <c r="H186" s="61" t="str">
        <f>_xlfn.XLOOKUP(tblRequirementMeasureXref[[#This Row],[msr_id]],tblMeasure[msr_id],tblMeasure[msr_table])</f>
        <v>T49</v>
      </c>
      <c r="I186" s="22" t="str">
        <f>_xlfn.XLOOKUP(tblRequirementMeasureXref[[#This Row],[msr_id]],tblMeasure[msr_id],tblMeasure[msr_name])</f>
        <v>Unit costs, average weighted standard hourly rate for the provision of home care by activity provision, year on year comparison, 2017-18 and 2018-19</v>
      </c>
      <c r="J186" s="22" t="str">
        <f>_xlfn.XLOOKUP(tblRequirementMeasureXref[[#This Row],[msr_id]],tblMeasure[msr_id],tblMeasure[primary_dimensions])</f>
        <v>home care unit cost, activity provision</v>
      </c>
      <c r="K186" s="22" t="str">
        <f>_xlfn.XLOOKUP(tblRequirementMeasureXref[[#This Row],[msr_id]],tblMeasure[msr_id],tblMeasure[msr_min_geo_resolution])</f>
        <v>LA</v>
      </c>
      <c r="L186" s="22" t="str">
        <f>_xlfn.XLOOKUP(tblRequirementMeasureXref[[#This Row],[msr_id]],tblMeasure[msr_id],tblMeasure[src_name])</f>
        <v>Adult Social Care Activity and Finance Report</v>
      </c>
    </row>
    <row r="187" spans="1:12" x14ac:dyDescent="0.15">
      <c r="A187" s="1" t="str">
        <f>_xlfn.XLOOKUP(tblRequirementMeasureXref[[#This Row],[dm_id]],tblDataRequirement[dm_id],tblDataRequirement[domain_sub_requirement])</f>
        <v>Service:Cost:Unit cost for local authority-funded care</v>
      </c>
      <c r="B187" s="1" t="str">
        <f>_xlfn.XLOOKUP(tblRequirementMeasureXref[[#This Row],[dm_id]],tblDataRequirement[dm_id],tblDataRequirement[dm_phase])</f>
        <v>operate</v>
      </c>
      <c r="C187" s="1">
        <v>34</v>
      </c>
      <c r="D187" s="1">
        <v>49</v>
      </c>
      <c r="G187" s="1"/>
      <c r="H187" s="61" t="str">
        <f>_xlfn.XLOOKUP(tblRequirementMeasureXref[[#This Row],[msr_id]],tblMeasure[msr_id],tblMeasure[msr_table])</f>
        <v>T49</v>
      </c>
      <c r="I187" s="22" t="str">
        <f>_xlfn.XLOOKUP(tblRequirementMeasureXref[[#This Row],[msr_id]],tblMeasure[msr_id],tblMeasure[msr_name])</f>
        <v>Unit costs, average weighted standard hourly rate for the provision of home care by activity provision, year on year comparison, 2017-18 and 2018-19</v>
      </c>
      <c r="J187" s="22" t="str">
        <f>_xlfn.XLOOKUP(tblRequirementMeasureXref[[#This Row],[msr_id]],tblMeasure[msr_id],tblMeasure[primary_dimensions])</f>
        <v>home care unit cost, activity provision</v>
      </c>
      <c r="K187" s="22" t="str">
        <f>_xlfn.XLOOKUP(tblRequirementMeasureXref[[#This Row],[msr_id]],tblMeasure[msr_id],tblMeasure[msr_min_geo_resolution])</f>
        <v>LA</v>
      </c>
      <c r="L187" s="22" t="str">
        <f>_xlfn.XLOOKUP(tblRequirementMeasureXref[[#This Row],[msr_id]],tblMeasure[msr_id],tblMeasure[src_name])</f>
        <v>Adult Social Care Activity and Finance Report</v>
      </c>
    </row>
    <row r="188" spans="1:12" x14ac:dyDescent="0.15">
      <c r="A188" s="1" t="str">
        <f>_xlfn.XLOOKUP(tblRequirementMeasureXref[[#This Row],[dm_id]],tblDataRequirement[dm_id],tblDataRequirement[domain_sub_requirement])</f>
        <v>Providers:Type:Organisations</v>
      </c>
      <c r="B188" s="1" t="str">
        <f>_xlfn.XLOOKUP(tblRequirementMeasureXref[[#This Row],[dm_id]],tblDataRequirement[dm_id],tblDataRequirement[dm_phase])</f>
        <v>operate</v>
      </c>
      <c r="C188" s="1">
        <v>60</v>
      </c>
      <c r="D188" s="1">
        <v>49</v>
      </c>
      <c r="G188" s="1"/>
      <c r="H188" s="61" t="str">
        <f>_xlfn.XLOOKUP(tblRequirementMeasureXref[[#This Row],[msr_id]],tblMeasure[msr_id],tblMeasure[msr_table])</f>
        <v>T49</v>
      </c>
      <c r="I188" s="22" t="str">
        <f>_xlfn.XLOOKUP(tblRequirementMeasureXref[[#This Row],[msr_id]],tblMeasure[msr_id],tblMeasure[msr_name])</f>
        <v>Unit costs, average weighted standard hourly rate for the provision of home care by activity provision, year on year comparison, 2017-18 and 2018-19</v>
      </c>
      <c r="J188" s="22" t="str">
        <f>_xlfn.XLOOKUP(tblRequirementMeasureXref[[#This Row],[msr_id]],tblMeasure[msr_id],tblMeasure[primary_dimensions])</f>
        <v>home care unit cost, activity provision</v>
      </c>
      <c r="K188" s="22" t="str">
        <f>_xlfn.XLOOKUP(tblRequirementMeasureXref[[#This Row],[msr_id]],tblMeasure[msr_id],tblMeasure[msr_min_geo_resolution])</f>
        <v>LA</v>
      </c>
      <c r="L188" s="22" t="str">
        <f>_xlfn.XLOOKUP(tblRequirementMeasureXref[[#This Row],[msr_id]],tblMeasure[msr_id],tblMeasure[src_name])</f>
        <v>Adult Social Care Activity and Finance Report</v>
      </c>
    </row>
    <row r="189" spans="1:12" x14ac:dyDescent="0.15">
      <c r="A189" s="1" t="str">
        <f>_xlfn.XLOOKUP(tblRequirementMeasureXref[[#This Row],[dm_id]],tblDataRequirement[dm_id],tblDataRequirement[domain_sub_requirement])</f>
        <v>Service:Support type:Long-term</v>
      </c>
      <c r="B189" s="1" t="str">
        <f>_xlfn.XLOOKUP(tblRequirementMeasureXref[[#This Row],[dm_id]],tblDataRequirement[dm_id],tblDataRequirement[dm_phase])</f>
        <v>operate</v>
      </c>
      <c r="C189" s="1">
        <v>45</v>
      </c>
      <c r="D189" s="1">
        <v>50</v>
      </c>
      <c r="G189" s="1"/>
      <c r="H189" s="61" t="str">
        <f>_xlfn.XLOOKUP(tblRequirementMeasureXref[[#This Row],[msr_id]],tblMeasure[msr_id],tblMeasure[msr_table])</f>
        <v>T50</v>
      </c>
      <c r="I189" s="22" t="str">
        <f>_xlfn.XLOOKUP(tblRequirementMeasureXref[[#This Row],[msr_id]],tblMeasure[msr_id],tblMeasure[msr_name])</f>
        <v>Unit costs for clients accessing long term support, by support setting and age band, year on year comparison, 2017-18 and 2018-19</v>
      </c>
      <c r="J189" s="22" t="str">
        <f>_xlfn.XLOOKUP(tblRequirementMeasureXref[[#This Row],[msr_id]],tblMeasure[msr_id],tblMeasure[primary_dimensions])</f>
        <v>LT unit cost</v>
      </c>
      <c r="K189" s="22" t="str">
        <f>_xlfn.XLOOKUP(tblRequirementMeasureXref[[#This Row],[msr_id]],tblMeasure[msr_id],tblMeasure[msr_min_geo_resolution])</f>
        <v>LA</v>
      </c>
      <c r="L189" s="22" t="str">
        <f>_xlfn.XLOOKUP(tblRequirementMeasureXref[[#This Row],[msr_id]],tblMeasure[msr_id],tblMeasure[src_name])</f>
        <v>Adult Social Care Activity and Finance Report</v>
      </c>
    </row>
    <row r="190" spans="1:12" x14ac:dyDescent="0.15">
      <c r="A190" s="1" t="str">
        <f>_xlfn.XLOOKUP(tblRequirementMeasureXref[[#This Row],[dm_id]],tblDataRequirement[dm_id],tblDataRequirement[domain_sub_requirement])</f>
        <v>Service:Support setting:Residential care home</v>
      </c>
      <c r="B190" s="1" t="str">
        <f>_xlfn.XLOOKUP(tblRequirementMeasureXref[[#This Row],[dm_id]],tblDataRequirement[dm_id],tblDataRequirement[dm_phase])</f>
        <v>operate</v>
      </c>
      <c r="C190" s="1">
        <v>41</v>
      </c>
      <c r="D190" s="1">
        <v>50</v>
      </c>
      <c r="G190" s="1"/>
      <c r="H190" s="61" t="str">
        <f>_xlfn.XLOOKUP(tblRequirementMeasureXref[[#This Row],[msr_id]],tblMeasure[msr_id],tblMeasure[msr_table])</f>
        <v>T50</v>
      </c>
      <c r="I190" s="22" t="str">
        <f>_xlfn.XLOOKUP(tblRequirementMeasureXref[[#This Row],[msr_id]],tblMeasure[msr_id],tblMeasure[msr_name])</f>
        <v>Unit costs for clients accessing long term support, by support setting and age band, year on year comparison, 2017-18 and 2018-19</v>
      </c>
      <c r="J190" s="22" t="str">
        <f>_xlfn.XLOOKUP(tblRequirementMeasureXref[[#This Row],[msr_id]],tblMeasure[msr_id],tblMeasure[primary_dimensions])</f>
        <v>LT unit cost</v>
      </c>
      <c r="K190" s="22" t="str">
        <f>_xlfn.XLOOKUP(tblRequirementMeasureXref[[#This Row],[msr_id]],tblMeasure[msr_id],tblMeasure[msr_min_geo_resolution])</f>
        <v>LA</v>
      </c>
      <c r="L190" s="22" t="str">
        <f>_xlfn.XLOOKUP(tblRequirementMeasureXref[[#This Row],[msr_id]],tblMeasure[msr_id],tblMeasure[src_name])</f>
        <v>Adult Social Care Activity and Finance Report</v>
      </c>
    </row>
    <row r="191" spans="1:12" x14ac:dyDescent="0.15">
      <c r="A191" s="1" t="str">
        <f>_xlfn.XLOOKUP(tblRequirementMeasureXref[[#This Row],[dm_id]],tblDataRequirement[dm_id],tblDataRequirement[domain_sub_requirement])</f>
        <v>Service:Support setting:Nursing home</v>
      </c>
      <c r="B191" s="1" t="str">
        <f>_xlfn.XLOOKUP(tblRequirementMeasureXref[[#This Row],[dm_id]],tblDataRequirement[dm_id],tblDataRequirement[dm_phase])</f>
        <v>operate</v>
      </c>
      <c r="C191" s="1">
        <v>42</v>
      </c>
      <c r="D191" s="1">
        <v>50</v>
      </c>
      <c r="G191" s="1"/>
      <c r="H191" s="61" t="str">
        <f>_xlfn.XLOOKUP(tblRequirementMeasureXref[[#This Row],[msr_id]],tblMeasure[msr_id],tblMeasure[msr_table])</f>
        <v>T50</v>
      </c>
      <c r="I191" s="22" t="str">
        <f>_xlfn.XLOOKUP(tblRequirementMeasureXref[[#This Row],[msr_id]],tblMeasure[msr_id],tblMeasure[msr_name])</f>
        <v>Unit costs for clients accessing long term support, by support setting and age band, year on year comparison, 2017-18 and 2018-19</v>
      </c>
      <c r="J191" s="22" t="str">
        <f>_xlfn.XLOOKUP(tblRequirementMeasureXref[[#This Row],[msr_id]],tblMeasure[msr_id],tblMeasure[primary_dimensions])</f>
        <v>LT unit cost</v>
      </c>
      <c r="K191" s="22" t="str">
        <f>_xlfn.XLOOKUP(tblRequirementMeasureXref[[#This Row],[msr_id]],tblMeasure[msr_id],tblMeasure[msr_min_geo_resolution])</f>
        <v>LA</v>
      </c>
      <c r="L191" s="22" t="str">
        <f>_xlfn.XLOOKUP(tblRequirementMeasureXref[[#This Row],[msr_id]],tblMeasure[msr_id],tblMeasure[src_name])</f>
        <v>Adult Social Care Activity and Finance Report</v>
      </c>
    </row>
    <row r="192" spans="1:12" x14ac:dyDescent="0.15">
      <c r="A192" s="1" t="str">
        <f>_xlfn.XLOOKUP(tblRequirementMeasureXref[[#This Row],[dm_id]],tblDataRequirement[dm_id],tblDataRequirement[domain_sub_requirement])</f>
        <v>Service:Cost:Unit cost for local authority-funded care</v>
      </c>
      <c r="B192" s="1" t="str">
        <f>_xlfn.XLOOKUP(tblRequirementMeasureXref[[#This Row],[dm_id]],tblDataRequirement[dm_id],tblDataRequirement[dm_phase])</f>
        <v>operate</v>
      </c>
      <c r="C192" s="1">
        <v>34</v>
      </c>
      <c r="D192" s="1">
        <v>50</v>
      </c>
      <c r="G192" s="1"/>
      <c r="H192" s="61" t="str">
        <f>_xlfn.XLOOKUP(tblRequirementMeasureXref[[#This Row],[msr_id]],tblMeasure[msr_id],tblMeasure[msr_table])</f>
        <v>T50</v>
      </c>
      <c r="I192" s="22" t="str">
        <f>_xlfn.XLOOKUP(tblRequirementMeasureXref[[#This Row],[msr_id]],tblMeasure[msr_id],tblMeasure[msr_name])</f>
        <v>Unit costs for clients accessing long term support, by support setting and age band, year on year comparison, 2017-18 and 2018-19</v>
      </c>
      <c r="J192" s="22" t="str">
        <f>_xlfn.XLOOKUP(tblRequirementMeasureXref[[#This Row],[msr_id]],tblMeasure[msr_id],tblMeasure[primary_dimensions])</f>
        <v>LT unit cost</v>
      </c>
      <c r="K192" s="22" t="str">
        <f>_xlfn.XLOOKUP(tblRequirementMeasureXref[[#This Row],[msr_id]],tblMeasure[msr_id],tblMeasure[msr_min_geo_resolution])</f>
        <v>LA</v>
      </c>
      <c r="L192" s="22" t="str">
        <f>_xlfn.XLOOKUP(tblRequirementMeasureXref[[#This Row],[msr_id]],tblMeasure[msr_id],tblMeasure[src_name])</f>
        <v>Adult Social Care Activity and Finance Report</v>
      </c>
    </row>
    <row r="193" spans="1:12" x14ac:dyDescent="0.15">
      <c r="A193" s="1" t="str">
        <f>_xlfn.XLOOKUP(tblRequirementMeasureXref[[#This Row],[dm_id]],tblDataRequirement[dm_id],tblDataRequirement[domain_sub_requirement])</f>
        <v>Service:Support type:Long-term</v>
      </c>
      <c r="B193" s="1" t="str">
        <f>_xlfn.XLOOKUP(tblRequirementMeasureXref[[#This Row],[dm_id]],tblDataRequirement[dm_id],tblDataRequirement[dm_phase])</f>
        <v>operate</v>
      </c>
      <c r="C193" s="1">
        <v>45</v>
      </c>
      <c r="D193" s="1">
        <v>51</v>
      </c>
      <c r="G193" s="1"/>
      <c r="H193" s="61" t="str">
        <f>_xlfn.XLOOKUP(tblRequirementMeasureXref[[#This Row],[msr_id]],tblMeasure[msr_id],tblMeasure[msr_table])</f>
        <v>T51</v>
      </c>
      <c r="I193" s="22" t="str">
        <f>_xlfn.XLOOKUP(tblRequirementMeasureXref[[#This Row],[msr_id]],tblMeasure[msr_id],tblMeasure[msr_name])</f>
        <v>Unit costs for clients aged 18 to 64 accessing residential or nursing long term support, by support setting and primary support reason, 2018-19</v>
      </c>
      <c r="J193" s="22" t="str">
        <f>_xlfn.XLOOKUP(tblRequirementMeasureXref[[#This Row],[msr_id]],tblMeasure[msr_id],tblMeasure[primary_dimensions])</f>
        <v>LT unit cost</v>
      </c>
      <c r="K193" s="22" t="str">
        <f>_xlfn.XLOOKUP(tblRequirementMeasureXref[[#This Row],[msr_id]],tblMeasure[msr_id],tblMeasure[msr_min_geo_resolution])</f>
        <v>LA</v>
      </c>
      <c r="L193" s="22" t="str">
        <f>_xlfn.XLOOKUP(tblRequirementMeasureXref[[#This Row],[msr_id]],tblMeasure[msr_id],tblMeasure[src_name])</f>
        <v>Adult Social Care Activity and Finance Report</v>
      </c>
    </row>
    <row r="194" spans="1:12" x14ac:dyDescent="0.15">
      <c r="A194" s="1" t="str">
        <f>_xlfn.XLOOKUP(tblRequirementMeasureXref[[#This Row],[dm_id]],tblDataRequirement[dm_id],tblDataRequirement[domain_sub_requirement])</f>
        <v>Service:Support setting:Residential care home</v>
      </c>
      <c r="B194" s="1" t="str">
        <f>_xlfn.XLOOKUP(tblRequirementMeasureXref[[#This Row],[dm_id]],tblDataRequirement[dm_id],tblDataRequirement[dm_phase])</f>
        <v>operate</v>
      </c>
      <c r="C194" s="1">
        <v>41</v>
      </c>
      <c r="D194" s="1">
        <v>51</v>
      </c>
      <c r="G194" s="1"/>
      <c r="H194" s="61" t="str">
        <f>_xlfn.XLOOKUP(tblRequirementMeasureXref[[#This Row],[msr_id]],tblMeasure[msr_id],tblMeasure[msr_table])</f>
        <v>T51</v>
      </c>
      <c r="I194" s="22" t="str">
        <f>_xlfn.XLOOKUP(tblRequirementMeasureXref[[#This Row],[msr_id]],tblMeasure[msr_id],tblMeasure[msr_name])</f>
        <v>Unit costs for clients aged 18 to 64 accessing residential or nursing long term support, by support setting and primary support reason, 2018-19</v>
      </c>
      <c r="J194" s="22" t="str">
        <f>_xlfn.XLOOKUP(tblRequirementMeasureXref[[#This Row],[msr_id]],tblMeasure[msr_id],tblMeasure[primary_dimensions])</f>
        <v>LT unit cost</v>
      </c>
      <c r="K194" s="22" t="str">
        <f>_xlfn.XLOOKUP(tblRequirementMeasureXref[[#This Row],[msr_id]],tblMeasure[msr_id],tblMeasure[msr_min_geo_resolution])</f>
        <v>LA</v>
      </c>
      <c r="L194" s="22" t="str">
        <f>_xlfn.XLOOKUP(tblRequirementMeasureXref[[#This Row],[msr_id]],tblMeasure[msr_id],tblMeasure[src_name])</f>
        <v>Adult Social Care Activity and Finance Report</v>
      </c>
    </row>
    <row r="195" spans="1:12" x14ac:dyDescent="0.15">
      <c r="A195" s="1" t="str">
        <f>_xlfn.XLOOKUP(tblRequirementMeasureXref[[#This Row],[dm_id]],tblDataRequirement[dm_id],tblDataRequirement[domain_sub_requirement])</f>
        <v>Service:Support setting:Nursing home</v>
      </c>
      <c r="B195" s="1" t="str">
        <f>_xlfn.XLOOKUP(tblRequirementMeasureXref[[#This Row],[dm_id]],tblDataRequirement[dm_id],tblDataRequirement[dm_phase])</f>
        <v>operate</v>
      </c>
      <c r="C195" s="1">
        <v>42</v>
      </c>
      <c r="D195" s="1">
        <v>51</v>
      </c>
      <c r="G195" s="1"/>
      <c r="H195" s="61" t="str">
        <f>_xlfn.XLOOKUP(tblRequirementMeasureXref[[#This Row],[msr_id]],tblMeasure[msr_id],tblMeasure[msr_table])</f>
        <v>T51</v>
      </c>
      <c r="I195" s="22" t="str">
        <f>_xlfn.XLOOKUP(tblRequirementMeasureXref[[#This Row],[msr_id]],tblMeasure[msr_id],tblMeasure[msr_name])</f>
        <v>Unit costs for clients aged 18 to 64 accessing residential or nursing long term support, by support setting and primary support reason, 2018-19</v>
      </c>
      <c r="J195" s="22" t="str">
        <f>_xlfn.XLOOKUP(tblRequirementMeasureXref[[#This Row],[msr_id]],tblMeasure[msr_id],tblMeasure[primary_dimensions])</f>
        <v>LT unit cost</v>
      </c>
      <c r="K195" s="22" t="str">
        <f>_xlfn.XLOOKUP(tblRequirementMeasureXref[[#This Row],[msr_id]],tblMeasure[msr_id],tblMeasure[msr_min_geo_resolution])</f>
        <v>LA</v>
      </c>
      <c r="L195" s="22" t="str">
        <f>_xlfn.XLOOKUP(tblRequirementMeasureXref[[#This Row],[msr_id]],tblMeasure[msr_id],tblMeasure[src_name])</f>
        <v>Adult Social Care Activity and Finance Report</v>
      </c>
    </row>
    <row r="196" spans="1:12" x14ac:dyDescent="0.15">
      <c r="A196" s="1" t="str">
        <f>_xlfn.XLOOKUP(tblRequirementMeasureXref[[#This Row],[dm_id]],tblDataRequirement[dm_id],tblDataRequirement[domain_sub_requirement])</f>
        <v>Service:Cost:Unit cost for local authority-funded care</v>
      </c>
      <c r="B196" s="1" t="str">
        <f>_xlfn.XLOOKUP(tblRequirementMeasureXref[[#This Row],[dm_id]],tblDataRequirement[dm_id],tblDataRequirement[dm_phase])</f>
        <v>operate</v>
      </c>
      <c r="C196" s="1">
        <v>34</v>
      </c>
      <c r="D196" s="1">
        <v>51</v>
      </c>
      <c r="G196" s="1"/>
      <c r="H196" s="61" t="str">
        <f>_xlfn.XLOOKUP(tblRequirementMeasureXref[[#This Row],[msr_id]],tblMeasure[msr_id],tblMeasure[msr_table])</f>
        <v>T51</v>
      </c>
      <c r="I196" s="22" t="str">
        <f>_xlfn.XLOOKUP(tblRequirementMeasureXref[[#This Row],[msr_id]],tblMeasure[msr_id],tblMeasure[msr_name])</f>
        <v>Unit costs for clients aged 18 to 64 accessing residential or nursing long term support, by support setting and primary support reason, 2018-19</v>
      </c>
      <c r="J196" s="22" t="str">
        <f>_xlfn.XLOOKUP(tblRequirementMeasureXref[[#This Row],[msr_id]],tblMeasure[msr_id],tblMeasure[primary_dimensions])</f>
        <v>LT unit cost</v>
      </c>
      <c r="K196" s="22" t="str">
        <f>_xlfn.XLOOKUP(tblRequirementMeasureXref[[#This Row],[msr_id]],tblMeasure[msr_id],tblMeasure[msr_min_geo_resolution])</f>
        <v>LA</v>
      </c>
      <c r="L196" s="22" t="str">
        <f>_xlfn.XLOOKUP(tblRequirementMeasureXref[[#This Row],[msr_id]],tblMeasure[msr_id],tblMeasure[src_name])</f>
        <v>Adult Social Care Activity and Finance Report</v>
      </c>
    </row>
    <row r="197" spans="1:12" x14ac:dyDescent="0.15">
      <c r="A197" s="1" t="str">
        <f>_xlfn.XLOOKUP(tblRequirementMeasureXref[[#This Row],[dm_id]],tblDataRequirement[dm_id],tblDataRequirement[domain_sub_requirement])</f>
        <v>Users:Care need:Support reason</v>
      </c>
      <c r="B197" s="1" t="str">
        <f>_xlfn.XLOOKUP(tblRequirementMeasureXref[[#This Row],[dm_id]],tblDataRequirement[dm_id],tblDataRequirement[dm_phase])</f>
        <v>demand</v>
      </c>
      <c r="C197" s="1">
        <v>56</v>
      </c>
      <c r="D197" s="1">
        <v>51</v>
      </c>
      <c r="G197" s="1"/>
      <c r="H197" s="61" t="str">
        <f>_xlfn.XLOOKUP(tblRequirementMeasureXref[[#This Row],[msr_id]],tblMeasure[msr_id],tblMeasure[msr_table])</f>
        <v>T51</v>
      </c>
      <c r="I197" s="22" t="str">
        <f>_xlfn.XLOOKUP(tblRequirementMeasureXref[[#This Row],[msr_id]],tblMeasure[msr_id],tblMeasure[msr_name])</f>
        <v>Unit costs for clients aged 18 to 64 accessing residential or nursing long term support, by support setting and primary support reason, 2018-19</v>
      </c>
      <c r="J197" s="22" t="str">
        <f>_xlfn.XLOOKUP(tblRequirementMeasureXref[[#This Row],[msr_id]],tblMeasure[msr_id],tblMeasure[primary_dimensions])</f>
        <v>LT unit cost</v>
      </c>
      <c r="K197" s="22" t="str">
        <f>_xlfn.XLOOKUP(tblRequirementMeasureXref[[#This Row],[msr_id]],tblMeasure[msr_id],tblMeasure[msr_min_geo_resolution])</f>
        <v>LA</v>
      </c>
      <c r="L197" s="22" t="str">
        <f>_xlfn.XLOOKUP(tblRequirementMeasureXref[[#This Row],[msr_id]],tblMeasure[msr_id],tblMeasure[src_name])</f>
        <v>Adult Social Care Activity and Finance Report</v>
      </c>
    </row>
    <row r="198" spans="1:12" x14ac:dyDescent="0.15">
      <c r="A198" s="1" t="str">
        <f>_xlfn.XLOOKUP(tblRequirementMeasureXref[[#This Row],[dm_id]],tblDataRequirement[dm_id],tblDataRequirement[domain_sub_requirement])</f>
        <v>Users:Demographics:Age</v>
      </c>
      <c r="B198" s="1" t="str">
        <f>_xlfn.XLOOKUP(tblRequirementMeasureXref[[#This Row],[dm_id]],tblDataRequirement[dm_id],tblDataRequirement[dm_phase])</f>
        <v>demand</v>
      </c>
      <c r="C198" s="1">
        <v>51</v>
      </c>
      <c r="D198" s="1">
        <v>51</v>
      </c>
      <c r="G198" s="1"/>
      <c r="H198" s="61" t="str">
        <f>_xlfn.XLOOKUP(tblRequirementMeasureXref[[#This Row],[msr_id]],tblMeasure[msr_id],tblMeasure[msr_table])</f>
        <v>T51</v>
      </c>
      <c r="I198" s="22" t="str">
        <f>_xlfn.XLOOKUP(tblRequirementMeasureXref[[#This Row],[msr_id]],tblMeasure[msr_id],tblMeasure[msr_name])</f>
        <v>Unit costs for clients aged 18 to 64 accessing residential or nursing long term support, by support setting and primary support reason, 2018-19</v>
      </c>
      <c r="J198" s="22" t="str">
        <f>_xlfn.XLOOKUP(tblRequirementMeasureXref[[#This Row],[msr_id]],tblMeasure[msr_id],tblMeasure[primary_dimensions])</f>
        <v>LT unit cost</v>
      </c>
      <c r="K198" s="22" t="str">
        <f>_xlfn.XLOOKUP(tblRequirementMeasureXref[[#This Row],[msr_id]],tblMeasure[msr_id],tblMeasure[msr_min_geo_resolution])</f>
        <v>LA</v>
      </c>
      <c r="L198" s="22" t="str">
        <f>_xlfn.XLOOKUP(tblRequirementMeasureXref[[#This Row],[msr_id]],tblMeasure[msr_id],tblMeasure[src_name])</f>
        <v>Adult Social Care Activity and Finance Report</v>
      </c>
    </row>
    <row r="199" spans="1:12" x14ac:dyDescent="0.15">
      <c r="A199" s="1" t="str">
        <f>_xlfn.XLOOKUP(tblRequirementMeasureXref[[#This Row],[dm_id]],tblDataRequirement[dm_id],tblDataRequirement[domain_sub_requirement])</f>
        <v>Service:Support type:Long-term</v>
      </c>
      <c r="B199" s="1" t="str">
        <f>_xlfn.XLOOKUP(tblRequirementMeasureXref[[#This Row],[dm_id]],tblDataRequirement[dm_id],tblDataRequirement[dm_phase])</f>
        <v>operate</v>
      </c>
      <c r="C199" s="1">
        <v>45</v>
      </c>
      <c r="D199" s="1">
        <v>52</v>
      </c>
      <c r="G199" s="1"/>
      <c r="H199" s="61" t="str">
        <f>_xlfn.XLOOKUP(tblRequirementMeasureXref[[#This Row],[msr_id]],tblMeasure[msr_id],tblMeasure[msr_table])</f>
        <v>T52</v>
      </c>
      <c r="I199" s="22" t="str">
        <f>_xlfn.XLOOKUP(tblRequirementMeasureXref[[#This Row],[msr_id]],tblMeasure[msr_id],tblMeasure[msr_name])</f>
        <v>Unit costs for clients aged 65 and over accessing residential or nursing long term support, by support setting and primary support reason, 2018-19</v>
      </c>
      <c r="J199" s="22" t="str">
        <f>_xlfn.XLOOKUP(tblRequirementMeasureXref[[#This Row],[msr_id]],tblMeasure[msr_id],tblMeasure[primary_dimensions])</f>
        <v>LT unit cost</v>
      </c>
      <c r="K199" s="22" t="str">
        <f>_xlfn.XLOOKUP(tblRequirementMeasureXref[[#This Row],[msr_id]],tblMeasure[msr_id],tblMeasure[msr_min_geo_resolution])</f>
        <v>LA</v>
      </c>
      <c r="L199" s="22" t="str">
        <f>_xlfn.XLOOKUP(tblRequirementMeasureXref[[#This Row],[msr_id]],tblMeasure[msr_id],tblMeasure[src_name])</f>
        <v>Adult Social Care Activity and Finance Report</v>
      </c>
    </row>
    <row r="200" spans="1:12" x14ac:dyDescent="0.15">
      <c r="A200" s="1" t="str">
        <f>_xlfn.XLOOKUP(tblRequirementMeasureXref[[#This Row],[dm_id]],tblDataRequirement[dm_id],tblDataRequirement[domain_sub_requirement])</f>
        <v>Service:Support setting:Residential care home</v>
      </c>
      <c r="B200" s="1" t="str">
        <f>_xlfn.XLOOKUP(tblRequirementMeasureXref[[#This Row],[dm_id]],tblDataRequirement[dm_id],tblDataRequirement[dm_phase])</f>
        <v>operate</v>
      </c>
      <c r="C200" s="1">
        <v>41</v>
      </c>
      <c r="D200" s="1">
        <v>52</v>
      </c>
      <c r="G200" s="1"/>
      <c r="H200" s="61" t="str">
        <f>_xlfn.XLOOKUP(tblRequirementMeasureXref[[#This Row],[msr_id]],tblMeasure[msr_id],tblMeasure[msr_table])</f>
        <v>T52</v>
      </c>
      <c r="I200" s="22" t="str">
        <f>_xlfn.XLOOKUP(tblRequirementMeasureXref[[#This Row],[msr_id]],tblMeasure[msr_id],tblMeasure[msr_name])</f>
        <v>Unit costs for clients aged 65 and over accessing residential or nursing long term support, by support setting and primary support reason, 2018-19</v>
      </c>
      <c r="J200" s="22" t="str">
        <f>_xlfn.XLOOKUP(tblRequirementMeasureXref[[#This Row],[msr_id]],tblMeasure[msr_id],tblMeasure[primary_dimensions])</f>
        <v>LT unit cost</v>
      </c>
      <c r="K200" s="22" t="str">
        <f>_xlfn.XLOOKUP(tblRequirementMeasureXref[[#This Row],[msr_id]],tblMeasure[msr_id],tblMeasure[msr_min_geo_resolution])</f>
        <v>LA</v>
      </c>
      <c r="L200" s="22" t="str">
        <f>_xlfn.XLOOKUP(tblRequirementMeasureXref[[#This Row],[msr_id]],tblMeasure[msr_id],tblMeasure[src_name])</f>
        <v>Adult Social Care Activity and Finance Report</v>
      </c>
    </row>
    <row r="201" spans="1:12" x14ac:dyDescent="0.15">
      <c r="A201" s="1" t="str">
        <f>_xlfn.XLOOKUP(tblRequirementMeasureXref[[#This Row],[dm_id]],tblDataRequirement[dm_id],tblDataRequirement[domain_sub_requirement])</f>
        <v>Service:Support setting:Nursing home</v>
      </c>
      <c r="B201" s="1" t="str">
        <f>_xlfn.XLOOKUP(tblRequirementMeasureXref[[#This Row],[dm_id]],tblDataRequirement[dm_id],tblDataRequirement[dm_phase])</f>
        <v>operate</v>
      </c>
      <c r="C201" s="1">
        <v>42</v>
      </c>
      <c r="D201" s="1">
        <v>52</v>
      </c>
      <c r="G201" s="1"/>
      <c r="H201" s="61" t="str">
        <f>_xlfn.XLOOKUP(tblRequirementMeasureXref[[#This Row],[msr_id]],tblMeasure[msr_id],tblMeasure[msr_table])</f>
        <v>T52</v>
      </c>
      <c r="I201" s="22" t="str">
        <f>_xlfn.XLOOKUP(tblRequirementMeasureXref[[#This Row],[msr_id]],tblMeasure[msr_id],tblMeasure[msr_name])</f>
        <v>Unit costs for clients aged 65 and over accessing residential or nursing long term support, by support setting and primary support reason, 2018-19</v>
      </c>
      <c r="J201" s="22" t="str">
        <f>_xlfn.XLOOKUP(tblRequirementMeasureXref[[#This Row],[msr_id]],tblMeasure[msr_id],tblMeasure[primary_dimensions])</f>
        <v>LT unit cost</v>
      </c>
      <c r="K201" s="22" t="str">
        <f>_xlfn.XLOOKUP(tblRequirementMeasureXref[[#This Row],[msr_id]],tblMeasure[msr_id],tblMeasure[msr_min_geo_resolution])</f>
        <v>LA</v>
      </c>
      <c r="L201" s="22" t="str">
        <f>_xlfn.XLOOKUP(tblRequirementMeasureXref[[#This Row],[msr_id]],tblMeasure[msr_id],tblMeasure[src_name])</f>
        <v>Adult Social Care Activity and Finance Report</v>
      </c>
    </row>
    <row r="202" spans="1:12" x14ac:dyDescent="0.15">
      <c r="A202" s="1" t="str">
        <f>_xlfn.XLOOKUP(tblRequirementMeasureXref[[#This Row],[dm_id]],tblDataRequirement[dm_id],tblDataRequirement[domain_sub_requirement])</f>
        <v>Service:Cost:Unit cost for local authority-funded care</v>
      </c>
      <c r="B202" s="1" t="str">
        <f>_xlfn.XLOOKUP(tblRequirementMeasureXref[[#This Row],[dm_id]],tblDataRequirement[dm_id],tblDataRequirement[dm_phase])</f>
        <v>operate</v>
      </c>
      <c r="C202" s="1">
        <v>34</v>
      </c>
      <c r="D202" s="1">
        <v>52</v>
      </c>
      <c r="G202" s="1"/>
      <c r="H202" s="61" t="str">
        <f>_xlfn.XLOOKUP(tblRequirementMeasureXref[[#This Row],[msr_id]],tblMeasure[msr_id],tblMeasure[msr_table])</f>
        <v>T52</v>
      </c>
      <c r="I202" s="22" t="str">
        <f>_xlfn.XLOOKUP(tblRequirementMeasureXref[[#This Row],[msr_id]],tblMeasure[msr_id],tblMeasure[msr_name])</f>
        <v>Unit costs for clients aged 65 and over accessing residential or nursing long term support, by support setting and primary support reason, 2018-19</v>
      </c>
      <c r="J202" s="22" t="str">
        <f>_xlfn.XLOOKUP(tblRequirementMeasureXref[[#This Row],[msr_id]],tblMeasure[msr_id],tblMeasure[primary_dimensions])</f>
        <v>LT unit cost</v>
      </c>
      <c r="K202" s="22" t="str">
        <f>_xlfn.XLOOKUP(tblRequirementMeasureXref[[#This Row],[msr_id]],tblMeasure[msr_id],tblMeasure[msr_min_geo_resolution])</f>
        <v>LA</v>
      </c>
      <c r="L202" s="22" t="str">
        <f>_xlfn.XLOOKUP(tblRequirementMeasureXref[[#This Row],[msr_id]],tblMeasure[msr_id],tblMeasure[src_name])</f>
        <v>Adult Social Care Activity and Finance Report</v>
      </c>
    </row>
    <row r="203" spans="1:12" x14ac:dyDescent="0.15">
      <c r="A203" s="1" t="str">
        <f>_xlfn.XLOOKUP(tblRequirementMeasureXref[[#This Row],[dm_id]],tblDataRequirement[dm_id],tblDataRequirement[domain_sub_requirement])</f>
        <v>Users:Care need:Support reason</v>
      </c>
      <c r="B203" s="1" t="str">
        <f>_xlfn.XLOOKUP(tblRequirementMeasureXref[[#This Row],[dm_id]],tblDataRequirement[dm_id],tblDataRequirement[dm_phase])</f>
        <v>demand</v>
      </c>
      <c r="C203" s="1">
        <v>56</v>
      </c>
      <c r="D203" s="1">
        <v>52</v>
      </c>
      <c r="G203" s="1"/>
      <c r="H203" s="61" t="str">
        <f>_xlfn.XLOOKUP(tblRequirementMeasureXref[[#This Row],[msr_id]],tblMeasure[msr_id],tblMeasure[msr_table])</f>
        <v>T52</v>
      </c>
      <c r="I203" s="22" t="str">
        <f>_xlfn.XLOOKUP(tblRequirementMeasureXref[[#This Row],[msr_id]],tblMeasure[msr_id],tblMeasure[msr_name])</f>
        <v>Unit costs for clients aged 65 and over accessing residential or nursing long term support, by support setting and primary support reason, 2018-19</v>
      </c>
      <c r="J203" s="22" t="str">
        <f>_xlfn.XLOOKUP(tblRequirementMeasureXref[[#This Row],[msr_id]],tblMeasure[msr_id],tblMeasure[primary_dimensions])</f>
        <v>LT unit cost</v>
      </c>
      <c r="K203" s="22" t="str">
        <f>_xlfn.XLOOKUP(tblRequirementMeasureXref[[#This Row],[msr_id]],tblMeasure[msr_id],tblMeasure[msr_min_geo_resolution])</f>
        <v>LA</v>
      </c>
      <c r="L203" s="22" t="str">
        <f>_xlfn.XLOOKUP(tblRequirementMeasureXref[[#This Row],[msr_id]],tblMeasure[msr_id],tblMeasure[src_name])</f>
        <v>Adult Social Care Activity and Finance Report</v>
      </c>
    </row>
    <row r="204" spans="1:12" x14ac:dyDescent="0.15">
      <c r="A204" s="1" t="str">
        <f>_xlfn.XLOOKUP(tblRequirementMeasureXref[[#This Row],[dm_id]],tblDataRequirement[dm_id],tblDataRequirement[domain_sub_requirement])</f>
        <v>Users:Demographics:Age</v>
      </c>
      <c r="B204" s="1" t="str">
        <f>_xlfn.XLOOKUP(tblRequirementMeasureXref[[#This Row],[dm_id]],tblDataRequirement[dm_id],tblDataRequirement[dm_phase])</f>
        <v>demand</v>
      </c>
      <c r="C204" s="1">
        <v>51</v>
      </c>
      <c r="D204" s="1">
        <v>52</v>
      </c>
      <c r="G204" s="1"/>
      <c r="H204" s="61" t="str">
        <f>_xlfn.XLOOKUP(tblRequirementMeasureXref[[#This Row],[msr_id]],tblMeasure[msr_id],tblMeasure[msr_table])</f>
        <v>T52</v>
      </c>
      <c r="I204" s="22" t="str">
        <f>_xlfn.XLOOKUP(tblRequirementMeasureXref[[#This Row],[msr_id]],tblMeasure[msr_id],tblMeasure[msr_name])</f>
        <v>Unit costs for clients aged 65 and over accessing residential or nursing long term support, by support setting and primary support reason, 2018-19</v>
      </c>
      <c r="J204" s="22" t="str">
        <f>_xlfn.XLOOKUP(tblRequirementMeasureXref[[#This Row],[msr_id]],tblMeasure[msr_id],tblMeasure[primary_dimensions])</f>
        <v>LT unit cost</v>
      </c>
      <c r="K204" s="22" t="str">
        <f>_xlfn.XLOOKUP(tblRequirementMeasureXref[[#This Row],[msr_id]],tblMeasure[msr_id],tblMeasure[msr_min_geo_resolution])</f>
        <v>LA</v>
      </c>
      <c r="L204" s="22" t="str">
        <f>_xlfn.XLOOKUP(tblRequirementMeasureXref[[#This Row],[msr_id]],tblMeasure[msr_id],tblMeasure[src_name])</f>
        <v>Adult Social Care Activity and Finance Report</v>
      </c>
    </row>
    <row r="205" spans="1:12" x14ac:dyDescent="0.15">
      <c r="A205" s="1" t="str">
        <f>_xlfn.XLOOKUP(tblRequirementMeasureXref[[#This Row],[dm_id]],tblDataRequirement[dm_id],tblDataRequirement[domain_sub_requirement])</f>
        <v>Service:Support type:Long-term</v>
      </c>
      <c r="B205" s="1" t="str">
        <f>_xlfn.XLOOKUP(tblRequirementMeasureXref[[#This Row],[dm_id]],tblDataRequirement[dm_id],tblDataRequirement[dm_phase])</f>
        <v>operate</v>
      </c>
      <c r="C205" s="1">
        <v>45</v>
      </c>
      <c r="D205" s="1">
        <v>53</v>
      </c>
      <c r="G205" s="1"/>
      <c r="H205" s="61" t="str">
        <f>_xlfn.XLOOKUP(tblRequirementMeasureXref[[#This Row],[msr_id]],tblMeasure[msr_id],tblMeasure[msr_table])</f>
        <v>T53</v>
      </c>
      <c r="I205" s="22" t="str">
        <f>_xlfn.XLOOKUP(tblRequirementMeasureXref[[#This Row],[msr_id]],tblMeasure[msr_id],tblMeasure[msr_name])</f>
        <v>Unit costs for clients accessing residential long term support, by provision type and age band, year on year comparison, 2017-18 and 2018-19</v>
      </c>
      <c r="J205" s="22" t="str">
        <f>_xlfn.XLOOKUP(tblRequirementMeasureXref[[#This Row],[msr_id]],tblMeasure[msr_id],tblMeasure[primary_dimensions])</f>
        <v>LT unit cost</v>
      </c>
      <c r="K205" s="22" t="str">
        <f>_xlfn.XLOOKUP(tblRequirementMeasureXref[[#This Row],[msr_id]],tblMeasure[msr_id],tblMeasure[msr_min_geo_resolution])</f>
        <v>LA</v>
      </c>
      <c r="L205" s="22" t="str">
        <f>_xlfn.XLOOKUP(tblRequirementMeasureXref[[#This Row],[msr_id]],tblMeasure[msr_id],tblMeasure[src_name])</f>
        <v>Adult Social Care Activity and Finance Report</v>
      </c>
    </row>
    <row r="206" spans="1:12" x14ac:dyDescent="0.15">
      <c r="A206" s="1" t="str">
        <f>_xlfn.XLOOKUP(tblRequirementMeasureXref[[#This Row],[dm_id]],tblDataRequirement[dm_id],tblDataRequirement[domain_sub_requirement])</f>
        <v>Service:Support setting:Residential care home</v>
      </c>
      <c r="B206" s="1" t="str">
        <f>_xlfn.XLOOKUP(tblRequirementMeasureXref[[#This Row],[dm_id]],tblDataRequirement[dm_id],tblDataRequirement[dm_phase])</f>
        <v>operate</v>
      </c>
      <c r="C206" s="1">
        <v>41</v>
      </c>
      <c r="D206" s="1">
        <v>53</v>
      </c>
      <c r="G206" s="1"/>
      <c r="H206" s="61" t="str">
        <f>_xlfn.XLOOKUP(tblRequirementMeasureXref[[#This Row],[msr_id]],tblMeasure[msr_id],tblMeasure[msr_table])</f>
        <v>T53</v>
      </c>
      <c r="I206" s="22" t="str">
        <f>_xlfn.XLOOKUP(tblRequirementMeasureXref[[#This Row],[msr_id]],tblMeasure[msr_id],tblMeasure[msr_name])</f>
        <v>Unit costs for clients accessing residential long term support, by provision type and age band, year on year comparison, 2017-18 and 2018-19</v>
      </c>
      <c r="J206" s="22" t="str">
        <f>_xlfn.XLOOKUP(tblRequirementMeasureXref[[#This Row],[msr_id]],tblMeasure[msr_id],tblMeasure[primary_dimensions])</f>
        <v>LT unit cost</v>
      </c>
      <c r="K206" s="22" t="str">
        <f>_xlfn.XLOOKUP(tblRequirementMeasureXref[[#This Row],[msr_id]],tblMeasure[msr_id],tblMeasure[msr_min_geo_resolution])</f>
        <v>LA</v>
      </c>
      <c r="L206" s="22" t="str">
        <f>_xlfn.XLOOKUP(tblRequirementMeasureXref[[#This Row],[msr_id]],tblMeasure[msr_id],tblMeasure[src_name])</f>
        <v>Adult Social Care Activity and Finance Report</v>
      </c>
    </row>
    <row r="207" spans="1:12" x14ac:dyDescent="0.15">
      <c r="A207" s="1" t="str">
        <f>_xlfn.XLOOKUP(tblRequirementMeasureXref[[#This Row],[dm_id]],tblDataRequirement[dm_id],tblDataRequirement[domain_sub_requirement])</f>
        <v>Service:Cost:Unit cost for local authority-funded care</v>
      </c>
      <c r="B207" s="1" t="str">
        <f>_xlfn.XLOOKUP(tblRequirementMeasureXref[[#This Row],[dm_id]],tblDataRequirement[dm_id],tblDataRequirement[dm_phase])</f>
        <v>operate</v>
      </c>
      <c r="C207" s="1">
        <v>34</v>
      </c>
      <c r="D207" s="1">
        <v>53</v>
      </c>
      <c r="G207" s="1"/>
      <c r="H207" s="61" t="str">
        <f>_xlfn.XLOOKUP(tblRequirementMeasureXref[[#This Row],[msr_id]],tblMeasure[msr_id],tblMeasure[msr_table])</f>
        <v>T53</v>
      </c>
      <c r="I207" s="22" t="str">
        <f>_xlfn.XLOOKUP(tblRequirementMeasureXref[[#This Row],[msr_id]],tblMeasure[msr_id],tblMeasure[msr_name])</f>
        <v>Unit costs for clients accessing residential long term support, by provision type and age band, year on year comparison, 2017-18 and 2018-19</v>
      </c>
      <c r="J207" s="22" t="str">
        <f>_xlfn.XLOOKUP(tblRequirementMeasureXref[[#This Row],[msr_id]],tblMeasure[msr_id],tblMeasure[primary_dimensions])</f>
        <v>LT unit cost</v>
      </c>
      <c r="K207" s="22" t="str">
        <f>_xlfn.XLOOKUP(tblRequirementMeasureXref[[#This Row],[msr_id]],tblMeasure[msr_id],tblMeasure[msr_min_geo_resolution])</f>
        <v>LA</v>
      </c>
      <c r="L207" s="22" t="str">
        <f>_xlfn.XLOOKUP(tblRequirementMeasureXref[[#This Row],[msr_id]],tblMeasure[msr_id],tblMeasure[src_name])</f>
        <v>Adult Social Care Activity and Finance Report</v>
      </c>
    </row>
    <row r="208" spans="1:12" x14ac:dyDescent="0.15">
      <c r="A208" s="1" t="str">
        <f>_xlfn.XLOOKUP(tblRequirementMeasureXref[[#This Row],[dm_id]],tblDataRequirement[dm_id],tblDataRequirement[domain_sub_requirement])</f>
        <v>Providers:Type:Organisations</v>
      </c>
      <c r="B208" s="1" t="str">
        <f>_xlfn.XLOOKUP(tblRequirementMeasureXref[[#This Row],[dm_id]],tblDataRequirement[dm_id],tblDataRequirement[dm_phase])</f>
        <v>operate</v>
      </c>
      <c r="C208" s="1">
        <v>60</v>
      </c>
      <c r="D208" s="1">
        <v>53</v>
      </c>
      <c r="G208" s="1"/>
      <c r="H208" s="61" t="str">
        <f>_xlfn.XLOOKUP(tblRequirementMeasureXref[[#This Row],[msr_id]],tblMeasure[msr_id],tblMeasure[msr_table])</f>
        <v>T53</v>
      </c>
      <c r="I208" s="22" t="str">
        <f>_xlfn.XLOOKUP(tblRequirementMeasureXref[[#This Row],[msr_id]],tblMeasure[msr_id],tblMeasure[msr_name])</f>
        <v>Unit costs for clients accessing residential long term support, by provision type and age band, year on year comparison, 2017-18 and 2018-19</v>
      </c>
      <c r="J208" s="22" t="str">
        <f>_xlfn.XLOOKUP(tblRequirementMeasureXref[[#This Row],[msr_id]],tblMeasure[msr_id],tblMeasure[primary_dimensions])</f>
        <v>LT unit cost</v>
      </c>
      <c r="K208" s="22" t="str">
        <f>_xlfn.XLOOKUP(tblRequirementMeasureXref[[#This Row],[msr_id]],tblMeasure[msr_id],tblMeasure[msr_min_geo_resolution])</f>
        <v>LA</v>
      </c>
      <c r="L208" s="22" t="str">
        <f>_xlfn.XLOOKUP(tblRequirementMeasureXref[[#This Row],[msr_id]],tblMeasure[msr_id],tblMeasure[src_name])</f>
        <v>Adult Social Care Activity and Finance Report</v>
      </c>
    </row>
    <row r="209" spans="1:12" x14ac:dyDescent="0.15">
      <c r="A209" s="1" t="str">
        <f>_xlfn.XLOOKUP(tblRequirementMeasureXref[[#This Row],[dm_id]],tblDataRequirement[dm_id],tblDataRequirement[domain_sub_requirement])</f>
        <v>Users:Demographics:Age</v>
      </c>
      <c r="B209" s="1" t="str">
        <f>_xlfn.XLOOKUP(tblRequirementMeasureXref[[#This Row],[dm_id]],tblDataRequirement[dm_id],tblDataRequirement[dm_phase])</f>
        <v>demand</v>
      </c>
      <c r="C209" s="1">
        <v>51</v>
      </c>
      <c r="D209" s="1">
        <v>53</v>
      </c>
      <c r="G209" s="1"/>
      <c r="H209" s="61" t="str">
        <f>_xlfn.XLOOKUP(tblRequirementMeasureXref[[#This Row],[msr_id]],tblMeasure[msr_id],tblMeasure[msr_table])</f>
        <v>T53</v>
      </c>
      <c r="I209" s="22" t="str">
        <f>_xlfn.XLOOKUP(tblRequirementMeasureXref[[#This Row],[msr_id]],tblMeasure[msr_id],tblMeasure[msr_name])</f>
        <v>Unit costs for clients accessing residential long term support, by provision type and age band, year on year comparison, 2017-18 and 2018-19</v>
      </c>
      <c r="J209" s="22" t="str">
        <f>_xlfn.XLOOKUP(tblRequirementMeasureXref[[#This Row],[msr_id]],tblMeasure[msr_id],tblMeasure[primary_dimensions])</f>
        <v>LT unit cost</v>
      </c>
      <c r="K209" s="22" t="str">
        <f>_xlfn.XLOOKUP(tblRequirementMeasureXref[[#This Row],[msr_id]],tblMeasure[msr_id],tblMeasure[msr_min_geo_resolution])</f>
        <v>LA</v>
      </c>
      <c r="L209" s="22" t="str">
        <f>_xlfn.XLOOKUP(tblRequirementMeasureXref[[#This Row],[msr_id]],tblMeasure[msr_id],tblMeasure[src_name])</f>
        <v>Adult Social Care Activity and Finance Report</v>
      </c>
    </row>
    <row r="210" spans="1:12" x14ac:dyDescent="0.15">
      <c r="A210" s="1" t="str">
        <f>_xlfn.XLOOKUP(tblRequirementMeasureXref[[#This Row],[dm_id]],tblDataRequirement[dm_id],tblDataRequirement[domain_sub_requirement])</f>
        <v>Funders:Expenditure:Local authorities</v>
      </c>
      <c r="B210" s="1" t="str">
        <f>_xlfn.XLOOKUP(tblRequirementMeasureXref[[#This Row],[dm_id]],tblDataRequirement[dm_id],tblDataRequirement[dm_phase])</f>
        <v>supply</v>
      </c>
      <c r="C210" s="1">
        <v>3</v>
      </c>
      <c r="D210" s="1">
        <v>55</v>
      </c>
      <c r="G210" s="1"/>
      <c r="H210" s="61" t="str">
        <f>_xlfn.XLOOKUP(tblRequirementMeasureXref[[#This Row],[msr_id]],tblMeasure[msr_id],tblMeasure[msr_table])</f>
        <v>T14.NCE</v>
      </c>
      <c r="I210" s="22" t="str">
        <f>_xlfn.XLOOKUP(tblRequirementMeasureXref[[#This Row],[msr_id]],tblMeasure[msr_id],tblMeasure[msr_name])</f>
        <v>Net Current Expenditure, by care type, 2018-19</v>
      </c>
      <c r="J210" s="22" t="str">
        <f>_xlfn.XLOOKUP(tblRequirementMeasureXref[[#This Row],[msr_id]],tblMeasure[msr_id],tblMeasure[primary_dimensions])</f>
        <v>expenditure</v>
      </c>
      <c r="K210" s="22" t="str">
        <f>_xlfn.XLOOKUP(tblRequirementMeasureXref[[#This Row],[msr_id]],tblMeasure[msr_id],tblMeasure[msr_min_geo_resolution])</f>
        <v>LA</v>
      </c>
      <c r="L210" s="22" t="str">
        <f>_xlfn.XLOOKUP(tblRequirementMeasureXref[[#This Row],[msr_id]],tblMeasure[msr_id],tblMeasure[src_name])</f>
        <v>Adult Social Care Activity and Finance Report</v>
      </c>
    </row>
    <row r="211" spans="1:12" x14ac:dyDescent="0.15">
      <c r="A211" s="1" t="str">
        <f>_xlfn.XLOOKUP(tblRequirementMeasureXref[[#This Row],[dm_id]],tblDataRequirement[dm_id],tblDataRequirement[domain_sub_requirement])</f>
        <v>Service:Support type:Short-term</v>
      </c>
      <c r="B211" s="1" t="str">
        <f>_xlfn.XLOOKUP(tblRequirementMeasureXref[[#This Row],[dm_id]],tblDataRequirement[dm_id],tblDataRequirement[dm_phase])</f>
        <v>operate</v>
      </c>
      <c r="C211" s="1">
        <v>44</v>
      </c>
      <c r="D211" s="1">
        <v>55</v>
      </c>
      <c r="G211" s="1"/>
      <c r="H211" s="61" t="str">
        <f>_xlfn.XLOOKUP(tblRequirementMeasureXref[[#This Row],[msr_id]],tblMeasure[msr_id],tblMeasure[msr_table])</f>
        <v>T14.NCE</v>
      </c>
      <c r="I211" s="22" t="str">
        <f>_xlfn.XLOOKUP(tblRequirementMeasureXref[[#This Row],[msr_id]],tblMeasure[msr_id],tblMeasure[msr_name])</f>
        <v>Net Current Expenditure, by care type, 2018-19</v>
      </c>
      <c r="J211" s="22" t="str">
        <f>_xlfn.XLOOKUP(tblRequirementMeasureXref[[#This Row],[msr_id]],tblMeasure[msr_id],tblMeasure[primary_dimensions])</f>
        <v>expenditure</v>
      </c>
      <c r="K211" s="22" t="str">
        <f>_xlfn.XLOOKUP(tblRequirementMeasureXref[[#This Row],[msr_id]],tblMeasure[msr_id],tblMeasure[msr_min_geo_resolution])</f>
        <v>LA</v>
      </c>
      <c r="L211" s="22" t="str">
        <f>_xlfn.XLOOKUP(tblRequirementMeasureXref[[#This Row],[msr_id]],tblMeasure[msr_id],tblMeasure[src_name])</f>
        <v>Adult Social Care Activity and Finance Report</v>
      </c>
    </row>
    <row r="212" spans="1:12" x14ac:dyDescent="0.15">
      <c r="A212" s="1" t="str">
        <f>_xlfn.XLOOKUP(tblRequirementMeasureXref[[#This Row],[dm_id]],tblDataRequirement[dm_id],tblDataRequirement[domain_sub_requirement])</f>
        <v>Service:Support type:Long-term</v>
      </c>
      <c r="B212" s="1" t="str">
        <f>_xlfn.XLOOKUP(tblRequirementMeasureXref[[#This Row],[dm_id]],tblDataRequirement[dm_id],tblDataRequirement[dm_phase])</f>
        <v>operate</v>
      </c>
      <c r="C212" s="1">
        <v>45</v>
      </c>
      <c r="D212" s="1">
        <v>55</v>
      </c>
      <c r="G212" s="1"/>
      <c r="H212" s="61" t="str">
        <f>_xlfn.XLOOKUP(tblRequirementMeasureXref[[#This Row],[msr_id]],tblMeasure[msr_id],tblMeasure[msr_table])</f>
        <v>T14.NCE</v>
      </c>
      <c r="I212" s="22" t="str">
        <f>_xlfn.XLOOKUP(tblRequirementMeasureXref[[#This Row],[msr_id]],tblMeasure[msr_id],tblMeasure[msr_name])</f>
        <v>Net Current Expenditure, by care type, 2018-19</v>
      </c>
      <c r="J212" s="22" t="str">
        <f>_xlfn.XLOOKUP(tblRequirementMeasureXref[[#This Row],[msr_id]],tblMeasure[msr_id],tblMeasure[primary_dimensions])</f>
        <v>expenditure</v>
      </c>
      <c r="K212" s="22" t="str">
        <f>_xlfn.XLOOKUP(tblRequirementMeasureXref[[#This Row],[msr_id]],tblMeasure[msr_id],tblMeasure[msr_min_geo_resolution])</f>
        <v>LA</v>
      </c>
      <c r="L212" s="22" t="str">
        <f>_xlfn.XLOOKUP(tblRequirementMeasureXref[[#This Row],[msr_id]],tblMeasure[msr_id],tblMeasure[src_name])</f>
        <v>Adult Social Care Activity and Finance Report</v>
      </c>
    </row>
    <row r="213" spans="1:12" x14ac:dyDescent="0.15">
      <c r="A213" s="1" t="str">
        <f>_xlfn.XLOOKUP(tblRequirementMeasureXref[[#This Row],[dm_id]],tblDataRequirement[dm_id],tblDataRequirement[domain_sub_requirement])</f>
        <v>Service:Support type:Other (not ST or LT)</v>
      </c>
      <c r="B213" s="1" t="str">
        <f>_xlfn.XLOOKUP(tblRequirementMeasureXref[[#This Row],[dm_id]],tblDataRequirement[dm_id],tblDataRequirement[dm_phase])</f>
        <v>operate</v>
      </c>
      <c r="C213" s="1">
        <v>68</v>
      </c>
      <c r="D213" s="1">
        <v>55</v>
      </c>
      <c r="G213" s="1"/>
      <c r="H213" s="61" t="str">
        <f>_xlfn.XLOOKUP(tblRequirementMeasureXref[[#This Row],[msr_id]],tblMeasure[msr_id],tblMeasure[msr_table])</f>
        <v>T14.NCE</v>
      </c>
      <c r="I213" s="22" t="str">
        <f>_xlfn.XLOOKUP(tblRequirementMeasureXref[[#This Row],[msr_id]],tblMeasure[msr_id],tblMeasure[msr_name])</f>
        <v>Net Current Expenditure, by care type, 2018-19</v>
      </c>
      <c r="J213" s="22" t="str">
        <f>_xlfn.XLOOKUP(tblRequirementMeasureXref[[#This Row],[msr_id]],tblMeasure[msr_id],tblMeasure[primary_dimensions])</f>
        <v>expenditure</v>
      </c>
      <c r="K213" s="22" t="str">
        <f>_xlfn.XLOOKUP(tblRequirementMeasureXref[[#This Row],[msr_id]],tblMeasure[msr_id],tblMeasure[msr_min_geo_resolution])</f>
        <v>LA</v>
      </c>
      <c r="L213" s="22" t="str">
        <f>_xlfn.XLOOKUP(tblRequirementMeasureXref[[#This Row],[msr_id]],tblMeasure[msr_id],tblMeasure[src_name])</f>
        <v>Adult Social Care Activity and Finance Report</v>
      </c>
    </row>
    <row r="214" spans="1:12" x14ac:dyDescent="0.15">
      <c r="A214" s="1" t="str">
        <f>_xlfn.XLOOKUP(tblRequirementMeasureXref[[#This Row],[dm_id]],tblDataRequirement[dm_id],tblDataRequirement[domain_sub_requirement])</f>
        <v>Users:Demographics:Age</v>
      </c>
      <c r="B214" s="1" t="str">
        <f>_xlfn.XLOOKUP(tblRequirementMeasureXref[[#This Row],[dm_id]],tblDataRequirement[dm_id],tblDataRequirement[dm_phase])</f>
        <v>demand</v>
      </c>
      <c r="C214" s="1">
        <v>51</v>
      </c>
      <c r="D214" s="1">
        <v>58</v>
      </c>
      <c r="G214" s="1"/>
      <c r="H214" s="61" t="str">
        <f>_xlfn.XLOOKUP(tblRequirementMeasureXref[[#This Row],[msr_id]],tblMeasure[msr_id],tblMeasure[msr_table])</f>
        <v>T17.NCE</v>
      </c>
      <c r="I214" s="22" t="str">
        <f>_xlfn.XLOOKUP(tblRequirementMeasureXref[[#This Row],[msr_id]],tblMeasure[msr_id],tblMeasure[msr_name])</f>
        <v>Net Current Expenditure on long and short term care, by care type and age band, year on year comparison, 2017-18 and 2018-19</v>
      </c>
      <c r="J214" s="22" t="str">
        <f>_xlfn.XLOOKUP(tblRequirementMeasureXref[[#This Row],[msr_id]],tblMeasure[msr_id],tblMeasure[primary_dimensions])</f>
        <v>expenditure</v>
      </c>
      <c r="K214" s="22" t="str">
        <f>_xlfn.XLOOKUP(tblRequirementMeasureXref[[#This Row],[msr_id]],tblMeasure[msr_id],tblMeasure[msr_min_geo_resolution])</f>
        <v>LA</v>
      </c>
      <c r="L214" s="22" t="str">
        <f>_xlfn.XLOOKUP(tblRequirementMeasureXref[[#This Row],[msr_id]],tblMeasure[msr_id],tblMeasure[src_name])</f>
        <v>Adult Social Care Activity and Finance Report</v>
      </c>
    </row>
    <row r="215" spans="1:12" x14ac:dyDescent="0.15">
      <c r="A215" s="1" t="str">
        <f>_xlfn.XLOOKUP(tblRequirementMeasureXref[[#This Row],[dm_id]],tblDataRequirement[dm_id],tblDataRequirement[domain_sub_requirement])</f>
        <v>Funders:Expenditure:Local authorities</v>
      </c>
      <c r="B215" s="1" t="str">
        <f>_xlfn.XLOOKUP(tblRequirementMeasureXref[[#This Row],[dm_id]],tblDataRequirement[dm_id],tblDataRequirement[dm_phase])</f>
        <v>supply</v>
      </c>
      <c r="C215" s="1">
        <v>3</v>
      </c>
      <c r="D215" s="1">
        <v>58</v>
      </c>
      <c r="G215" s="1"/>
      <c r="H215" s="61" t="str">
        <f>_xlfn.XLOOKUP(tblRequirementMeasureXref[[#This Row],[msr_id]],tblMeasure[msr_id],tblMeasure[msr_table])</f>
        <v>T17.NCE</v>
      </c>
      <c r="I215" s="22" t="str">
        <f>_xlfn.XLOOKUP(tblRequirementMeasureXref[[#This Row],[msr_id]],tblMeasure[msr_id],tblMeasure[msr_name])</f>
        <v>Net Current Expenditure on long and short term care, by care type and age band, year on year comparison, 2017-18 and 2018-19</v>
      </c>
      <c r="J215" s="22" t="str">
        <f>_xlfn.XLOOKUP(tblRequirementMeasureXref[[#This Row],[msr_id]],tblMeasure[msr_id],tblMeasure[primary_dimensions])</f>
        <v>expenditure</v>
      </c>
      <c r="K215" s="22" t="str">
        <f>_xlfn.XLOOKUP(tblRequirementMeasureXref[[#This Row],[msr_id]],tblMeasure[msr_id],tblMeasure[msr_min_geo_resolution])</f>
        <v>LA</v>
      </c>
      <c r="L215" s="22" t="str">
        <f>_xlfn.XLOOKUP(tblRequirementMeasureXref[[#This Row],[msr_id]],tblMeasure[msr_id],tblMeasure[src_name])</f>
        <v>Adult Social Care Activity and Finance Report</v>
      </c>
    </row>
    <row r="216" spans="1:12" x14ac:dyDescent="0.15">
      <c r="A216" s="1" t="str">
        <f>_xlfn.XLOOKUP(tblRequirementMeasureXref[[#This Row],[dm_id]],tblDataRequirement[dm_id],tblDataRequirement[domain_sub_requirement])</f>
        <v>Service:Support type:Short-term</v>
      </c>
      <c r="B216" s="1" t="str">
        <f>_xlfn.XLOOKUP(tblRequirementMeasureXref[[#This Row],[dm_id]],tblDataRequirement[dm_id],tblDataRequirement[dm_phase])</f>
        <v>operate</v>
      </c>
      <c r="C216" s="1">
        <v>44</v>
      </c>
      <c r="D216" s="1">
        <v>58</v>
      </c>
      <c r="G216" s="1"/>
      <c r="H216" s="61" t="str">
        <f>_xlfn.XLOOKUP(tblRequirementMeasureXref[[#This Row],[msr_id]],tblMeasure[msr_id],tblMeasure[msr_table])</f>
        <v>T17.NCE</v>
      </c>
      <c r="I216" s="22" t="str">
        <f>_xlfn.XLOOKUP(tblRequirementMeasureXref[[#This Row],[msr_id]],tblMeasure[msr_id],tblMeasure[msr_name])</f>
        <v>Net Current Expenditure on long and short term care, by care type and age band, year on year comparison, 2017-18 and 2018-19</v>
      </c>
      <c r="J216" s="22" t="str">
        <f>_xlfn.XLOOKUP(tblRequirementMeasureXref[[#This Row],[msr_id]],tblMeasure[msr_id],tblMeasure[primary_dimensions])</f>
        <v>expenditure</v>
      </c>
      <c r="K216" s="22" t="str">
        <f>_xlfn.XLOOKUP(tblRequirementMeasureXref[[#This Row],[msr_id]],tblMeasure[msr_id],tblMeasure[msr_min_geo_resolution])</f>
        <v>LA</v>
      </c>
      <c r="L216" s="22" t="str">
        <f>_xlfn.XLOOKUP(tblRequirementMeasureXref[[#This Row],[msr_id]],tblMeasure[msr_id],tblMeasure[src_name])</f>
        <v>Adult Social Care Activity and Finance Report</v>
      </c>
    </row>
    <row r="217" spans="1:12" x14ac:dyDescent="0.15">
      <c r="A217" s="1" t="str">
        <f>_xlfn.XLOOKUP(tblRequirementMeasureXref[[#This Row],[dm_id]],tblDataRequirement[dm_id],tblDataRequirement[domain_sub_requirement])</f>
        <v>Service:Support type:Long-term</v>
      </c>
      <c r="B217" s="1" t="str">
        <f>_xlfn.XLOOKUP(tblRequirementMeasureXref[[#This Row],[dm_id]],tblDataRequirement[dm_id],tblDataRequirement[dm_phase])</f>
        <v>operate</v>
      </c>
      <c r="C217" s="1">
        <v>45</v>
      </c>
      <c r="D217" s="1">
        <v>58</v>
      </c>
      <c r="G217" s="1"/>
      <c r="H217" s="61" t="str">
        <f>_xlfn.XLOOKUP(tblRequirementMeasureXref[[#This Row],[msr_id]],tblMeasure[msr_id],tblMeasure[msr_table])</f>
        <v>T17.NCE</v>
      </c>
      <c r="I217" s="22" t="str">
        <f>_xlfn.XLOOKUP(tblRequirementMeasureXref[[#This Row],[msr_id]],tblMeasure[msr_id],tblMeasure[msr_name])</f>
        <v>Net Current Expenditure on long and short term care, by care type and age band, year on year comparison, 2017-18 and 2018-19</v>
      </c>
      <c r="J217" s="22" t="str">
        <f>_xlfn.XLOOKUP(tblRequirementMeasureXref[[#This Row],[msr_id]],tblMeasure[msr_id],tblMeasure[primary_dimensions])</f>
        <v>expenditure</v>
      </c>
      <c r="K217" s="22" t="str">
        <f>_xlfn.XLOOKUP(tblRequirementMeasureXref[[#This Row],[msr_id]],tblMeasure[msr_id],tblMeasure[msr_min_geo_resolution])</f>
        <v>LA</v>
      </c>
      <c r="L217" s="22" t="str">
        <f>_xlfn.XLOOKUP(tblRequirementMeasureXref[[#This Row],[msr_id]],tblMeasure[msr_id],tblMeasure[src_name])</f>
        <v>Adult Social Care Activity and Finance Report</v>
      </c>
    </row>
    <row r="218" spans="1:12" x14ac:dyDescent="0.15">
      <c r="A218" s="1" t="str">
        <f>_xlfn.XLOOKUP(tblRequirementMeasureXref[[#This Row],[dm_id]],tblDataRequirement[dm_id],tblDataRequirement[domain_sub_requirement])</f>
        <v>Users:Demographics:Age</v>
      </c>
      <c r="B218" s="1" t="str">
        <f>_xlfn.XLOOKUP(tblRequirementMeasureXref[[#This Row],[dm_id]],tblDataRequirement[dm_id],tblDataRequirement[dm_phase])</f>
        <v>demand</v>
      </c>
      <c r="C218" s="1">
        <v>51</v>
      </c>
      <c r="D218" s="1">
        <v>59</v>
      </c>
      <c r="G218" s="1"/>
      <c r="H218" s="61" t="str">
        <f>_xlfn.XLOOKUP(tblRequirementMeasureXref[[#This Row],[msr_id]],tblMeasure[msr_id],tblMeasure[msr_table])</f>
        <v>T18.NCE</v>
      </c>
      <c r="I218" s="22" t="str">
        <f>_xlfn.XLOOKUP(tblRequirementMeasureXref[[#This Row],[msr_id]],tblMeasure[msr_id],tblMeasure[msr_name])</f>
        <v>Net Current Expenditure on long and short term care combined, by age band and primary support reason, 2018-19</v>
      </c>
      <c r="J218" s="22" t="str">
        <f>_xlfn.XLOOKUP(tblRequirementMeasureXref[[#This Row],[msr_id]],tblMeasure[msr_id],tblMeasure[primary_dimensions])</f>
        <v>expenditure</v>
      </c>
      <c r="K218" s="22" t="str">
        <f>_xlfn.XLOOKUP(tblRequirementMeasureXref[[#This Row],[msr_id]],tblMeasure[msr_id],tblMeasure[msr_min_geo_resolution])</f>
        <v>LA</v>
      </c>
      <c r="L218" s="22" t="str">
        <f>_xlfn.XLOOKUP(tblRequirementMeasureXref[[#This Row],[msr_id]],tblMeasure[msr_id],tblMeasure[src_name])</f>
        <v>Adult Social Care Activity and Finance Report</v>
      </c>
    </row>
    <row r="219" spans="1:12" x14ac:dyDescent="0.15">
      <c r="A219" s="1" t="str">
        <f>_xlfn.XLOOKUP(tblRequirementMeasureXref[[#This Row],[dm_id]],tblDataRequirement[dm_id],tblDataRequirement[domain_sub_requirement])</f>
        <v>Funders:Expenditure:Local authorities</v>
      </c>
      <c r="B219" s="1" t="str">
        <f>_xlfn.XLOOKUP(tblRequirementMeasureXref[[#This Row],[dm_id]],tblDataRequirement[dm_id],tblDataRequirement[dm_phase])</f>
        <v>supply</v>
      </c>
      <c r="C219" s="1">
        <v>3</v>
      </c>
      <c r="D219" s="1">
        <v>59</v>
      </c>
      <c r="G219" s="1"/>
      <c r="H219" s="61" t="str">
        <f>_xlfn.XLOOKUP(tblRequirementMeasureXref[[#This Row],[msr_id]],tblMeasure[msr_id],tblMeasure[msr_table])</f>
        <v>T18.NCE</v>
      </c>
      <c r="I219" s="22" t="str">
        <f>_xlfn.XLOOKUP(tblRequirementMeasureXref[[#This Row],[msr_id]],tblMeasure[msr_id],tblMeasure[msr_name])</f>
        <v>Net Current Expenditure on long and short term care combined, by age band and primary support reason, 2018-19</v>
      </c>
      <c r="J219" s="22" t="str">
        <f>_xlfn.XLOOKUP(tblRequirementMeasureXref[[#This Row],[msr_id]],tblMeasure[msr_id],tblMeasure[primary_dimensions])</f>
        <v>expenditure</v>
      </c>
      <c r="K219" s="22" t="str">
        <f>_xlfn.XLOOKUP(tblRequirementMeasureXref[[#This Row],[msr_id]],tblMeasure[msr_id],tblMeasure[msr_min_geo_resolution])</f>
        <v>LA</v>
      </c>
      <c r="L219" s="22" t="str">
        <f>_xlfn.XLOOKUP(tblRequirementMeasureXref[[#This Row],[msr_id]],tblMeasure[msr_id],tblMeasure[src_name])</f>
        <v>Adult Social Care Activity and Finance Report</v>
      </c>
    </row>
    <row r="220" spans="1:12" x14ac:dyDescent="0.15">
      <c r="A220" s="1" t="str">
        <f>_xlfn.XLOOKUP(tblRequirementMeasureXref[[#This Row],[dm_id]],tblDataRequirement[dm_id],tblDataRequirement[domain_sub_requirement])</f>
        <v>Service:Support type:Short-term</v>
      </c>
      <c r="B220" s="1" t="str">
        <f>_xlfn.XLOOKUP(tblRequirementMeasureXref[[#This Row],[dm_id]],tblDataRequirement[dm_id],tblDataRequirement[dm_phase])</f>
        <v>operate</v>
      </c>
      <c r="C220" s="1">
        <v>44</v>
      </c>
      <c r="D220" s="1">
        <v>59</v>
      </c>
      <c r="G220" s="1"/>
      <c r="H220" s="61" t="str">
        <f>_xlfn.XLOOKUP(tblRequirementMeasureXref[[#This Row],[msr_id]],tblMeasure[msr_id],tblMeasure[msr_table])</f>
        <v>T18.NCE</v>
      </c>
      <c r="I220" s="22" t="str">
        <f>_xlfn.XLOOKUP(tblRequirementMeasureXref[[#This Row],[msr_id]],tblMeasure[msr_id],tblMeasure[msr_name])</f>
        <v>Net Current Expenditure on long and short term care combined, by age band and primary support reason, 2018-19</v>
      </c>
      <c r="J220" s="22" t="str">
        <f>_xlfn.XLOOKUP(tblRequirementMeasureXref[[#This Row],[msr_id]],tblMeasure[msr_id],tblMeasure[primary_dimensions])</f>
        <v>expenditure</v>
      </c>
      <c r="K220" s="22" t="str">
        <f>_xlfn.XLOOKUP(tblRequirementMeasureXref[[#This Row],[msr_id]],tblMeasure[msr_id],tblMeasure[msr_min_geo_resolution])</f>
        <v>LA</v>
      </c>
      <c r="L220" s="22" t="str">
        <f>_xlfn.XLOOKUP(tblRequirementMeasureXref[[#This Row],[msr_id]],tblMeasure[msr_id],tblMeasure[src_name])</f>
        <v>Adult Social Care Activity and Finance Report</v>
      </c>
    </row>
    <row r="221" spans="1:12" x14ac:dyDescent="0.15">
      <c r="A221" s="1" t="str">
        <f>_xlfn.XLOOKUP(tblRequirementMeasureXref[[#This Row],[dm_id]],tblDataRequirement[dm_id],tblDataRequirement[domain_sub_requirement])</f>
        <v>Service:Support type:Long-term</v>
      </c>
      <c r="B221" s="1" t="str">
        <f>_xlfn.XLOOKUP(tblRequirementMeasureXref[[#This Row],[dm_id]],tblDataRequirement[dm_id],tblDataRequirement[dm_phase])</f>
        <v>operate</v>
      </c>
      <c r="C221" s="1">
        <v>45</v>
      </c>
      <c r="D221" s="1">
        <v>59</v>
      </c>
      <c r="G221" s="1"/>
      <c r="H221" s="61" t="str">
        <f>_xlfn.XLOOKUP(tblRequirementMeasureXref[[#This Row],[msr_id]],tblMeasure[msr_id],tblMeasure[msr_table])</f>
        <v>T18.NCE</v>
      </c>
      <c r="I221" s="22" t="str">
        <f>_xlfn.XLOOKUP(tblRequirementMeasureXref[[#This Row],[msr_id]],tblMeasure[msr_id],tblMeasure[msr_name])</f>
        <v>Net Current Expenditure on long and short term care combined, by age band and primary support reason, 2018-19</v>
      </c>
      <c r="J221" s="22" t="str">
        <f>_xlfn.XLOOKUP(tblRequirementMeasureXref[[#This Row],[msr_id]],tblMeasure[msr_id],tblMeasure[primary_dimensions])</f>
        <v>expenditure</v>
      </c>
      <c r="K221" s="22" t="str">
        <f>_xlfn.XLOOKUP(tblRequirementMeasureXref[[#This Row],[msr_id]],tblMeasure[msr_id],tblMeasure[msr_min_geo_resolution])</f>
        <v>LA</v>
      </c>
      <c r="L221" s="22" t="str">
        <f>_xlfn.XLOOKUP(tblRequirementMeasureXref[[#This Row],[msr_id]],tblMeasure[msr_id],tblMeasure[src_name])</f>
        <v>Adult Social Care Activity and Finance Report</v>
      </c>
    </row>
    <row r="222" spans="1:12" x14ac:dyDescent="0.15">
      <c r="A222" s="1" t="str">
        <f>_xlfn.XLOOKUP(tblRequirementMeasureXref[[#This Row],[dm_id]],tblDataRequirement[dm_id],tblDataRequirement[domain_sub_requirement])</f>
        <v>Users:Care need:Support reason</v>
      </c>
      <c r="B222" s="1" t="str">
        <f>_xlfn.XLOOKUP(tblRequirementMeasureXref[[#This Row],[dm_id]],tblDataRequirement[dm_id],tblDataRequirement[dm_phase])</f>
        <v>demand</v>
      </c>
      <c r="C222" s="1">
        <v>56</v>
      </c>
      <c r="D222" s="1">
        <v>59</v>
      </c>
      <c r="G222" s="1"/>
      <c r="H222" s="61" t="str">
        <f>_xlfn.XLOOKUP(tblRequirementMeasureXref[[#This Row],[msr_id]],tblMeasure[msr_id],tblMeasure[msr_table])</f>
        <v>T18.NCE</v>
      </c>
      <c r="I222" s="22" t="str">
        <f>_xlfn.XLOOKUP(tblRequirementMeasureXref[[#This Row],[msr_id]],tblMeasure[msr_id],tblMeasure[msr_name])</f>
        <v>Net Current Expenditure on long and short term care combined, by age band and primary support reason, 2018-19</v>
      </c>
      <c r="J222" s="22" t="str">
        <f>_xlfn.XLOOKUP(tblRequirementMeasureXref[[#This Row],[msr_id]],tblMeasure[msr_id],tblMeasure[primary_dimensions])</f>
        <v>expenditure</v>
      </c>
      <c r="K222" s="22" t="str">
        <f>_xlfn.XLOOKUP(tblRequirementMeasureXref[[#This Row],[msr_id]],tblMeasure[msr_id],tblMeasure[msr_min_geo_resolution])</f>
        <v>LA</v>
      </c>
      <c r="L222" s="22" t="str">
        <f>_xlfn.XLOOKUP(tblRequirementMeasureXref[[#This Row],[msr_id]],tblMeasure[msr_id],tblMeasure[src_name])</f>
        <v>Adult Social Care Activity and Finance Report</v>
      </c>
    </row>
    <row r="223" spans="1:12" x14ac:dyDescent="0.15">
      <c r="A223" s="1" t="str">
        <f>_xlfn.XLOOKUP(tblRequirementMeasureXref[[#This Row],[dm_id]],tblDataRequirement[dm_id],tblDataRequirement[domain_sub_requirement])</f>
        <v>Users:Demographics:Age</v>
      </c>
      <c r="B223" s="1" t="str">
        <f>_xlfn.XLOOKUP(tblRequirementMeasureXref[[#This Row],[dm_id]],tblDataRequirement[dm_id],tblDataRequirement[dm_phase])</f>
        <v>demand</v>
      </c>
      <c r="C223" s="1">
        <v>51</v>
      </c>
      <c r="D223" s="1">
        <v>60</v>
      </c>
      <c r="G223" s="1"/>
      <c r="H223" s="61" t="str">
        <f>_xlfn.XLOOKUP(tblRequirementMeasureXref[[#This Row],[msr_id]],tblMeasure[msr_id],tblMeasure[msr_table])</f>
        <v>T19.NCE</v>
      </c>
      <c r="I223" s="22" t="str">
        <f>_xlfn.XLOOKUP(tblRequirementMeasureXref[[#This Row],[msr_id]],tblMeasure[msr_id],tblMeasure[msr_name])</f>
        <v>Net Current Expenditure on long and short term care for clients aged 18 to 64, by care type and primary support reason, 2018-19</v>
      </c>
      <c r="J223" s="22" t="str">
        <f>_xlfn.XLOOKUP(tblRequirementMeasureXref[[#This Row],[msr_id]],tblMeasure[msr_id],tblMeasure[primary_dimensions])</f>
        <v>expenditure</v>
      </c>
      <c r="K223" s="22" t="str">
        <f>_xlfn.XLOOKUP(tblRequirementMeasureXref[[#This Row],[msr_id]],tblMeasure[msr_id],tblMeasure[msr_min_geo_resolution])</f>
        <v>LA</v>
      </c>
      <c r="L223" s="22" t="str">
        <f>_xlfn.XLOOKUP(tblRequirementMeasureXref[[#This Row],[msr_id]],tblMeasure[msr_id],tblMeasure[src_name])</f>
        <v>Adult Social Care Activity and Finance Report</v>
      </c>
    </row>
    <row r="224" spans="1:12" x14ac:dyDescent="0.15">
      <c r="A224" s="1" t="str">
        <f>_xlfn.XLOOKUP(tblRequirementMeasureXref[[#This Row],[dm_id]],tblDataRequirement[dm_id],tblDataRequirement[domain_sub_requirement])</f>
        <v>Funders:Expenditure:Local authorities</v>
      </c>
      <c r="B224" s="1" t="str">
        <f>_xlfn.XLOOKUP(tblRequirementMeasureXref[[#This Row],[dm_id]],tblDataRequirement[dm_id],tblDataRequirement[dm_phase])</f>
        <v>supply</v>
      </c>
      <c r="C224" s="1">
        <v>3</v>
      </c>
      <c r="D224" s="1">
        <v>60</v>
      </c>
      <c r="G224" s="1"/>
      <c r="H224" s="61" t="str">
        <f>_xlfn.XLOOKUP(tblRequirementMeasureXref[[#This Row],[msr_id]],tblMeasure[msr_id],tblMeasure[msr_table])</f>
        <v>T19.NCE</v>
      </c>
      <c r="I224" s="22" t="str">
        <f>_xlfn.XLOOKUP(tblRequirementMeasureXref[[#This Row],[msr_id]],tblMeasure[msr_id],tblMeasure[msr_name])</f>
        <v>Net Current Expenditure on long and short term care for clients aged 18 to 64, by care type and primary support reason, 2018-19</v>
      </c>
      <c r="J224" s="22" t="str">
        <f>_xlfn.XLOOKUP(tblRequirementMeasureXref[[#This Row],[msr_id]],tblMeasure[msr_id],tblMeasure[primary_dimensions])</f>
        <v>expenditure</v>
      </c>
      <c r="K224" s="22" t="str">
        <f>_xlfn.XLOOKUP(tblRequirementMeasureXref[[#This Row],[msr_id]],tblMeasure[msr_id],tblMeasure[msr_min_geo_resolution])</f>
        <v>LA</v>
      </c>
      <c r="L224" s="22" t="str">
        <f>_xlfn.XLOOKUP(tblRequirementMeasureXref[[#This Row],[msr_id]],tblMeasure[msr_id],tblMeasure[src_name])</f>
        <v>Adult Social Care Activity and Finance Report</v>
      </c>
    </row>
    <row r="225" spans="1:12" x14ac:dyDescent="0.15">
      <c r="A225" s="1" t="str">
        <f>_xlfn.XLOOKUP(tblRequirementMeasureXref[[#This Row],[dm_id]],tblDataRequirement[dm_id],tblDataRequirement[domain_sub_requirement])</f>
        <v>Service:Support type:Short-term</v>
      </c>
      <c r="B225" s="1" t="str">
        <f>_xlfn.XLOOKUP(tblRequirementMeasureXref[[#This Row],[dm_id]],tblDataRequirement[dm_id],tblDataRequirement[dm_phase])</f>
        <v>operate</v>
      </c>
      <c r="C225" s="1">
        <v>44</v>
      </c>
      <c r="D225" s="1">
        <v>60</v>
      </c>
      <c r="G225" s="1"/>
      <c r="H225" s="61" t="str">
        <f>_xlfn.XLOOKUP(tblRequirementMeasureXref[[#This Row],[msr_id]],tblMeasure[msr_id],tblMeasure[msr_table])</f>
        <v>T19.NCE</v>
      </c>
      <c r="I225" s="22" t="str">
        <f>_xlfn.XLOOKUP(tblRequirementMeasureXref[[#This Row],[msr_id]],tblMeasure[msr_id],tblMeasure[msr_name])</f>
        <v>Net Current Expenditure on long and short term care for clients aged 18 to 64, by care type and primary support reason, 2018-19</v>
      </c>
      <c r="J225" s="22" t="str">
        <f>_xlfn.XLOOKUP(tblRequirementMeasureXref[[#This Row],[msr_id]],tblMeasure[msr_id],tblMeasure[primary_dimensions])</f>
        <v>expenditure</v>
      </c>
      <c r="K225" s="22" t="str">
        <f>_xlfn.XLOOKUP(tblRequirementMeasureXref[[#This Row],[msr_id]],tblMeasure[msr_id],tblMeasure[msr_min_geo_resolution])</f>
        <v>LA</v>
      </c>
      <c r="L225" s="22" t="str">
        <f>_xlfn.XLOOKUP(tblRequirementMeasureXref[[#This Row],[msr_id]],tblMeasure[msr_id],tblMeasure[src_name])</f>
        <v>Adult Social Care Activity and Finance Report</v>
      </c>
    </row>
    <row r="226" spans="1:12" x14ac:dyDescent="0.15">
      <c r="A226" s="1" t="str">
        <f>_xlfn.XLOOKUP(tblRequirementMeasureXref[[#This Row],[dm_id]],tblDataRequirement[dm_id],tblDataRequirement[domain_sub_requirement])</f>
        <v>Service:Support type:Long-term</v>
      </c>
      <c r="B226" s="1" t="str">
        <f>_xlfn.XLOOKUP(tblRequirementMeasureXref[[#This Row],[dm_id]],tblDataRequirement[dm_id],tblDataRequirement[dm_phase])</f>
        <v>operate</v>
      </c>
      <c r="C226" s="1">
        <v>45</v>
      </c>
      <c r="D226" s="1">
        <v>60</v>
      </c>
      <c r="G226" s="1"/>
      <c r="H226" s="61" t="str">
        <f>_xlfn.XLOOKUP(tblRequirementMeasureXref[[#This Row],[msr_id]],tblMeasure[msr_id],tblMeasure[msr_table])</f>
        <v>T19.NCE</v>
      </c>
      <c r="I226" s="22" t="str">
        <f>_xlfn.XLOOKUP(tblRequirementMeasureXref[[#This Row],[msr_id]],tblMeasure[msr_id],tblMeasure[msr_name])</f>
        <v>Net Current Expenditure on long and short term care for clients aged 18 to 64, by care type and primary support reason, 2018-19</v>
      </c>
      <c r="J226" s="22" t="str">
        <f>_xlfn.XLOOKUP(tblRequirementMeasureXref[[#This Row],[msr_id]],tblMeasure[msr_id],tblMeasure[primary_dimensions])</f>
        <v>expenditure</v>
      </c>
      <c r="K226" s="22" t="str">
        <f>_xlfn.XLOOKUP(tblRequirementMeasureXref[[#This Row],[msr_id]],tblMeasure[msr_id],tblMeasure[msr_min_geo_resolution])</f>
        <v>LA</v>
      </c>
      <c r="L226" s="22" t="str">
        <f>_xlfn.XLOOKUP(tblRequirementMeasureXref[[#This Row],[msr_id]],tblMeasure[msr_id],tblMeasure[src_name])</f>
        <v>Adult Social Care Activity and Finance Report</v>
      </c>
    </row>
    <row r="227" spans="1:12" x14ac:dyDescent="0.15">
      <c r="A227" s="1" t="str">
        <f>_xlfn.XLOOKUP(tblRequirementMeasureXref[[#This Row],[dm_id]],tblDataRequirement[dm_id],tblDataRequirement[domain_sub_requirement])</f>
        <v>Users:Care need:Support reason</v>
      </c>
      <c r="B227" s="1" t="str">
        <f>_xlfn.XLOOKUP(tblRequirementMeasureXref[[#This Row],[dm_id]],tblDataRequirement[dm_id],tblDataRequirement[dm_phase])</f>
        <v>demand</v>
      </c>
      <c r="C227" s="1">
        <v>56</v>
      </c>
      <c r="D227" s="1">
        <v>60</v>
      </c>
      <c r="G227" s="1"/>
      <c r="H227" s="61" t="str">
        <f>_xlfn.XLOOKUP(tblRequirementMeasureXref[[#This Row],[msr_id]],tblMeasure[msr_id],tblMeasure[msr_table])</f>
        <v>T19.NCE</v>
      </c>
      <c r="I227" s="22" t="str">
        <f>_xlfn.XLOOKUP(tblRequirementMeasureXref[[#This Row],[msr_id]],tblMeasure[msr_id],tblMeasure[msr_name])</f>
        <v>Net Current Expenditure on long and short term care for clients aged 18 to 64, by care type and primary support reason, 2018-19</v>
      </c>
      <c r="J227" s="22" t="str">
        <f>_xlfn.XLOOKUP(tblRequirementMeasureXref[[#This Row],[msr_id]],tblMeasure[msr_id],tblMeasure[primary_dimensions])</f>
        <v>expenditure</v>
      </c>
      <c r="K227" s="22" t="str">
        <f>_xlfn.XLOOKUP(tblRequirementMeasureXref[[#This Row],[msr_id]],tblMeasure[msr_id],tblMeasure[msr_min_geo_resolution])</f>
        <v>LA</v>
      </c>
      <c r="L227" s="22" t="str">
        <f>_xlfn.XLOOKUP(tblRequirementMeasureXref[[#This Row],[msr_id]],tblMeasure[msr_id],tblMeasure[src_name])</f>
        <v>Adult Social Care Activity and Finance Report</v>
      </c>
    </row>
    <row r="228" spans="1:12" x14ac:dyDescent="0.15">
      <c r="A228" s="1" t="str">
        <f>_xlfn.XLOOKUP(tblRequirementMeasureXref[[#This Row],[dm_id]],tblDataRequirement[dm_id],tblDataRequirement[domain_sub_requirement])</f>
        <v>Users:Demographics:Age</v>
      </c>
      <c r="B228" s="1" t="str">
        <f>_xlfn.XLOOKUP(tblRequirementMeasureXref[[#This Row],[dm_id]],tblDataRequirement[dm_id],tblDataRequirement[dm_phase])</f>
        <v>demand</v>
      </c>
      <c r="C228" s="1">
        <v>51</v>
      </c>
      <c r="D228" s="1">
        <v>61</v>
      </c>
      <c r="G228" s="1"/>
      <c r="H228" s="61" t="str">
        <f>_xlfn.XLOOKUP(tblRequirementMeasureXref[[#This Row],[msr_id]],tblMeasure[msr_id],tblMeasure[msr_table])</f>
        <v>T20.NCE</v>
      </c>
      <c r="I228" s="22" t="str">
        <f>_xlfn.XLOOKUP(tblRequirementMeasureXref[[#This Row],[msr_id]],tblMeasure[msr_id],tblMeasure[msr_name])</f>
        <v>Net Current Expenditure on long and short term care for clients aged 65 and over, by care type and primary support reason, 2018-19</v>
      </c>
      <c r="J228" s="22" t="str">
        <f>_xlfn.XLOOKUP(tblRequirementMeasureXref[[#This Row],[msr_id]],tblMeasure[msr_id],tblMeasure[primary_dimensions])</f>
        <v>expenditure</v>
      </c>
      <c r="K228" s="22" t="str">
        <f>_xlfn.XLOOKUP(tblRequirementMeasureXref[[#This Row],[msr_id]],tblMeasure[msr_id],tblMeasure[msr_min_geo_resolution])</f>
        <v>LA</v>
      </c>
      <c r="L228" s="22" t="str">
        <f>_xlfn.XLOOKUP(tblRequirementMeasureXref[[#This Row],[msr_id]],tblMeasure[msr_id],tblMeasure[src_name])</f>
        <v>Adult Social Care Activity and Finance Report</v>
      </c>
    </row>
    <row r="229" spans="1:12" x14ac:dyDescent="0.15">
      <c r="A229" s="1" t="str">
        <f>_xlfn.XLOOKUP(tblRequirementMeasureXref[[#This Row],[dm_id]],tblDataRequirement[dm_id],tblDataRequirement[domain_sub_requirement])</f>
        <v>Funders:Expenditure:Local authorities</v>
      </c>
      <c r="B229" s="1" t="str">
        <f>_xlfn.XLOOKUP(tblRequirementMeasureXref[[#This Row],[dm_id]],tblDataRequirement[dm_id],tblDataRequirement[dm_phase])</f>
        <v>supply</v>
      </c>
      <c r="C229" s="1">
        <v>3</v>
      </c>
      <c r="D229" s="1">
        <v>61</v>
      </c>
      <c r="G229" s="1"/>
      <c r="H229" s="61" t="str">
        <f>_xlfn.XLOOKUP(tblRequirementMeasureXref[[#This Row],[msr_id]],tblMeasure[msr_id],tblMeasure[msr_table])</f>
        <v>T20.NCE</v>
      </c>
      <c r="I229" s="22" t="str">
        <f>_xlfn.XLOOKUP(tblRequirementMeasureXref[[#This Row],[msr_id]],tblMeasure[msr_id],tblMeasure[msr_name])</f>
        <v>Net Current Expenditure on long and short term care for clients aged 65 and over, by care type and primary support reason, 2018-19</v>
      </c>
      <c r="J229" s="22" t="str">
        <f>_xlfn.XLOOKUP(tblRequirementMeasureXref[[#This Row],[msr_id]],tblMeasure[msr_id],tblMeasure[primary_dimensions])</f>
        <v>expenditure</v>
      </c>
      <c r="K229" s="22" t="str">
        <f>_xlfn.XLOOKUP(tblRequirementMeasureXref[[#This Row],[msr_id]],tblMeasure[msr_id],tblMeasure[msr_min_geo_resolution])</f>
        <v>LA</v>
      </c>
      <c r="L229" s="22" t="str">
        <f>_xlfn.XLOOKUP(tblRequirementMeasureXref[[#This Row],[msr_id]],tblMeasure[msr_id],tblMeasure[src_name])</f>
        <v>Adult Social Care Activity and Finance Report</v>
      </c>
    </row>
    <row r="230" spans="1:12" x14ac:dyDescent="0.15">
      <c r="A230" s="1" t="str">
        <f>_xlfn.XLOOKUP(tblRequirementMeasureXref[[#This Row],[dm_id]],tblDataRequirement[dm_id],tblDataRequirement[domain_sub_requirement])</f>
        <v>Service:Support type:Short-term</v>
      </c>
      <c r="B230" s="1" t="str">
        <f>_xlfn.XLOOKUP(tblRequirementMeasureXref[[#This Row],[dm_id]],tblDataRequirement[dm_id],tblDataRequirement[dm_phase])</f>
        <v>operate</v>
      </c>
      <c r="C230" s="1">
        <v>44</v>
      </c>
      <c r="D230" s="1">
        <v>61</v>
      </c>
      <c r="G230" s="1"/>
      <c r="H230" s="61" t="str">
        <f>_xlfn.XLOOKUP(tblRequirementMeasureXref[[#This Row],[msr_id]],tblMeasure[msr_id],tblMeasure[msr_table])</f>
        <v>T20.NCE</v>
      </c>
      <c r="I230" s="22" t="str">
        <f>_xlfn.XLOOKUP(tblRequirementMeasureXref[[#This Row],[msr_id]],tblMeasure[msr_id],tblMeasure[msr_name])</f>
        <v>Net Current Expenditure on long and short term care for clients aged 65 and over, by care type and primary support reason, 2018-19</v>
      </c>
      <c r="J230" s="22" t="str">
        <f>_xlfn.XLOOKUP(tblRequirementMeasureXref[[#This Row],[msr_id]],tblMeasure[msr_id],tblMeasure[primary_dimensions])</f>
        <v>expenditure</v>
      </c>
      <c r="K230" s="22" t="str">
        <f>_xlfn.XLOOKUP(tblRequirementMeasureXref[[#This Row],[msr_id]],tblMeasure[msr_id],tblMeasure[msr_min_geo_resolution])</f>
        <v>LA</v>
      </c>
      <c r="L230" s="22" t="str">
        <f>_xlfn.XLOOKUP(tblRequirementMeasureXref[[#This Row],[msr_id]],tblMeasure[msr_id],tblMeasure[src_name])</f>
        <v>Adult Social Care Activity and Finance Report</v>
      </c>
    </row>
    <row r="231" spans="1:12" x14ac:dyDescent="0.15">
      <c r="A231" s="1" t="str">
        <f>_xlfn.XLOOKUP(tblRequirementMeasureXref[[#This Row],[dm_id]],tblDataRequirement[dm_id],tblDataRequirement[domain_sub_requirement])</f>
        <v>Service:Support type:Long-term</v>
      </c>
      <c r="B231" s="1" t="str">
        <f>_xlfn.XLOOKUP(tblRequirementMeasureXref[[#This Row],[dm_id]],tblDataRequirement[dm_id],tblDataRequirement[dm_phase])</f>
        <v>operate</v>
      </c>
      <c r="C231" s="1">
        <v>45</v>
      </c>
      <c r="D231" s="1">
        <v>61</v>
      </c>
      <c r="G231" s="1"/>
      <c r="H231" s="61" t="str">
        <f>_xlfn.XLOOKUP(tblRequirementMeasureXref[[#This Row],[msr_id]],tblMeasure[msr_id],tblMeasure[msr_table])</f>
        <v>T20.NCE</v>
      </c>
      <c r="I231" s="22" t="str">
        <f>_xlfn.XLOOKUP(tblRequirementMeasureXref[[#This Row],[msr_id]],tblMeasure[msr_id],tblMeasure[msr_name])</f>
        <v>Net Current Expenditure on long and short term care for clients aged 65 and over, by care type and primary support reason, 2018-19</v>
      </c>
      <c r="J231" s="22" t="str">
        <f>_xlfn.XLOOKUP(tblRequirementMeasureXref[[#This Row],[msr_id]],tblMeasure[msr_id],tblMeasure[primary_dimensions])</f>
        <v>expenditure</v>
      </c>
      <c r="K231" s="22" t="str">
        <f>_xlfn.XLOOKUP(tblRequirementMeasureXref[[#This Row],[msr_id]],tblMeasure[msr_id],tblMeasure[msr_min_geo_resolution])</f>
        <v>LA</v>
      </c>
      <c r="L231" s="22" t="str">
        <f>_xlfn.XLOOKUP(tblRequirementMeasureXref[[#This Row],[msr_id]],tblMeasure[msr_id],tblMeasure[src_name])</f>
        <v>Adult Social Care Activity and Finance Report</v>
      </c>
    </row>
    <row r="232" spans="1:12" x14ac:dyDescent="0.15">
      <c r="A232" s="1" t="str">
        <f>_xlfn.XLOOKUP(tblRequirementMeasureXref[[#This Row],[dm_id]],tblDataRequirement[dm_id],tblDataRequirement[domain_sub_requirement])</f>
        <v>Users:Care need:Support reason</v>
      </c>
      <c r="B232" s="1" t="str">
        <f>_xlfn.XLOOKUP(tblRequirementMeasureXref[[#This Row],[dm_id]],tblDataRequirement[dm_id],tblDataRequirement[dm_phase])</f>
        <v>demand</v>
      </c>
      <c r="C232" s="1">
        <v>56</v>
      </c>
      <c r="D232" s="1">
        <v>61</v>
      </c>
      <c r="G232" s="1"/>
      <c r="H232" s="61" t="str">
        <f>_xlfn.XLOOKUP(tblRequirementMeasureXref[[#This Row],[msr_id]],tblMeasure[msr_id],tblMeasure[msr_table])</f>
        <v>T20.NCE</v>
      </c>
      <c r="I232" s="22" t="str">
        <f>_xlfn.XLOOKUP(tblRequirementMeasureXref[[#This Row],[msr_id]],tblMeasure[msr_id],tblMeasure[msr_name])</f>
        <v>Net Current Expenditure on long and short term care for clients aged 65 and over, by care type and primary support reason, 2018-19</v>
      </c>
      <c r="J232" s="22" t="str">
        <f>_xlfn.XLOOKUP(tblRequirementMeasureXref[[#This Row],[msr_id]],tblMeasure[msr_id],tblMeasure[primary_dimensions])</f>
        <v>expenditure</v>
      </c>
      <c r="K232" s="22" t="str">
        <f>_xlfn.XLOOKUP(tblRequirementMeasureXref[[#This Row],[msr_id]],tblMeasure[msr_id],tblMeasure[msr_min_geo_resolution])</f>
        <v>LA</v>
      </c>
      <c r="L232" s="22" t="str">
        <f>_xlfn.XLOOKUP(tblRequirementMeasureXref[[#This Row],[msr_id]],tblMeasure[msr_id],tblMeasure[src_name])</f>
        <v>Adult Social Care Activity and Finance Report</v>
      </c>
    </row>
    <row r="233" spans="1:12" x14ac:dyDescent="0.15">
      <c r="A233" s="1" t="str">
        <f>_xlfn.XLOOKUP(tblRequirementMeasureXref[[#This Row],[dm_id]],tblDataRequirement[dm_id],tblDataRequirement[domain_sub_requirement])</f>
        <v>Users:Demographics:Age</v>
      </c>
      <c r="B233" s="1" t="str">
        <f>_xlfn.XLOOKUP(tblRequirementMeasureXref[[#This Row],[dm_id]],tblDataRequirement[dm_id],tblDataRequirement[dm_phase])</f>
        <v>demand</v>
      </c>
      <c r="C233" s="1">
        <v>51</v>
      </c>
      <c r="D233" s="1">
        <v>62</v>
      </c>
      <c r="G233" s="1"/>
      <c r="H233" s="61" t="str">
        <f>_xlfn.XLOOKUP(tblRequirementMeasureXref[[#This Row],[msr_id]],tblMeasure[msr_id],tblMeasure[msr_table])</f>
        <v>T29.NCE</v>
      </c>
      <c r="I233" s="22" t="str">
        <f>_xlfn.XLOOKUP(tblRequirementMeasureXref[[#This Row],[msr_id]],tblMeasure[msr_id],tblMeasure[msr_name])</f>
        <v>Net Current Expenditure on short term care, by purpose, age band and primary support reason, 2018-19</v>
      </c>
      <c r="J233" s="22" t="str">
        <f>_xlfn.XLOOKUP(tblRequirementMeasureXref[[#This Row],[msr_id]],tblMeasure[msr_id],tblMeasure[primary_dimensions])</f>
        <v>expenditure, purpose</v>
      </c>
      <c r="K233" s="22" t="str">
        <f>_xlfn.XLOOKUP(tblRequirementMeasureXref[[#This Row],[msr_id]],tblMeasure[msr_id],tblMeasure[msr_min_geo_resolution])</f>
        <v>England</v>
      </c>
      <c r="L233" s="22" t="str">
        <f>_xlfn.XLOOKUP(tblRequirementMeasureXref[[#This Row],[msr_id]],tblMeasure[msr_id],tblMeasure[src_name])</f>
        <v>Adult Social Care Activity and Finance Report</v>
      </c>
    </row>
    <row r="234" spans="1:12" x14ac:dyDescent="0.15">
      <c r="A234" s="1" t="str">
        <f>_xlfn.XLOOKUP(tblRequirementMeasureXref[[#This Row],[dm_id]],tblDataRequirement[dm_id],tblDataRequirement[domain_sub_requirement])</f>
        <v>Funders:Expenditure:Local authorities</v>
      </c>
      <c r="B234" s="1" t="str">
        <f>_xlfn.XLOOKUP(tblRequirementMeasureXref[[#This Row],[dm_id]],tblDataRequirement[dm_id],tblDataRequirement[dm_phase])</f>
        <v>supply</v>
      </c>
      <c r="C234" s="1">
        <v>3</v>
      </c>
      <c r="D234" s="1">
        <v>62</v>
      </c>
      <c r="G234" s="1"/>
      <c r="H234" s="61" t="str">
        <f>_xlfn.XLOOKUP(tblRequirementMeasureXref[[#This Row],[msr_id]],tblMeasure[msr_id],tblMeasure[msr_table])</f>
        <v>T29.NCE</v>
      </c>
      <c r="I234" s="22" t="str">
        <f>_xlfn.XLOOKUP(tblRequirementMeasureXref[[#This Row],[msr_id]],tblMeasure[msr_id],tblMeasure[msr_name])</f>
        <v>Net Current Expenditure on short term care, by purpose, age band and primary support reason, 2018-19</v>
      </c>
      <c r="J234" s="22" t="str">
        <f>_xlfn.XLOOKUP(tblRequirementMeasureXref[[#This Row],[msr_id]],tblMeasure[msr_id],tblMeasure[primary_dimensions])</f>
        <v>expenditure, purpose</v>
      </c>
      <c r="K234" s="22" t="str">
        <f>_xlfn.XLOOKUP(tblRequirementMeasureXref[[#This Row],[msr_id]],tblMeasure[msr_id],tblMeasure[msr_min_geo_resolution])</f>
        <v>England</v>
      </c>
      <c r="L234" s="22" t="str">
        <f>_xlfn.XLOOKUP(tblRequirementMeasureXref[[#This Row],[msr_id]],tblMeasure[msr_id],tblMeasure[src_name])</f>
        <v>Adult Social Care Activity and Finance Report</v>
      </c>
    </row>
    <row r="235" spans="1:12" x14ac:dyDescent="0.15">
      <c r="A235" s="1" t="str">
        <f>_xlfn.XLOOKUP(tblRequirementMeasureXref[[#This Row],[dm_id]],tblDataRequirement[dm_id],tblDataRequirement[domain_sub_requirement])</f>
        <v>Service:Support type:Short-term</v>
      </c>
      <c r="B235" s="1" t="str">
        <f>_xlfn.XLOOKUP(tblRequirementMeasureXref[[#This Row],[dm_id]],tblDataRequirement[dm_id],tblDataRequirement[dm_phase])</f>
        <v>operate</v>
      </c>
      <c r="C235" s="1">
        <v>44</v>
      </c>
      <c r="D235" s="1">
        <v>62</v>
      </c>
      <c r="G235" s="1"/>
      <c r="H235" s="62" t="str">
        <f>_xlfn.XLOOKUP(tblRequirementMeasureXref[[#This Row],[msr_id]],tblMeasure[msr_id],tblMeasure[msr_table])</f>
        <v>T29.NCE</v>
      </c>
      <c r="I235" s="22" t="str">
        <f>_xlfn.XLOOKUP(tblRequirementMeasureXref[[#This Row],[msr_id]],tblMeasure[msr_id],tblMeasure[msr_name])</f>
        <v>Net Current Expenditure on short term care, by purpose, age band and primary support reason, 2018-19</v>
      </c>
      <c r="J235" s="22" t="str">
        <f>_xlfn.XLOOKUP(tblRequirementMeasureXref[[#This Row],[msr_id]],tblMeasure[msr_id],tblMeasure[primary_dimensions])</f>
        <v>expenditure, purpose</v>
      </c>
      <c r="K235" s="22" t="str">
        <f>_xlfn.XLOOKUP(tblRequirementMeasureXref[[#This Row],[msr_id]],tblMeasure[msr_id],tblMeasure[msr_min_geo_resolution])</f>
        <v>England</v>
      </c>
      <c r="L235" s="22" t="str">
        <f>_xlfn.XLOOKUP(tblRequirementMeasureXref[[#This Row],[msr_id]],tblMeasure[msr_id],tblMeasure[src_name])</f>
        <v>Adult Social Care Activity and Finance Report</v>
      </c>
    </row>
    <row r="236" spans="1:12" x14ac:dyDescent="0.15">
      <c r="A236" s="1" t="str">
        <f>_xlfn.XLOOKUP(tblRequirementMeasureXref[[#This Row],[dm_id]],tblDataRequirement[dm_id],tblDataRequirement[domain_sub_requirement])</f>
        <v>Service:Support type:Reablement / ST-MAX</v>
      </c>
      <c r="B236" s="1" t="str">
        <f>_xlfn.XLOOKUP(tblRequirementMeasureXref[[#This Row],[dm_id]],tblDataRequirement[dm_id],tblDataRequirement[dm_phase])</f>
        <v>operate</v>
      </c>
      <c r="C236" s="1">
        <v>46</v>
      </c>
      <c r="D236" s="1">
        <v>62</v>
      </c>
      <c r="G236" s="1"/>
      <c r="H236" s="62" t="str">
        <f>_xlfn.XLOOKUP(tblRequirementMeasureXref[[#This Row],[msr_id]],tblMeasure[msr_id],tblMeasure[msr_table])</f>
        <v>T29.NCE</v>
      </c>
      <c r="I236" s="22" t="str">
        <f>_xlfn.XLOOKUP(tblRequirementMeasureXref[[#This Row],[msr_id]],tblMeasure[msr_id],tblMeasure[msr_name])</f>
        <v>Net Current Expenditure on short term care, by purpose, age band and primary support reason, 2018-19</v>
      </c>
      <c r="J236" s="22" t="str">
        <f>_xlfn.XLOOKUP(tblRequirementMeasureXref[[#This Row],[msr_id]],tblMeasure[msr_id],tblMeasure[primary_dimensions])</f>
        <v>expenditure, purpose</v>
      </c>
      <c r="K236" s="22" t="str">
        <f>_xlfn.XLOOKUP(tblRequirementMeasureXref[[#This Row],[msr_id]],tblMeasure[msr_id],tblMeasure[msr_min_geo_resolution])</f>
        <v>England</v>
      </c>
      <c r="L236" s="22" t="str">
        <f>_xlfn.XLOOKUP(tblRequirementMeasureXref[[#This Row],[msr_id]],tblMeasure[msr_id],tblMeasure[src_name])</f>
        <v>Adult Social Care Activity and Finance Report</v>
      </c>
    </row>
    <row r="237" spans="1:12" x14ac:dyDescent="0.15">
      <c r="A237" s="1" t="str">
        <f>_xlfn.XLOOKUP(tblRequirementMeasureXref[[#This Row],[dm_id]],tblDataRequirement[dm_id],tblDataRequirement[domain_sub_requirement])</f>
        <v>Users:Care need:Support reason</v>
      </c>
      <c r="B237" s="1" t="str">
        <f>_xlfn.XLOOKUP(tblRequirementMeasureXref[[#This Row],[dm_id]],tblDataRequirement[dm_id],tblDataRequirement[dm_phase])</f>
        <v>demand</v>
      </c>
      <c r="C237" s="1">
        <v>56</v>
      </c>
      <c r="D237" s="1">
        <v>62</v>
      </c>
      <c r="G237" s="1"/>
      <c r="H237" s="62" t="str">
        <f>_xlfn.XLOOKUP(tblRequirementMeasureXref[[#This Row],[msr_id]],tblMeasure[msr_id],tblMeasure[msr_table])</f>
        <v>T29.NCE</v>
      </c>
      <c r="I237" s="22" t="str">
        <f>_xlfn.XLOOKUP(tblRequirementMeasureXref[[#This Row],[msr_id]],tblMeasure[msr_id],tblMeasure[msr_name])</f>
        <v>Net Current Expenditure on short term care, by purpose, age band and primary support reason, 2018-19</v>
      </c>
      <c r="J237" s="22" t="str">
        <f>_xlfn.XLOOKUP(tblRequirementMeasureXref[[#This Row],[msr_id]],tblMeasure[msr_id],tblMeasure[primary_dimensions])</f>
        <v>expenditure, purpose</v>
      </c>
      <c r="K237" s="22" t="str">
        <f>_xlfn.XLOOKUP(tblRequirementMeasureXref[[#This Row],[msr_id]],tblMeasure[msr_id],tblMeasure[msr_min_geo_resolution])</f>
        <v>England</v>
      </c>
      <c r="L237" s="22" t="str">
        <f>_xlfn.XLOOKUP(tblRequirementMeasureXref[[#This Row],[msr_id]],tblMeasure[msr_id],tblMeasure[src_name])</f>
        <v>Adult Social Care Activity and Finance Report</v>
      </c>
    </row>
    <row r="238" spans="1:12" x14ac:dyDescent="0.15">
      <c r="A238" s="1" t="str">
        <f>_xlfn.XLOOKUP(tblRequirementMeasureXref[[#This Row],[dm_id]],tblDataRequirement[dm_id],tblDataRequirement[domain_sub_requirement])</f>
        <v>Users:Demographics:Age</v>
      </c>
      <c r="B238" s="1" t="str">
        <f>_xlfn.XLOOKUP(tblRequirementMeasureXref[[#This Row],[dm_id]],tblDataRequirement[dm_id],tblDataRequirement[dm_phase])</f>
        <v>demand</v>
      </c>
      <c r="C238" s="1">
        <v>51</v>
      </c>
      <c r="D238" s="1">
        <v>63</v>
      </c>
      <c r="G238" s="1"/>
      <c r="H238" s="62" t="str">
        <f>_xlfn.XLOOKUP(tblRequirementMeasureXref[[#This Row],[msr_id]],tblMeasure[msr_id],tblMeasure[msr_table])</f>
        <v>T30.NCE</v>
      </c>
      <c r="I238" s="22" t="str">
        <f>_xlfn.XLOOKUP(tblRequirementMeasureXref[[#This Row],[msr_id]],tblMeasure[msr_id],tblMeasure[msr_name])</f>
        <v>Net Current Expenditure on short term care for clients aged 18 to 64, by purpose and primary support reason, 2018-19</v>
      </c>
      <c r="J238" s="22" t="str">
        <f>_xlfn.XLOOKUP(tblRequirementMeasureXref[[#This Row],[msr_id]],tblMeasure[msr_id],tblMeasure[primary_dimensions])</f>
        <v>expenditure, purpose</v>
      </c>
      <c r="K238" s="22" t="str">
        <f>_xlfn.XLOOKUP(tblRequirementMeasureXref[[#This Row],[msr_id]],tblMeasure[msr_id],tblMeasure[msr_min_geo_resolution])</f>
        <v>LA</v>
      </c>
      <c r="L238" s="22" t="str">
        <f>_xlfn.XLOOKUP(tblRequirementMeasureXref[[#This Row],[msr_id]],tblMeasure[msr_id],tblMeasure[src_name])</f>
        <v>Adult Social Care Activity and Finance Report</v>
      </c>
    </row>
    <row r="239" spans="1:12" x14ac:dyDescent="0.15">
      <c r="A239" s="1" t="str">
        <f>_xlfn.XLOOKUP(tblRequirementMeasureXref[[#This Row],[dm_id]],tblDataRequirement[dm_id],tblDataRequirement[domain_sub_requirement])</f>
        <v>Funders:Expenditure:Local authorities</v>
      </c>
      <c r="B239" s="1" t="str">
        <f>_xlfn.XLOOKUP(tblRequirementMeasureXref[[#This Row],[dm_id]],tblDataRequirement[dm_id],tblDataRequirement[dm_phase])</f>
        <v>supply</v>
      </c>
      <c r="C239" s="1">
        <v>3</v>
      </c>
      <c r="D239" s="1">
        <v>63</v>
      </c>
      <c r="G239" s="1"/>
      <c r="H239" s="62" t="str">
        <f>_xlfn.XLOOKUP(tblRequirementMeasureXref[[#This Row],[msr_id]],tblMeasure[msr_id],tblMeasure[msr_table])</f>
        <v>T30.NCE</v>
      </c>
      <c r="I239" s="22" t="str">
        <f>_xlfn.XLOOKUP(tblRequirementMeasureXref[[#This Row],[msr_id]],tblMeasure[msr_id],tblMeasure[msr_name])</f>
        <v>Net Current Expenditure on short term care for clients aged 18 to 64, by purpose and primary support reason, 2018-19</v>
      </c>
      <c r="J239" s="22" t="str">
        <f>_xlfn.XLOOKUP(tblRequirementMeasureXref[[#This Row],[msr_id]],tblMeasure[msr_id],tblMeasure[primary_dimensions])</f>
        <v>expenditure, purpose</v>
      </c>
      <c r="K239" s="22" t="str">
        <f>_xlfn.XLOOKUP(tblRequirementMeasureXref[[#This Row],[msr_id]],tblMeasure[msr_id],tblMeasure[msr_min_geo_resolution])</f>
        <v>LA</v>
      </c>
      <c r="L239" s="22" t="str">
        <f>_xlfn.XLOOKUP(tblRequirementMeasureXref[[#This Row],[msr_id]],tblMeasure[msr_id],tblMeasure[src_name])</f>
        <v>Adult Social Care Activity and Finance Report</v>
      </c>
    </row>
    <row r="240" spans="1:12" x14ac:dyDescent="0.15">
      <c r="A240" s="1" t="str">
        <f>_xlfn.XLOOKUP(tblRequirementMeasureXref[[#This Row],[dm_id]],tblDataRequirement[dm_id],tblDataRequirement[domain_sub_requirement])</f>
        <v>Service:Support type:Short-term</v>
      </c>
      <c r="B240" s="1" t="str">
        <f>_xlfn.XLOOKUP(tblRequirementMeasureXref[[#This Row],[dm_id]],tblDataRequirement[dm_id],tblDataRequirement[dm_phase])</f>
        <v>operate</v>
      </c>
      <c r="C240" s="1">
        <v>44</v>
      </c>
      <c r="D240" s="1">
        <v>63</v>
      </c>
      <c r="G240" s="1"/>
      <c r="H240" s="62" t="str">
        <f>_xlfn.XLOOKUP(tblRequirementMeasureXref[[#This Row],[msr_id]],tblMeasure[msr_id],tblMeasure[msr_table])</f>
        <v>T30.NCE</v>
      </c>
      <c r="I240" s="22" t="str">
        <f>_xlfn.XLOOKUP(tblRequirementMeasureXref[[#This Row],[msr_id]],tblMeasure[msr_id],tblMeasure[msr_name])</f>
        <v>Net Current Expenditure on short term care for clients aged 18 to 64, by purpose and primary support reason, 2018-19</v>
      </c>
      <c r="J240" s="22" t="str">
        <f>_xlfn.XLOOKUP(tblRequirementMeasureXref[[#This Row],[msr_id]],tblMeasure[msr_id],tblMeasure[primary_dimensions])</f>
        <v>expenditure, purpose</v>
      </c>
      <c r="K240" s="22" t="str">
        <f>_xlfn.XLOOKUP(tblRequirementMeasureXref[[#This Row],[msr_id]],tblMeasure[msr_id],tblMeasure[msr_min_geo_resolution])</f>
        <v>LA</v>
      </c>
      <c r="L240" s="22" t="str">
        <f>_xlfn.XLOOKUP(tblRequirementMeasureXref[[#This Row],[msr_id]],tblMeasure[msr_id],tblMeasure[src_name])</f>
        <v>Adult Social Care Activity and Finance Report</v>
      </c>
    </row>
    <row r="241" spans="1:12" x14ac:dyDescent="0.15">
      <c r="A241" s="1" t="str">
        <f>_xlfn.XLOOKUP(tblRequirementMeasureXref[[#This Row],[dm_id]],tblDataRequirement[dm_id],tblDataRequirement[domain_sub_requirement])</f>
        <v>Service:Support type:Reablement / ST-MAX</v>
      </c>
      <c r="B241" s="1" t="str">
        <f>_xlfn.XLOOKUP(tblRequirementMeasureXref[[#This Row],[dm_id]],tblDataRequirement[dm_id],tblDataRequirement[dm_phase])</f>
        <v>operate</v>
      </c>
      <c r="C241" s="1">
        <v>46</v>
      </c>
      <c r="D241" s="1">
        <v>63</v>
      </c>
      <c r="G241" s="1"/>
      <c r="H241" s="62" t="str">
        <f>_xlfn.XLOOKUP(tblRequirementMeasureXref[[#This Row],[msr_id]],tblMeasure[msr_id],tblMeasure[msr_table])</f>
        <v>T30.NCE</v>
      </c>
      <c r="I241" s="22" t="str">
        <f>_xlfn.XLOOKUP(tblRequirementMeasureXref[[#This Row],[msr_id]],tblMeasure[msr_id],tblMeasure[msr_name])</f>
        <v>Net Current Expenditure on short term care for clients aged 18 to 64, by purpose and primary support reason, 2018-19</v>
      </c>
      <c r="J241" s="22" t="str">
        <f>_xlfn.XLOOKUP(tblRequirementMeasureXref[[#This Row],[msr_id]],tblMeasure[msr_id],tblMeasure[primary_dimensions])</f>
        <v>expenditure, purpose</v>
      </c>
      <c r="K241" s="22" t="str">
        <f>_xlfn.XLOOKUP(tblRequirementMeasureXref[[#This Row],[msr_id]],tblMeasure[msr_id],tblMeasure[msr_min_geo_resolution])</f>
        <v>LA</v>
      </c>
      <c r="L241" s="22" t="str">
        <f>_xlfn.XLOOKUP(tblRequirementMeasureXref[[#This Row],[msr_id]],tblMeasure[msr_id],tblMeasure[src_name])</f>
        <v>Adult Social Care Activity and Finance Report</v>
      </c>
    </row>
    <row r="242" spans="1:12" x14ac:dyDescent="0.15">
      <c r="A242" s="1" t="str">
        <f>_xlfn.XLOOKUP(tblRequirementMeasureXref[[#This Row],[dm_id]],tblDataRequirement[dm_id],tblDataRequirement[domain_sub_requirement])</f>
        <v>Users:Care need:Support reason</v>
      </c>
      <c r="B242" s="1" t="str">
        <f>_xlfn.XLOOKUP(tblRequirementMeasureXref[[#This Row],[dm_id]],tblDataRequirement[dm_id],tblDataRequirement[dm_phase])</f>
        <v>demand</v>
      </c>
      <c r="C242" s="1">
        <v>56</v>
      </c>
      <c r="D242" s="1">
        <v>63</v>
      </c>
      <c r="G242" s="1"/>
      <c r="H242" s="62" t="str">
        <f>_xlfn.XLOOKUP(tblRequirementMeasureXref[[#This Row],[msr_id]],tblMeasure[msr_id],tblMeasure[msr_table])</f>
        <v>T30.NCE</v>
      </c>
      <c r="I242" s="22" t="str">
        <f>_xlfn.XLOOKUP(tblRequirementMeasureXref[[#This Row],[msr_id]],tblMeasure[msr_id],tblMeasure[msr_name])</f>
        <v>Net Current Expenditure on short term care for clients aged 18 to 64, by purpose and primary support reason, 2018-19</v>
      </c>
      <c r="J242" s="22" t="str">
        <f>_xlfn.XLOOKUP(tblRequirementMeasureXref[[#This Row],[msr_id]],tblMeasure[msr_id],tblMeasure[primary_dimensions])</f>
        <v>expenditure, purpose</v>
      </c>
      <c r="K242" s="22" t="str">
        <f>_xlfn.XLOOKUP(tblRequirementMeasureXref[[#This Row],[msr_id]],tblMeasure[msr_id],tblMeasure[msr_min_geo_resolution])</f>
        <v>LA</v>
      </c>
      <c r="L242" s="22" t="str">
        <f>_xlfn.XLOOKUP(tblRequirementMeasureXref[[#This Row],[msr_id]],tblMeasure[msr_id],tblMeasure[src_name])</f>
        <v>Adult Social Care Activity and Finance Report</v>
      </c>
    </row>
    <row r="243" spans="1:12" x14ac:dyDescent="0.15">
      <c r="A243" s="1" t="str">
        <f>_xlfn.XLOOKUP(tblRequirementMeasureXref[[#This Row],[dm_id]],tblDataRequirement[dm_id],tblDataRequirement[domain_sub_requirement])</f>
        <v>Users:Demographics:Age</v>
      </c>
      <c r="B243" s="1" t="str">
        <f>_xlfn.XLOOKUP(tblRequirementMeasureXref[[#This Row],[dm_id]],tblDataRequirement[dm_id],tblDataRequirement[dm_phase])</f>
        <v>demand</v>
      </c>
      <c r="C243" s="1">
        <v>51</v>
      </c>
      <c r="D243" s="1">
        <v>64</v>
      </c>
      <c r="G243" s="1"/>
      <c r="H243" s="62" t="str">
        <f>_xlfn.XLOOKUP(tblRequirementMeasureXref[[#This Row],[msr_id]],tblMeasure[msr_id],tblMeasure[msr_table])</f>
        <v>T31.NCE</v>
      </c>
      <c r="I243" s="22" t="str">
        <f>_xlfn.XLOOKUP(tblRequirementMeasureXref[[#This Row],[msr_id]],tblMeasure[msr_id],tblMeasure[msr_name])</f>
        <v>Net Current Expenditure on short term care for clients aged 65 and over, by purpose and primary support reason, 2018-19</v>
      </c>
      <c r="J243" s="22" t="str">
        <f>_xlfn.XLOOKUP(tblRequirementMeasureXref[[#This Row],[msr_id]],tblMeasure[msr_id],tblMeasure[primary_dimensions])</f>
        <v>expenditure, purpose</v>
      </c>
      <c r="K243" s="22" t="str">
        <f>_xlfn.XLOOKUP(tblRequirementMeasureXref[[#This Row],[msr_id]],tblMeasure[msr_id],tblMeasure[msr_min_geo_resolution])</f>
        <v>LA</v>
      </c>
      <c r="L243" s="22" t="str">
        <f>_xlfn.XLOOKUP(tblRequirementMeasureXref[[#This Row],[msr_id]],tblMeasure[msr_id],tblMeasure[src_name])</f>
        <v>Adult Social Care Activity and Finance Report</v>
      </c>
    </row>
    <row r="244" spans="1:12" x14ac:dyDescent="0.15">
      <c r="A244" s="1" t="str">
        <f>_xlfn.XLOOKUP(tblRequirementMeasureXref[[#This Row],[dm_id]],tblDataRequirement[dm_id],tblDataRequirement[domain_sub_requirement])</f>
        <v>Funders:Expenditure:Local authorities</v>
      </c>
      <c r="B244" s="1" t="str">
        <f>_xlfn.XLOOKUP(tblRequirementMeasureXref[[#This Row],[dm_id]],tblDataRequirement[dm_id],tblDataRequirement[dm_phase])</f>
        <v>supply</v>
      </c>
      <c r="C244" s="1">
        <v>3</v>
      </c>
      <c r="D244" s="1">
        <v>64</v>
      </c>
      <c r="G244" s="1"/>
      <c r="H244" s="62" t="str">
        <f>_xlfn.XLOOKUP(tblRequirementMeasureXref[[#This Row],[msr_id]],tblMeasure[msr_id],tblMeasure[msr_table])</f>
        <v>T31.NCE</v>
      </c>
      <c r="I244" s="22" t="str">
        <f>_xlfn.XLOOKUP(tblRequirementMeasureXref[[#This Row],[msr_id]],tblMeasure[msr_id],tblMeasure[msr_name])</f>
        <v>Net Current Expenditure on short term care for clients aged 65 and over, by purpose and primary support reason, 2018-19</v>
      </c>
      <c r="J244" s="22" t="str">
        <f>_xlfn.XLOOKUP(tblRequirementMeasureXref[[#This Row],[msr_id]],tblMeasure[msr_id],tblMeasure[primary_dimensions])</f>
        <v>expenditure, purpose</v>
      </c>
      <c r="K244" s="22" t="str">
        <f>_xlfn.XLOOKUP(tblRequirementMeasureXref[[#This Row],[msr_id]],tblMeasure[msr_id],tblMeasure[msr_min_geo_resolution])</f>
        <v>LA</v>
      </c>
      <c r="L244" s="22" t="str">
        <f>_xlfn.XLOOKUP(tblRequirementMeasureXref[[#This Row],[msr_id]],tblMeasure[msr_id],tblMeasure[src_name])</f>
        <v>Adult Social Care Activity and Finance Report</v>
      </c>
    </row>
    <row r="245" spans="1:12" x14ac:dyDescent="0.15">
      <c r="A245" s="1" t="str">
        <f>_xlfn.XLOOKUP(tblRequirementMeasureXref[[#This Row],[dm_id]],tblDataRequirement[dm_id],tblDataRequirement[domain_sub_requirement])</f>
        <v>Service:Support type:Short-term</v>
      </c>
      <c r="B245" s="1" t="str">
        <f>_xlfn.XLOOKUP(tblRequirementMeasureXref[[#This Row],[dm_id]],tblDataRequirement[dm_id],tblDataRequirement[dm_phase])</f>
        <v>operate</v>
      </c>
      <c r="C245" s="1">
        <v>44</v>
      </c>
      <c r="D245" s="1">
        <v>64</v>
      </c>
      <c r="G245" s="1"/>
      <c r="H245" s="62" t="str">
        <f>_xlfn.XLOOKUP(tblRequirementMeasureXref[[#This Row],[msr_id]],tblMeasure[msr_id],tblMeasure[msr_table])</f>
        <v>T31.NCE</v>
      </c>
      <c r="I245" s="22" t="str">
        <f>_xlfn.XLOOKUP(tblRequirementMeasureXref[[#This Row],[msr_id]],tblMeasure[msr_id],tblMeasure[msr_name])</f>
        <v>Net Current Expenditure on short term care for clients aged 65 and over, by purpose and primary support reason, 2018-19</v>
      </c>
      <c r="J245" s="22" t="str">
        <f>_xlfn.XLOOKUP(tblRequirementMeasureXref[[#This Row],[msr_id]],tblMeasure[msr_id],tblMeasure[primary_dimensions])</f>
        <v>expenditure, purpose</v>
      </c>
      <c r="K245" s="22" t="str">
        <f>_xlfn.XLOOKUP(tblRequirementMeasureXref[[#This Row],[msr_id]],tblMeasure[msr_id],tblMeasure[msr_min_geo_resolution])</f>
        <v>LA</v>
      </c>
      <c r="L245" s="22" t="str">
        <f>_xlfn.XLOOKUP(tblRequirementMeasureXref[[#This Row],[msr_id]],tblMeasure[msr_id],tblMeasure[src_name])</f>
        <v>Adult Social Care Activity and Finance Report</v>
      </c>
    </row>
    <row r="246" spans="1:12" x14ac:dyDescent="0.15">
      <c r="A246" s="1" t="str">
        <f>_xlfn.XLOOKUP(tblRequirementMeasureXref[[#This Row],[dm_id]],tblDataRequirement[dm_id],tblDataRequirement[domain_sub_requirement])</f>
        <v>Service:Support type:Reablement / ST-MAX</v>
      </c>
      <c r="B246" s="1" t="str">
        <f>_xlfn.XLOOKUP(tblRequirementMeasureXref[[#This Row],[dm_id]],tblDataRequirement[dm_id],tblDataRequirement[dm_phase])</f>
        <v>operate</v>
      </c>
      <c r="C246" s="1">
        <v>46</v>
      </c>
      <c r="D246" s="1">
        <v>64</v>
      </c>
      <c r="G246" s="1"/>
      <c r="H246" s="62" t="str">
        <f>_xlfn.XLOOKUP(tblRequirementMeasureXref[[#This Row],[msr_id]],tblMeasure[msr_id],tblMeasure[msr_table])</f>
        <v>T31.NCE</v>
      </c>
      <c r="I246" s="22" t="str">
        <f>_xlfn.XLOOKUP(tblRequirementMeasureXref[[#This Row],[msr_id]],tblMeasure[msr_id],tblMeasure[msr_name])</f>
        <v>Net Current Expenditure on short term care for clients aged 65 and over, by purpose and primary support reason, 2018-19</v>
      </c>
      <c r="J246" s="22" t="str">
        <f>_xlfn.XLOOKUP(tblRequirementMeasureXref[[#This Row],[msr_id]],tblMeasure[msr_id],tblMeasure[primary_dimensions])</f>
        <v>expenditure, purpose</v>
      </c>
      <c r="K246" s="22" t="str">
        <f>_xlfn.XLOOKUP(tblRequirementMeasureXref[[#This Row],[msr_id]],tblMeasure[msr_id],tblMeasure[msr_min_geo_resolution])</f>
        <v>LA</v>
      </c>
      <c r="L246" s="22" t="str">
        <f>_xlfn.XLOOKUP(tblRequirementMeasureXref[[#This Row],[msr_id]],tblMeasure[msr_id],tblMeasure[src_name])</f>
        <v>Adult Social Care Activity and Finance Report</v>
      </c>
    </row>
    <row r="247" spans="1:12" x14ac:dyDescent="0.15">
      <c r="A247" s="1" t="str">
        <f>_xlfn.XLOOKUP(tblRequirementMeasureXref[[#This Row],[dm_id]],tblDataRequirement[dm_id],tblDataRequirement[domain_sub_requirement])</f>
        <v>Users:Care need:Support reason</v>
      </c>
      <c r="B247" s="1" t="str">
        <f>_xlfn.XLOOKUP(tblRequirementMeasureXref[[#This Row],[dm_id]],tblDataRequirement[dm_id],tblDataRequirement[dm_phase])</f>
        <v>demand</v>
      </c>
      <c r="C247" s="1">
        <v>56</v>
      </c>
      <c r="D247" s="1">
        <v>64</v>
      </c>
      <c r="G247" s="1"/>
      <c r="H247" s="62" t="str">
        <f>_xlfn.XLOOKUP(tblRequirementMeasureXref[[#This Row],[msr_id]],tblMeasure[msr_id],tblMeasure[msr_table])</f>
        <v>T31.NCE</v>
      </c>
      <c r="I247" s="22" t="str">
        <f>_xlfn.XLOOKUP(tblRequirementMeasureXref[[#This Row],[msr_id]],tblMeasure[msr_id],tblMeasure[msr_name])</f>
        <v>Net Current Expenditure on short term care for clients aged 65 and over, by purpose and primary support reason, 2018-19</v>
      </c>
      <c r="J247" s="22" t="str">
        <f>_xlfn.XLOOKUP(tblRequirementMeasureXref[[#This Row],[msr_id]],tblMeasure[msr_id],tblMeasure[primary_dimensions])</f>
        <v>expenditure, purpose</v>
      </c>
      <c r="K247" s="22" t="str">
        <f>_xlfn.XLOOKUP(tblRequirementMeasureXref[[#This Row],[msr_id]],tblMeasure[msr_id],tblMeasure[msr_min_geo_resolution])</f>
        <v>LA</v>
      </c>
      <c r="L247" s="22" t="str">
        <f>_xlfn.XLOOKUP(tblRequirementMeasureXref[[#This Row],[msr_id]],tblMeasure[msr_id],tblMeasure[src_name])</f>
        <v>Adult Social Care Activity and Finance Report</v>
      </c>
    </row>
    <row r="248" spans="1:12" x14ac:dyDescent="0.15">
      <c r="A248" s="1" t="str">
        <f>_xlfn.XLOOKUP(tblRequirementMeasureXref[[#This Row],[dm_id]],tblDataRequirement[dm_id],tblDataRequirement[domain_sub_requirement])</f>
        <v>Funders:Expenditure:Local authorities</v>
      </c>
      <c r="B248" s="1" t="str">
        <f>_xlfn.XLOOKUP(tblRequirementMeasureXref[[#This Row],[dm_id]],tblDataRequirement[dm_id],tblDataRequirement[dm_phase])</f>
        <v>supply</v>
      </c>
      <c r="C248" s="1">
        <v>3</v>
      </c>
      <c r="D248" s="1">
        <v>66</v>
      </c>
      <c r="G248" s="1"/>
      <c r="H248" s="62" t="str">
        <f>_xlfn.XLOOKUP(tblRequirementMeasureXref[[#This Row],[msr_id]],tblMeasure[msr_id],tblMeasure[msr_table])</f>
        <v>T41.NCE</v>
      </c>
      <c r="I248" s="22" t="str">
        <f>_xlfn.XLOOKUP(tblRequirementMeasureXref[[#This Row],[msr_id]],tblMeasure[msr_id],tblMeasure[msr_name])</f>
        <v>Net Current Expenditure on long term care for clients aged 18 to 64, by support setting, 2018-19</v>
      </c>
      <c r="J248" s="22" t="str">
        <f>_xlfn.XLOOKUP(tblRequirementMeasureXref[[#This Row],[msr_id]],tblMeasure[msr_id],tblMeasure[primary_dimensions])</f>
        <v>expenditure</v>
      </c>
      <c r="K248" s="22" t="str">
        <f>_xlfn.XLOOKUP(tblRequirementMeasureXref[[#This Row],[msr_id]],tblMeasure[msr_id],tblMeasure[msr_min_geo_resolution])</f>
        <v>LA</v>
      </c>
      <c r="L248" s="22" t="str">
        <f>_xlfn.XLOOKUP(tblRequirementMeasureXref[[#This Row],[msr_id]],tblMeasure[msr_id],tblMeasure[src_name])</f>
        <v>Adult Social Care Activity and Finance Report</v>
      </c>
    </row>
    <row r="249" spans="1:12" x14ac:dyDescent="0.15">
      <c r="A249" s="1" t="str">
        <f>_xlfn.XLOOKUP(tblRequirementMeasureXref[[#This Row],[dm_id]],tblDataRequirement[dm_id],tblDataRequirement[domain_sub_requirement])</f>
        <v>Funders:Income:Local authority</v>
      </c>
      <c r="B249" s="1" t="str">
        <f>_xlfn.XLOOKUP(tblRequirementMeasureXref[[#This Row],[dm_id]],tblDataRequirement[dm_id],tblDataRequirement[dm_phase])</f>
        <v>supply</v>
      </c>
      <c r="C249" s="1">
        <v>8</v>
      </c>
      <c r="D249" s="1">
        <v>66</v>
      </c>
      <c r="G249" s="1"/>
      <c r="H249" s="62" t="str">
        <f>_xlfn.XLOOKUP(tblRequirementMeasureXref[[#This Row],[msr_id]],tblMeasure[msr_id],tblMeasure[msr_table])</f>
        <v>T41.NCE</v>
      </c>
      <c r="I249" s="22" t="str">
        <f>_xlfn.XLOOKUP(tblRequirementMeasureXref[[#This Row],[msr_id]],tblMeasure[msr_id],tblMeasure[msr_name])</f>
        <v>Net Current Expenditure on long term care for clients aged 18 to 64, by support setting, 2018-19</v>
      </c>
      <c r="J249" s="22" t="str">
        <f>_xlfn.XLOOKUP(tblRequirementMeasureXref[[#This Row],[msr_id]],tblMeasure[msr_id],tblMeasure[primary_dimensions])</f>
        <v>expenditure</v>
      </c>
      <c r="K249" s="22" t="str">
        <f>_xlfn.XLOOKUP(tblRequirementMeasureXref[[#This Row],[msr_id]],tblMeasure[msr_id],tblMeasure[msr_min_geo_resolution])</f>
        <v>LA</v>
      </c>
      <c r="L249" s="22" t="str">
        <f>_xlfn.XLOOKUP(tblRequirementMeasureXref[[#This Row],[msr_id]],tblMeasure[msr_id],tblMeasure[src_name])</f>
        <v>Adult Social Care Activity and Finance Report</v>
      </c>
    </row>
    <row r="250" spans="1:12" x14ac:dyDescent="0.15">
      <c r="A250" s="1" t="str">
        <f>_xlfn.XLOOKUP(tblRequirementMeasureXref[[#This Row],[dm_id]],tblDataRequirement[dm_id],tblDataRequirement[domain_sub_requirement])</f>
        <v>Service:Support type:Long-term</v>
      </c>
      <c r="B250" s="1" t="str">
        <f>_xlfn.XLOOKUP(tblRequirementMeasureXref[[#This Row],[dm_id]],tblDataRequirement[dm_id],tblDataRequirement[dm_phase])</f>
        <v>operate</v>
      </c>
      <c r="C250" s="1">
        <v>45</v>
      </c>
      <c r="D250" s="1">
        <v>66</v>
      </c>
      <c r="G250" s="1"/>
      <c r="H250" s="62" t="str">
        <f>_xlfn.XLOOKUP(tblRequirementMeasureXref[[#This Row],[msr_id]],tblMeasure[msr_id],tblMeasure[msr_table])</f>
        <v>T41.NCE</v>
      </c>
      <c r="I250" s="22" t="str">
        <f>_xlfn.XLOOKUP(tblRequirementMeasureXref[[#This Row],[msr_id]],tblMeasure[msr_id],tblMeasure[msr_name])</f>
        <v>Net Current Expenditure on long term care for clients aged 18 to 64, by support setting, 2018-19</v>
      </c>
      <c r="J250" s="22" t="str">
        <f>_xlfn.XLOOKUP(tblRequirementMeasureXref[[#This Row],[msr_id]],tblMeasure[msr_id],tblMeasure[primary_dimensions])</f>
        <v>expenditure</v>
      </c>
      <c r="K250" s="22" t="str">
        <f>_xlfn.XLOOKUP(tblRequirementMeasureXref[[#This Row],[msr_id]],tblMeasure[msr_id],tblMeasure[msr_min_geo_resolution])</f>
        <v>LA</v>
      </c>
      <c r="L250" s="22" t="str">
        <f>_xlfn.XLOOKUP(tblRequirementMeasureXref[[#This Row],[msr_id]],tblMeasure[msr_id],tblMeasure[src_name])</f>
        <v>Adult Social Care Activity and Finance Report</v>
      </c>
    </row>
    <row r="251" spans="1:12" x14ac:dyDescent="0.15">
      <c r="A251" s="1" t="str">
        <f>_xlfn.XLOOKUP(tblRequirementMeasureXref[[#This Row],[dm_id]],tblDataRequirement[dm_id],tblDataRequirement[domain_sub_requirement])</f>
        <v>Users:Demographics:Age</v>
      </c>
      <c r="B251" s="1" t="str">
        <f>_xlfn.XLOOKUP(tblRequirementMeasureXref[[#This Row],[dm_id]],tblDataRequirement[dm_id],tblDataRequirement[dm_phase])</f>
        <v>demand</v>
      </c>
      <c r="C251" s="1">
        <v>51</v>
      </c>
      <c r="D251" s="1">
        <v>66</v>
      </c>
      <c r="G251" s="1"/>
      <c r="H251" s="62" t="str">
        <f>_xlfn.XLOOKUP(tblRequirementMeasureXref[[#This Row],[msr_id]],tblMeasure[msr_id],tblMeasure[msr_table])</f>
        <v>T41.NCE</v>
      </c>
      <c r="I251" s="22" t="str">
        <f>_xlfn.XLOOKUP(tblRequirementMeasureXref[[#This Row],[msr_id]],tblMeasure[msr_id],tblMeasure[msr_name])</f>
        <v>Net Current Expenditure on long term care for clients aged 18 to 64, by support setting, 2018-19</v>
      </c>
      <c r="J251" s="22" t="str">
        <f>_xlfn.XLOOKUP(tblRequirementMeasureXref[[#This Row],[msr_id]],tblMeasure[msr_id],tblMeasure[primary_dimensions])</f>
        <v>expenditure</v>
      </c>
      <c r="K251" s="22" t="str">
        <f>_xlfn.XLOOKUP(tblRequirementMeasureXref[[#This Row],[msr_id]],tblMeasure[msr_id],tblMeasure[msr_min_geo_resolution])</f>
        <v>LA</v>
      </c>
      <c r="L251" s="22" t="str">
        <f>_xlfn.XLOOKUP(tblRequirementMeasureXref[[#This Row],[msr_id]],tblMeasure[msr_id],tblMeasure[src_name])</f>
        <v>Adult Social Care Activity and Finance Report</v>
      </c>
    </row>
    <row r="252" spans="1:12" x14ac:dyDescent="0.15">
      <c r="A252" s="1" t="str">
        <f>_xlfn.XLOOKUP(tblRequirementMeasureXref[[#This Row],[dm_id]],tblDataRequirement[dm_id],tblDataRequirement[domain_sub_requirement])</f>
        <v>Service:Support setting:Home</v>
      </c>
      <c r="B252" s="1" t="str">
        <f>_xlfn.XLOOKUP(tblRequirementMeasureXref[[#This Row],[dm_id]],tblDataRequirement[dm_id],tblDataRequirement[dm_phase])</f>
        <v>operate</v>
      </c>
      <c r="C252" s="1">
        <v>40</v>
      </c>
      <c r="D252" s="1">
        <v>66</v>
      </c>
      <c r="G252" s="1"/>
      <c r="H252" s="62" t="str">
        <f>_xlfn.XLOOKUP(tblRequirementMeasureXref[[#This Row],[msr_id]],tblMeasure[msr_id],tblMeasure[msr_table])</f>
        <v>T41.NCE</v>
      </c>
      <c r="I252" s="22" t="str">
        <f>_xlfn.XLOOKUP(tblRequirementMeasureXref[[#This Row],[msr_id]],tblMeasure[msr_id],tblMeasure[msr_name])</f>
        <v>Net Current Expenditure on long term care for clients aged 18 to 64, by support setting, 2018-19</v>
      </c>
      <c r="J252" s="22" t="str">
        <f>_xlfn.XLOOKUP(tblRequirementMeasureXref[[#This Row],[msr_id]],tblMeasure[msr_id],tblMeasure[primary_dimensions])</f>
        <v>expenditure</v>
      </c>
      <c r="K252" s="22" t="str">
        <f>_xlfn.XLOOKUP(tblRequirementMeasureXref[[#This Row],[msr_id]],tblMeasure[msr_id],tblMeasure[msr_min_geo_resolution])</f>
        <v>LA</v>
      </c>
      <c r="L252" s="22" t="str">
        <f>_xlfn.XLOOKUP(tblRequirementMeasureXref[[#This Row],[msr_id]],tblMeasure[msr_id],tblMeasure[src_name])</f>
        <v>Adult Social Care Activity and Finance Report</v>
      </c>
    </row>
    <row r="253" spans="1:12" x14ac:dyDescent="0.15">
      <c r="A253" s="1" t="str">
        <f>_xlfn.XLOOKUP(tblRequirementMeasureXref[[#This Row],[dm_id]],tblDataRequirement[dm_id],tblDataRequirement[domain_sub_requirement])</f>
        <v>Service:Support setting:Residential care home</v>
      </c>
      <c r="B253" s="1" t="str">
        <f>_xlfn.XLOOKUP(tblRequirementMeasureXref[[#This Row],[dm_id]],tblDataRequirement[dm_id],tblDataRequirement[dm_phase])</f>
        <v>operate</v>
      </c>
      <c r="C253" s="1">
        <v>41</v>
      </c>
      <c r="D253" s="1">
        <v>66</v>
      </c>
      <c r="G253" s="1"/>
      <c r="H253" s="62" t="str">
        <f>_xlfn.XLOOKUP(tblRequirementMeasureXref[[#This Row],[msr_id]],tblMeasure[msr_id],tblMeasure[msr_table])</f>
        <v>T41.NCE</v>
      </c>
      <c r="I253" s="22" t="str">
        <f>_xlfn.XLOOKUP(tblRequirementMeasureXref[[#This Row],[msr_id]],tblMeasure[msr_id],tblMeasure[msr_name])</f>
        <v>Net Current Expenditure on long term care for clients aged 18 to 64, by support setting, 2018-19</v>
      </c>
      <c r="J253" s="22" t="str">
        <f>_xlfn.XLOOKUP(tblRequirementMeasureXref[[#This Row],[msr_id]],tblMeasure[msr_id],tblMeasure[primary_dimensions])</f>
        <v>expenditure</v>
      </c>
      <c r="K253" s="22" t="str">
        <f>_xlfn.XLOOKUP(tblRequirementMeasureXref[[#This Row],[msr_id]],tblMeasure[msr_id],tblMeasure[msr_min_geo_resolution])</f>
        <v>LA</v>
      </c>
      <c r="L253" s="22" t="str">
        <f>_xlfn.XLOOKUP(tblRequirementMeasureXref[[#This Row],[msr_id]],tblMeasure[msr_id],tblMeasure[src_name])</f>
        <v>Adult Social Care Activity and Finance Report</v>
      </c>
    </row>
    <row r="254" spans="1:12" x14ac:dyDescent="0.15">
      <c r="A254" s="1" t="str">
        <f>_xlfn.XLOOKUP(tblRequirementMeasureXref[[#This Row],[dm_id]],tblDataRequirement[dm_id],tblDataRequirement[domain_sub_requirement])</f>
        <v>Service:Support setting:Nursing home</v>
      </c>
      <c r="B254" s="1" t="str">
        <f>_xlfn.XLOOKUP(tblRequirementMeasureXref[[#This Row],[dm_id]],tblDataRequirement[dm_id],tblDataRequirement[dm_phase])</f>
        <v>operate</v>
      </c>
      <c r="C254" s="1">
        <v>42</v>
      </c>
      <c r="D254" s="1">
        <v>66</v>
      </c>
      <c r="G254" s="1"/>
      <c r="H254" s="62" t="str">
        <f>_xlfn.XLOOKUP(tblRequirementMeasureXref[[#This Row],[msr_id]],tblMeasure[msr_id],tblMeasure[msr_table])</f>
        <v>T41.NCE</v>
      </c>
      <c r="I254" s="22" t="str">
        <f>_xlfn.XLOOKUP(tblRequirementMeasureXref[[#This Row],[msr_id]],tblMeasure[msr_id],tblMeasure[msr_name])</f>
        <v>Net Current Expenditure on long term care for clients aged 18 to 64, by support setting, 2018-19</v>
      </c>
      <c r="J254" s="22" t="str">
        <f>_xlfn.XLOOKUP(tblRequirementMeasureXref[[#This Row],[msr_id]],tblMeasure[msr_id],tblMeasure[primary_dimensions])</f>
        <v>expenditure</v>
      </c>
      <c r="K254" s="22" t="str">
        <f>_xlfn.XLOOKUP(tblRequirementMeasureXref[[#This Row],[msr_id]],tblMeasure[msr_id],tblMeasure[msr_min_geo_resolution])</f>
        <v>LA</v>
      </c>
      <c r="L254" s="22" t="str">
        <f>_xlfn.XLOOKUP(tblRequirementMeasureXref[[#This Row],[msr_id]],tblMeasure[msr_id],tblMeasure[src_name])</f>
        <v>Adult Social Care Activity and Finance Report</v>
      </c>
    </row>
    <row r="255" spans="1:12" x14ac:dyDescent="0.15">
      <c r="A255" s="1" t="str">
        <f>_xlfn.XLOOKUP(tblRequirementMeasureXref[[#This Row],[dm_id]],tblDataRequirement[dm_id],tblDataRequirement[domain_sub_requirement])</f>
        <v>Service:Support setting:Community</v>
      </c>
      <c r="B255" s="1" t="str">
        <f>_xlfn.XLOOKUP(tblRequirementMeasureXref[[#This Row],[dm_id]],tblDataRequirement[dm_id],tblDataRequirement[dm_phase])</f>
        <v>operate</v>
      </c>
      <c r="C255" s="1">
        <v>43</v>
      </c>
      <c r="D255" s="1">
        <v>66</v>
      </c>
      <c r="G255" s="1"/>
      <c r="H255" s="62" t="str">
        <f>_xlfn.XLOOKUP(tblRequirementMeasureXref[[#This Row],[msr_id]],tblMeasure[msr_id],tblMeasure[msr_table])</f>
        <v>T41.NCE</v>
      </c>
      <c r="I255" s="22" t="str">
        <f>_xlfn.XLOOKUP(tblRequirementMeasureXref[[#This Row],[msr_id]],tblMeasure[msr_id],tblMeasure[msr_name])</f>
        <v>Net Current Expenditure on long term care for clients aged 18 to 64, by support setting, 2018-19</v>
      </c>
      <c r="J255" s="22" t="str">
        <f>_xlfn.XLOOKUP(tblRequirementMeasureXref[[#This Row],[msr_id]],tblMeasure[msr_id],tblMeasure[primary_dimensions])</f>
        <v>expenditure</v>
      </c>
      <c r="K255" s="22" t="str">
        <f>_xlfn.XLOOKUP(tblRequirementMeasureXref[[#This Row],[msr_id]],tblMeasure[msr_id],tblMeasure[msr_min_geo_resolution])</f>
        <v>LA</v>
      </c>
      <c r="L255" s="22" t="str">
        <f>_xlfn.XLOOKUP(tblRequirementMeasureXref[[#This Row],[msr_id]],tblMeasure[msr_id],tblMeasure[src_name])</f>
        <v>Adult Social Care Activity and Finance Report</v>
      </c>
    </row>
    <row r="256" spans="1:12" x14ac:dyDescent="0.15">
      <c r="A256" s="1" t="str">
        <f>_xlfn.XLOOKUP(tblRequirementMeasureXref[[#This Row],[dm_id]],tblDataRequirement[dm_id],tblDataRequirement[domain_sub_requirement])</f>
        <v>Funders:Expenditure:Local authorities</v>
      </c>
      <c r="B256" s="1" t="str">
        <f>_xlfn.XLOOKUP(tblRequirementMeasureXref[[#This Row],[dm_id]],tblDataRequirement[dm_id],tblDataRequirement[dm_phase])</f>
        <v>supply</v>
      </c>
      <c r="C256" s="1">
        <v>3</v>
      </c>
      <c r="D256" s="1">
        <v>67</v>
      </c>
      <c r="G256" s="1"/>
      <c r="H256" s="62" t="str">
        <f>_xlfn.XLOOKUP(tblRequirementMeasureXref[[#This Row],[msr_id]],tblMeasure[msr_id],tblMeasure[msr_table])</f>
        <v>T42.NCE</v>
      </c>
      <c r="I256" s="22" t="str">
        <f>_xlfn.XLOOKUP(tblRequirementMeasureXref[[#This Row],[msr_id]],tblMeasure[msr_id],tblMeasure[msr_name])</f>
        <v>Net Current Expenditure on long term care for clients aged 65 and over, by support setting, 2018-19</v>
      </c>
      <c r="J256" s="22" t="str">
        <f>_xlfn.XLOOKUP(tblRequirementMeasureXref[[#This Row],[msr_id]],tblMeasure[msr_id],tblMeasure[primary_dimensions])</f>
        <v>expenditure</v>
      </c>
      <c r="K256" s="22" t="str">
        <f>_xlfn.XLOOKUP(tblRequirementMeasureXref[[#This Row],[msr_id]],tblMeasure[msr_id],tblMeasure[msr_min_geo_resolution])</f>
        <v>LA</v>
      </c>
      <c r="L256" s="22" t="str">
        <f>_xlfn.XLOOKUP(tblRequirementMeasureXref[[#This Row],[msr_id]],tblMeasure[msr_id],tblMeasure[src_name])</f>
        <v>Adult Social Care Activity and Finance Report</v>
      </c>
    </row>
    <row r="257" spans="1:12" x14ac:dyDescent="0.15">
      <c r="A257" s="1" t="str">
        <f>_xlfn.XLOOKUP(tblRequirementMeasureXref[[#This Row],[dm_id]],tblDataRequirement[dm_id],tblDataRequirement[domain_sub_requirement])</f>
        <v>Funders:Income:Local authority</v>
      </c>
      <c r="B257" s="1" t="str">
        <f>_xlfn.XLOOKUP(tblRequirementMeasureXref[[#This Row],[dm_id]],tblDataRequirement[dm_id],tblDataRequirement[dm_phase])</f>
        <v>supply</v>
      </c>
      <c r="C257" s="1">
        <v>8</v>
      </c>
      <c r="D257" s="1">
        <v>67</v>
      </c>
      <c r="G257" s="1"/>
      <c r="H257" s="62" t="str">
        <f>_xlfn.XLOOKUP(tblRequirementMeasureXref[[#This Row],[msr_id]],tblMeasure[msr_id],tblMeasure[msr_table])</f>
        <v>T42.NCE</v>
      </c>
      <c r="I257" s="22" t="str">
        <f>_xlfn.XLOOKUP(tblRequirementMeasureXref[[#This Row],[msr_id]],tblMeasure[msr_id],tblMeasure[msr_name])</f>
        <v>Net Current Expenditure on long term care for clients aged 65 and over, by support setting, 2018-19</v>
      </c>
      <c r="J257" s="22" t="str">
        <f>_xlfn.XLOOKUP(tblRequirementMeasureXref[[#This Row],[msr_id]],tblMeasure[msr_id],tblMeasure[primary_dimensions])</f>
        <v>expenditure</v>
      </c>
      <c r="K257" s="22" t="str">
        <f>_xlfn.XLOOKUP(tblRequirementMeasureXref[[#This Row],[msr_id]],tblMeasure[msr_id],tblMeasure[msr_min_geo_resolution])</f>
        <v>LA</v>
      </c>
      <c r="L257" s="22" t="str">
        <f>_xlfn.XLOOKUP(tblRequirementMeasureXref[[#This Row],[msr_id]],tblMeasure[msr_id],tblMeasure[src_name])</f>
        <v>Adult Social Care Activity and Finance Report</v>
      </c>
    </row>
    <row r="258" spans="1:12" x14ac:dyDescent="0.15">
      <c r="A258" s="1" t="str">
        <f>_xlfn.XLOOKUP(tblRequirementMeasureXref[[#This Row],[dm_id]],tblDataRequirement[dm_id],tblDataRequirement[domain_sub_requirement])</f>
        <v>Service:Support type:Long-term</v>
      </c>
      <c r="B258" s="1" t="str">
        <f>_xlfn.XLOOKUP(tblRequirementMeasureXref[[#This Row],[dm_id]],tblDataRequirement[dm_id],tblDataRequirement[dm_phase])</f>
        <v>operate</v>
      </c>
      <c r="C258" s="1">
        <v>45</v>
      </c>
      <c r="D258" s="1">
        <v>67</v>
      </c>
      <c r="G258" s="1"/>
      <c r="H258" s="62" t="str">
        <f>_xlfn.XLOOKUP(tblRequirementMeasureXref[[#This Row],[msr_id]],tblMeasure[msr_id],tblMeasure[msr_table])</f>
        <v>T42.NCE</v>
      </c>
      <c r="I258" s="22" t="str">
        <f>_xlfn.XLOOKUP(tblRequirementMeasureXref[[#This Row],[msr_id]],tblMeasure[msr_id],tblMeasure[msr_name])</f>
        <v>Net Current Expenditure on long term care for clients aged 65 and over, by support setting, 2018-19</v>
      </c>
      <c r="J258" s="22" t="str">
        <f>_xlfn.XLOOKUP(tblRequirementMeasureXref[[#This Row],[msr_id]],tblMeasure[msr_id],tblMeasure[primary_dimensions])</f>
        <v>expenditure</v>
      </c>
      <c r="K258" s="22" t="str">
        <f>_xlfn.XLOOKUP(tblRequirementMeasureXref[[#This Row],[msr_id]],tblMeasure[msr_id],tblMeasure[msr_min_geo_resolution])</f>
        <v>LA</v>
      </c>
      <c r="L258" s="22" t="str">
        <f>_xlfn.XLOOKUP(tblRequirementMeasureXref[[#This Row],[msr_id]],tblMeasure[msr_id],tblMeasure[src_name])</f>
        <v>Adult Social Care Activity and Finance Report</v>
      </c>
    </row>
    <row r="259" spans="1:12" x14ac:dyDescent="0.15">
      <c r="A259" s="1" t="str">
        <f>_xlfn.XLOOKUP(tblRequirementMeasureXref[[#This Row],[dm_id]],tblDataRequirement[dm_id],tblDataRequirement[domain_sub_requirement])</f>
        <v>Users:Demographics:Age</v>
      </c>
      <c r="B259" s="1" t="str">
        <f>_xlfn.XLOOKUP(tblRequirementMeasureXref[[#This Row],[dm_id]],tblDataRequirement[dm_id],tblDataRequirement[dm_phase])</f>
        <v>demand</v>
      </c>
      <c r="C259" s="1">
        <v>51</v>
      </c>
      <c r="D259" s="1">
        <v>67</v>
      </c>
      <c r="G259" s="1"/>
      <c r="H259" s="62" t="str">
        <f>_xlfn.XLOOKUP(tblRequirementMeasureXref[[#This Row],[msr_id]],tblMeasure[msr_id],tblMeasure[msr_table])</f>
        <v>T42.NCE</v>
      </c>
      <c r="I259" s="22" t="str">
        <f>_xlfn.XLOOKUP(tblRequirementMeasureXref[[#This Row],[msr_id]],tblMeasure[msr_id],tblMeasure[msr_name])</f>
        <v>Net Current Expenditure on long term care for clients aged 65 and over, by support setting, 2018-19</v>
      </c>
      <c r="J259" s="22" t="str">
        <f>_xlfn.XLOOKUP(tblRequirementMeasureXref[[#This Row],[msr_id]],tblMeasure[msr_id],tblMeasure[primary_dimensions])</f>
        <v>expenditure</v>
      </c>
      <c r="K259" s="22" t="str">
        <f>_xlfn.XLOOKUP(tblRequirementMeasureXref[[#This Row],[msr_id]],tblMeasure[msr_id],tblMeasure[msr_min_geo_resolution])</f>
        <v>LA</v>
      </c>
      <c r="L259" s="22" t="str">
        <f>_xlfn.XLOOKUP(tblRequirementMeasureXref[[#This Row],[msr_id]],tblMeasure[msr_id],tblMeasure[src_name])</f>
        <v>Adult Social Care Activity and Finance Report</v>
      </c>
    </row>
    <row r="260" spans="1:12" x14ac:dyDescent="0.15">
      <c r="A260" s="1" t="str">
        <f>_xlfn.XLOOKUP(tblRequirementMeasureXref[[#This Row],[dm_id]],tblDataRequirement[dm_id],tblDataRequirement[domain_sub_requirement])</f>
        <v>Service:Support setting:Home</v>
      </c>
      <c r="B260" s="1" t="str">
        <f>_xlfn.XLOOKUP(tblRequirementMeasureXref[[#This Row],[dm_id]],tblDataRequirement[dm_id],tblDataRequirement[dm_phase])</f>
        <v>operate</v>
      </c>
      <c r="C260" s="1">
        <v>40</v>
      </c>
      <c r="D260" s="1">
        <v>67</v>
      </c>
      <c r="G260" s="1"/>
      <c r="H260" s="62" t="str">
        <f>_xlfn.XLOOKUP(tblRequirementMeasureXref[[#This Row],[msr_id]],tblMeasure[msr_id],tblMeasure[msr_table])</f>
        <v>T42.NCE</v>
      </c>
      <c r="I260" s="22" t="str">
        <f>_xlfn.XLOOKUP(tblRequirementMeasureXref[[#This Row],[msr_id]],tblMeasure[msr_id],tblMeasure[msr_name])</f>
        <v>Net Current Expenditure on long term care for clients aged 65 and over, by support setting, 2018-19</v>
      </c>
      <c r="J260" s="22" t="str">
        <f>_xlfn.XLOOKUP(tblRequirementMeasureXref[[#This Row],[msr_id]],tblMeasure[msr_id],tblMeasure[primary_dimensions])</f>
        <v>expenditure</v>
      </c>
      <c r="K260" s="22" t="str">
        <f>_xlfn.XLOOKUP(tblRequirementMeasureXref[[#This Row],[msr_id]],tblMeasure[msr_id],tblMeasure[msr_min_geo_resolution])</f>
        <v>LA</v>
      </c>
      <c r="L260" s="22" t="str">
        <f>_xlfn.XLOOKUP(tblRequirementMeasureXref[[#This Row],[msr_id]],tblMeasure[msr_id],tblMeasure[src_name])</f>
        <v>Adult Social Care Activity and Finance Report</v>
      </c>
    </row>
    <row r="261" spans="1:12" x14ac:dyDescent="0.15">
      <c r="A261" s="1" t="str">
        <f>_xlfn.XLOOKUP(tblRequirementMeasureXref[[#This Row],[dm_id]],tblDataRequirement[dm_id],tblDataRequirement[domain_sub_requirement])</f>
        <v>Service:Support setting:Residential care home</v>
      </c>
      <c r="B261" s="1" t="str">
        <f>_xlfn.XLOOKUP(tblRequirementMeasureXref[[#This Row],[dm_id]],tblDataRequirement[dm_id],tblDataRequirement[dm_phase])</f>
        <v>operate</v>
      </c>
      <c r="C261" s="1">
        <v>41</v>
      </c>
      <c r="D261" s="1">
        <v>67</v>
      </c>
      <c r="G261" s="1"/>
      <c r="H261" s="62" t="str">
        <f>_xlfn.XLOOKUP(tblRequirementMeasureXref[[#This Row],[msr_id]],tblMeasure[msr_id],tblMeasure[msr_table])</f>
        <v>T42.NCE</v>
      </c>
      <c r="I261" s="22" t="str">
        <f>_xlfn.XLOOKUP(tblRequirementMeasureXref[[#This Row],[msr_id]],tblMeasure[msr_id],tblMeasure[msr_name])</f>
        <v>Net Current Expenditure on long term care for clients aged 65 and over, by support setting, 2018-19</v>
      </c>
      <c r="J261" s="22" t="str">
        <f>_xlfn.XLOOKUP(tblRequirementMeasureXref[[#This Row],[msr_id]],tblMeasure[msr_id],tblMeasure[primary_dimensions])</f>
        <v>expenditure</v>
      </c>
      <c r="K261" s="22" t="str">
        <f>_xlfn.XLOOKUP(tblRequirementMeasureXref[[#This Row],[msr_id]],tblMeasure[msr_id],tblMeasure[msr_min_geo_resolution])</f>
        <v>LA</v>
      </c>
      <c r="L261" s="22" t="str">
        <f>_xlfn.XLOOKUP(tblRequirementMeasureXref[[#This Row],[msr_id]],tblMeasure[msr_id],tblMeasure[src_name])</f>
        <v>Adult Social Care Activity and Finance Report</v>
      </c>
    </row>
    <row r="262" spans="1:12" x14ac:dyDescent="0.15">
      <c r="A262" s="1" t="str">
        <f>_xlfn.XLOOKUP(tblRequirementMeasureXref[[#This Row],[dm_id]],tblDataRequirement[dm_id],tblDataRequirement[domain_sub_requirement])</f>
        <v>Service:Support setting:Nursing home</v>
      </c>
      <c r="B262" s="1" t="str">
        <f>_xlfn.XLOOKUP(tblRequirementMeasureXref[[#This Row],[dm_id]],tblDataRequirement[dm_id],tblDataRequirement[dm_phase])</f>
        <v>operate</v>
      </c>
      <c r="C262" s="1">
        <v>42</v>
      </c>
      <c r="D262" s="1">
        <v>67</v>
      </c>
      <c r="G262" s="1"/>
      <c r="H262" s="62" t="str">
        <f>_xlfn.XLOOKUP(tblRequirementMeasureXref[[#This Row],[msr_id]],tblMeasure[msr_id],tblMeasure[msr_table])</f>
        <v>T42.NCE</v>
      </c>
      <c r="I262" s="22" t="str">
        <f>_xlfn.XLOOKUP(tblRequirementMeasureXref[[#This Row],[msr_id]],tblMeasure[msr_id],tblMeasure[msr_name])</f>
        <v>Net Current Expenditure on long term care for clients aged 65 and over, by support setting, 2018-19</v>
      </c>
      <c r="J262" s="22" t="str">
        <f>_xlfn.XLOOKUP(tblRequirementMeasureXref[[#This Row],[msr_id]],tblMeasure[msr_id],tblMeasure[primary_dimensions])</f>
        <v>expenditure</v>
      </c>
      <c r="K262" s="22" t="str">
        <f>_xlfn.XLOOKUP(tblRequirementMeasureXref[[#This Row],[msr_id]],tblMeasure[msr_id],tblMeasure[msr_min_geo_resolution])</f>
        <v>LA</v>
      </c>
      <c r="L262" s="22" t="str">
        <f>_xlfn.XLOOKUP(tblRequirementMeasureXref[[#This Row],[msr_id]],tblMeasure[msr_id],tblMeasure[src_name])</f>
        <v>Adult Social Care Activity and Finance Report</v>
      </c>
    </row>
    <row r="263" spans="1:12" x14ac:dyDescent="0.15">
      <c r="A263" s="1" t="str">
        <f>_xlfn.XLOOKUP(tblRequirementMeasureXref[[#This Row],[dm_id]],tblDataRequirement[dm_id],tblDataRequirement[domain_sub_requirement])</f>
        <v>Service:Support setting:Community</v>
      </c>
      <c r="B263" s="1" t="str">
        <f>_xlfn.XLOOKUP(tblRequirementMeasureXref[[#This Row],[dm_id]],tblDataRequirement[dm_id],tblDataRequirement[dm_phase])</f>
        <v>operate</v>
      </c>
      <c r="C263" s="1">
        <v>43</v>
      </c>
      <c r="D263" s="1">
        <v>67</v>
      </c>
      <c r="G263" s="1"/>
      <c r="H263" s="62" t="str">
        <f>_xlfn.XLOOKUP(tblRequirementMeasureXref[[#This Row],[msr_id]],tblMeasure[msr_id],tblMeasure[msr_table])</f>
        <v>T42.NCE</v>
      </c>
      <c r="I263" s="22" t="str">
        <f>_xlfn.XLOOKUP(tblRequirementMeasureXref[[#This Row],[msr_id]],tblMeasure[msr_id],tblMeasure[msr_name])</f>
        <v>Net Current Expenditure on long term care for clients aged 65 and over, by support setting, 2018-19</v>
      </c>
      <c r="J263" s="22" t="str">
        <f>_xlfn.XLOOKUP(tblRequirementMeasureXref[[#This Row],[msr_id]],tblMeasure[msr_id],tblMeasure[primary_dimensions])</f>
        <v>expenditure</v>
      </c>
      <c r="K263" s="22" t="str">
        <f>_xlfn.XLOOKUP(tblRequirementMeasureXref[[#This Row],[msr_id]],tblMeasure[msr_id],tblMeasure[msr_min_geo_resolution])</f>
        <v>LA</v>
      </c>
      <c r="L263" s="22" t="str">
        <f>_xlfn.XLOOKUP(tblRequirementMeasureXref[[#This Row],[msr_id]],tblMeasure[msr_id],tblMeasure[src_name])</f>
        <v>Adult Social Care Activity and Finance Report</v>
      </c>
    </row>
    <row r="264" spans="1:12" x14ac:dyDescent="0.15">
      <c r="A264" s="1" t="str">
        <f>_xlfn.XLOOKUP(tblRequirementMeasureXref[[#This Row],[dm_id]],tblDataRequirement[dm_id],tblDataRequirement[domain_sub_requirement])</f>
        <v>Funders:Expenditure:Local authorities</v>
      </c>
      <c r="B264" s="1" t="str">
        <f>_xlfn.XLOOKUP(tblRequirementMeasureXref[[#This Row],[dm_id]],tblDataRequirement[dm_id],tblDataRequirement[dm_phase])</f>
        <v>supply</v>
      </c>
      <c r="C264" s="1">
        <v>3</v>
      </c>
      <c r="D264" s="1">
        <v>68</v>
      </c>
      <c r="G264" s="1"/>
      <c r="H264" s="62" t="str">
        <f>_xlfn.XLOOKUP(tblRequirementMeasureXref[[#This Row],[msr_id]],tblMeasure[msr_id],tblMeasure[msr_table])</f>
        <v>T43.NCE</v>
      </c>
      <c r="I264" s="22" t="str">
        <f>_xlfn.XLOOKUP(tblRequirementMeasureXref[[#This Row],[msr_id]],tblMeasure[msr_id],tblMeasure[msr_name])</f>
        <v>Net Current Expenditure on long term care, by support setting, age band and primary support reason, 2018-19</v>
      </c>
      <c r="J264" s="22" t="str">
        <f>_xlfn.XLOOKUP(tblRequirementMeasureXref[[#This Row],[msr_id]],tblMeasure[msr_id],tblMeasure[primary_dimensions])</f>
        <v>expenditure</v>
      </c>
      <c r="K264" s="22" t="str">
        <f>_xlfn.XLOOKUP(tblRequirementMeasureXref[[#This Row],[msr_id]],tblMeasure[msr_id],tblMeasure[msr_min_geo_resolution])</f>
        <v>England</v>
      </c>
      <c r="L264" s="22" t="str">
        <f>_xlfn.XLOOKUP(tblRequirementMeasureXref[[#This Row],[msr_id]],tblMeasure[msr_id],tblMeasure[src_name])</f>
        <v>Adult Social Care Activity and Finance Report</v>
      </c>
    </row>
    <row r="265" spans="1:12" x14ac:dyDescent="0.15">
      <c r="A265" s="1" t="str">
        <f>_xlfn.XLOOKUP(tblRequirementMeasureXref[[#This Row],[dm_id]],tblDataRequirement[dm_id],tblDataRequirement[domain_sub_requirement])</f>
        <v>Funders:Income:Local authority</v>
      </c>
      <c r="B265" s="1" t="str">
        <f>_xlfn.XLOOKUP(tblRequirementMeasureXref[[#This Row],[dm_id]],tblDataRequirement[dm_id],tblDataRequirement[dm_phase])</f>
        <v>supply</v>
      </c>
      <c r="C265" s="1">
        <v>8</v>
      </c>
      <c r="D265" s="1">
        <v>68</v>
      </c>
      <c r="G265" s="1"/>
      <c r="H265" s="62" t="str">
        <f>_xlfn.XLOOKUP(tblRequirementMeasureXref[[#This Row],[msr_id]],tblMeasure[msr_id],tblMeasure[msr_table])</f>
        <v>T43.NCE</v>
      </c>
      <c r="I265" s="22" t="str">
        <f>_xlfn.XLOOKUP(tblRequirementMeasureXref[[#This Row],[msr_id]],tblMeasure[msr_id],tblMeasure[msr_name])</f>
        <v>Net Current Expenditure on long term care, by support setting, age band and primary support reason, 2018-19</v>
      </c>
      <c r="J265" s="22" t="str">
        <f>_xlfn.XLOOKUP(tblRequirementMeasureXref[[#This Row],[msr_id]],tblMeasure[msr_id],tblMeasure[primary_dimensions])</f>
        <v>expenditure</v>
      </c>
      <c r="K265" s="22" t="str">
        <f>_xlfn.XLOOKUP(tblRequirementMeasureXref[[#This Row],[msr_id]],tblMeasure[msr_id],tblMeasure[msr_min_geo_resolution])</f>
        <v>England</v>
      </c>
      <c r="L265" s="22" t="str">
        <f>_xlfn.XLOOKUP(tblRequirementMeasureXref[[#This Row],[msr_id]],tblMeasure[msr_id],tblMeasure[src_name])</f>
        <v>Adult Social Care Activity and Finance Report</v>
      </c>
    </row>
    <row r="266" spans="1:12" x14ac:dyDescent="0.15">
      <c r="A266" s="1" t="str">
        <f>_xlfn.XLOOKUP(tblRequirementMeasureXref[[#This Row],[dm_id]],tblDataRequirement[dm_id],tblDataRequirement[domain_sub_requirement])</f>
        <v>Service:Support type:Long-term</v>
      </c>
      <c r="B266" s="1" t="str">
        <f>_xlfn.XLOOKUP(tblRequirementMeasureXref[[#This Row],[dm_id]],tblDataRequirement[dm_id],tblDataRequirement[dm_phase])</f>
        <v>operate</v>
      </c>
      <c r="C266" s="1">
        <v>45</v>
      </c>
      <c r="D266" s="1">
        <v>68</v>
      </c>
      <c r="G266" s="1"/>
      <c r="H266" s="62" t="str">
        <f>_xlfn.XLOOKUP(tblRequirementMeasureXref[[#This Row],[msr_id]],tblMeasure[msr_id],tblMeasure[msr_table])</f>
        <v>T43.NCE</v>
      </c>
      <c r="I266" s="22" t="str">
        <f>_xlfn.XLOOKUP(tblRequirementMeasureXref[[#This Row],[msr_id]],tblMeasure[msr_id],tblMeasure[msr_name])</f>
        <v>Net Current Expenditure on long term care, by support setting, age band and primary support reason, 2018-19</v>
      </c>
      <c r="J266" s="22" t="str">
        <f>_xlfn.XLOOKUP(tblRequirementMeasureXref[[#This Row],[msr_id]],tblMeasure[msr_id],tblMeasure[primary_dimensions])</f>
        <v>expenditure</v>
      </c>
      <c r="K266" s="22" t="str">
        <f>_xlfn.XLOOKUP(tblRequirementMeasureXref[[#This Row],[msr_id]],tblMeasure[msr_id],tblMeasure[msr_min_geo_resolution])</f>
        <v>England</v>
      </c>
      <c r="L266" s="22" t="str">
        <f>_xlfn.XLOOKUP(tblRequirementMeasureXref[[#This Row],[msr_id]],tblMeasure[msr_id],tblMeasure[src_name])</f>
        <v>Adult Social Care Activity and Finance Report</v>
      </c>
    </row>
    <row r="267" spans="1:12" x14ac:dyDescent="0.15">
      <c r="A267" s="1" t="str">
        <f>_xlfn.XLOOKUP(tblRequirementMeasureXref[[#This Row],[dm_id]],tblDataRequirement[dm_id],tblDataRequirement[domain_sub_requirement])</f>
        <v>Users:Demographics:Age</v>
      </c>
      <c r="B267" s="1" t="str">
        <f>_xlfn.XLOOKUP(tblRequirementMeasureXref[[#This Row],[dm_id]],tblDataRequirement[dm_id],tblDataRequirement[dm_phase])</f>
        <v>demand</v>
      </c>
      <c r="C267" s="1">
        <v>51</v>
      </c>
      <c r="D267" s="1">
        <v>68</v>
      </c>
      <c r="G267" s="1"/>
      <c r="H267" s="62" t="str">
        <f>_xlfn.XLOOKUP(tblRequirementMeasureXref[[#This Row],[msr_id]],tblMeasure[msr_id],tblMeasure[msr_table])</f>
        <v>T43.NCE</v>
      </c>
      <c r="I267" s="22" t="str">
        <f>_xlfn.XLOOKUP(tblRequirementMeasureXref[[#This Row],[msr_id]],tblMeasure[msr_id],tblMeasure[msr_name])</f>
        <v>Net Current Expenditure on long term care, by support setting, age band and primary support reason, 2018-19</v>
      </c>
      <c r="J267" s="22" t="str">
        <f>_xlfn.XLOOKUP(tblRequirementMeasureXref[[#This Row],[msr_id]],tblMeasure[msr_id],tblMeasure[primary_dimensions])</f>
        <v>expenditure</v>
      </c>
      <c r="K267" s="22" t="str">
        <f>_xlfn.XLOOKUP(tblRequirementMeasureXref[[#This Row],[msr_id]],tblMeasure[msr_id],tblMeasure[msr_min_geo_resolution])</f>
        <v>England</v>
      </c>
      <c r="L267" s="22" t="str">
        <f>_xlfn.XLOOKUP(tblRequirementMeasureXref[[#This Row],[msr_id]],tblMeasure[msr_id],tblMeasure[src_name])</f>
        <v>Adult Social Care Activity and Finance Report</v>
      </c>
    </row>
    <row r="268" spans="1:12" x14ac:dyDescent="0.15">
      <c r="A268" s="1" t="str">
        <f>_xlfn.XLOOKUP(tblRequirementMeasureXref[[#This Row],[dm_id]],tblDataRequirement[dm_id],tblDataRequirement[domain_sub_requirement])</f>
        <v>Service:Support setting:Home</v>
      </c>
      <c r="B268" s="1" t="str">
        <f>_xlfn.XLOOKUP(tblRequirementMeasureXref[[#This Row],[dm_id]],tblDataRequirement[dm_id],tblDataRequirement[dm_phase])</f>
        <v>operate</v>
      </c>
      <c r="C268" s="1">
        <v>40</v>
      </c>
      <c r="D268" s="1">
        <v>68</v>
      </c>
      <c r="G268" s="1"/>
      <c r="H268" s="62" t="str">
        <f>_xlfn.XLOOKUP(tblRequirementMeasureXref[[#This Row],[msr_id]],tblMeasure[msr_id],tblMeasure[msr_table])</f>
        <v>T43.NCE</v>
      </c>
      <c r="I268" s="22" t="str">
        <f>_xlfn.XLOOKUP(tblRequirementMeasureXref[[#This Row],[msr_id]],tblMeasure[msr_id],tblMeasure[msr_name])</f>
        <v>Net Current Expenditure on long term care, by support setting, age band and primary support reason, 2018-19</v>
      </c>
      <c r="J268" s="22" t="str">
        <f>_xlfn.XLOOKUP(tblRequirementMeasureXref[[#This Row],[msr_id]],tblMeasure[msr_id],tblMeasure[primary_dimensions])</f>
        <v>expenditure</v>
      </c>
      <c r="K268" s="22" t="str">
        <f>_xlfn.XLOOKUP(tblRequirementMeasureXref[[#This Row],[msr_id]],tblMeasure[msr_id],tblMeasure[msr_min_geo_resolution])</f>
        <v>England</v>
      </c>
      <c r="L268" s="22" t="str">
        <f>_xlfn.XLOOKUP(tblRequirementMeasureXref[[#This Row],[msr_id]],tblMeasure[msr_id],tblMeasure[src_name])</f>
        <v>Adult Social Care Activity and Finance Report</v>
      </c>
    </row>
    <row r="269" spans="1:12" x14ac:dyDescent="0.15">
      <c r="A269" s="1" t="str">
        <f>_xlfn.XLOOKUP(tblRequirementMeasureXref[[#This Row],[dm_id]],tblDataRequirement[dm_id],tblDataRequirement[domain_sub_requirement])</f>
        <v>Service:Support setting:Residential care home</v>
      </c>
      <c r="B269" s="1" t="str">
        <f>_xlfn.XLOOKUP(tblRequirementMeasureXref[[#This Row],[dm_id]],tblDataRequirement[dm_id],tblDataRequirement[dm_phase])</f>
        <v>operate</v>
      </c>
      <c r="C269" s="1">
        <v>41</v>
      </c>
      <c r="D269" s="1">
        <v>68</v>
      </c>
      <c r="G269" s="1"/>
      <c r="H269" s="62" t="str">
        <f>_xlfn.XLOOKUP(tblRequirementMeasureXref[[#This Row],[msr_id]],tblMeasure[msr_id],tblMeasure[msr_table])</f>
        <v>T43.NCE</v>
      </c>
      <c r="I269" s="22" t="str">
        <f>_xlfn.XLOOKUP(tblRequirementMeasureXref[[#This Row],[msr_id]],tblMeasure[msr_id],tblMeasure[msr_name])</f>
        <v>Net Current Expenditure on long term care, by support setting, age band and primary support reason, 2018-19</v>
      </c>
      <c r="J269" s="22" t="str">
        <f>_xlfn.XLOOKUP(tblRequirementMeasureXref[[#This Row],[msr_id]],tblMeasure[msr_id],tblMeasure[primary_dimensions])</f>
        <v>expenditure</v>
      </c>
      <c r="K269" s="22" t="str">
        <f>_xlfn.XLOOKUP(tblRequirementMeasureXref[[#This Row],[msr_id]],tblMeasure[msr_id],tblMeasure[msr_min_geo_resolution])</f>
        <v>England</v>
      </c>
      <c r="L269" s="22" t="str">
        <f>_xlfn.XLOOKUP(tblRequirementMeasureXref[[#This Row],[msr_id]],tblMeasure[msr_id],tblMeasure[src_name])</f>
        <v>Adult Social Care Activity and Finance Report</v>
      </c>
    </row>
    <row r="270" spans="1:12" x14ac:dyDescent="0.15">
      <c r="A270" s="1" t="str">
        <f>_xlfn.XLOOKUP(tblRequirementMeasureXref[[#This Row],[dm_id]],tblDataRequirement[dm_id],tblDataRequirement[domain_sub_requirement])</f>
        <v>Service:Support setting:Nursing home</v>
      </c>
      <c r="B270" s="1" t="str">
        <f>_xlfn.XLOOKUP(tblRequirementMeasureXref[[#This Row],[dm_id]],tblDataRequirement[dm_id],tblDataRequirement[dm_phase])</f>
        <v>operate</v>
      </c>
      <c r="C270" s="1">
        <v>42</v>
      </c>
      <c r="D270" s="1">
        <v>68</v>
      </c>
      <c r="G270" s="1"/>
      <c r="H270" s="62" t="str">
        <f>_xlfn.XLOOKUP(tblRequirementMeasureXref[[#This Row],[msr_id]],tblMeasure[msr_id],tblMeasure[msr_table])</f>
        <v>T43.NCE</v>
      </c>
      <c r="I270" s="22" t="str">
        <f>_xlfn.XLOOKUP(tblRequirementMeasureXref[[#This Row],[msr_id]],tblMeasure[msr_id],tblMeasure[msr_name])</f>
        <v>Net Current Expenditure on long term care, by support setting, age band and primary support reason, 2018-19</v>
      </c>
      <c r="J270" s="22" t="str">
        <f>_xlfn.XLOOKUP(tblRequirementMeasureXref[[#This Row],[msr_id]],tblMeasure[msr_id],tblMeasure[primary_dimensions])</f>
        <v>expenditure</v>
      </c>
      <c r="K270" s="22" t="str">
        <f>_xlfn.XLOOKUP(tblRequirementMeasureXref[[#This Row],[msr_id]],tblMeasure[msr_id],tblMeasure[msr_min_geo_resolution])</f>
        <v>England</v>
      </c>
      <c r="L270" s="22" t="str">
        <f>_xlfn.XLOOKUP(tblRequirementMeasureXref[[#This Row],[msr_id]],tblMeasure[msr_id],tblMeasure[src_name])</f>
        <v>Adult Social Care Activity and Finance Report</v>
      </c>
    </row>
    <row r="271" spans="1:12" x14ac:dyDescent="0.15">
      <c r="A271" s="1" t="str">
        <f>_xlfn.XLOOKUP(tblRequirementMeasureXref[[#This Row],[dm_id]],tblDataRequirement[dm_id],tblDataRequirement[domain_sub_requirement])</f>
        <v>Service:Support setting:Community</v>
      </c>
      <c r="B271" s="1" t="str">
        <f>_xlfn.XLOOKUP(tblRequirementMeasureXref[[#This Row],[dm_id]],tblDataRequirement[dm_id],tblDataRequirement[dm_phase])</f>
        <v>operate</v>
      </c>
      <c r="C271" s="1">
        <v>43</v>
      </c>
      <c r="D271" s="1">
        <v>68</v>
      </c>
      <c r="G271" s="1"/>
      <c r="H271" s="62" t="str">
        <f>_xlfn.XLOOKUP(tblRequirementMeasureXref[[#This Row],[msr_id]],tblMeasure[msr_id],tblMeasure[msr_table])</f>
        <v>T43.NCE</v>
      </c>
      <c r="I271" s="22" t="str">
        <f>_xlfn.XLOOKUP(tblRequirementMeasureXref[[#This Row],[msr_id]],tblMeasure[msr_id],tblMeasure[msr_name])</f>
        <v>Net Current Expenditure on long term care, by support setting, age band and primary support reason, 2018-19</v>
      </c>
      <c r="J271" s="22" t="str">
        <f>_xlfn.XLOOKUP(tblRequirementMeasureXref[[#This Row],[msr_id]],tblMeasure[msr_id],tblMeasure[primary_dimensions])</f>
        <v>expenditure</v>
      </c>
      <c r="K271" s="22" t="str">
        <f>_xlfn.XLOOKUP(tblRequirementMeasureXref[[#This Row],[msr_id]],tblMeasure[msr_id],tblMeasure[msr_min_geo_resolution])</f>
        <v>England</v>
      </c>
      <c r="L271" s="22" t="str">
        <f>_xlfn.XLOOKUP(tblRequirementMeasureXref[[#This Row],[msr_id]],tblMeasure[msr_id],tblMeasure[src_name])</f>
        <v>Adult Social Care Activity and Finance Report</v>
      </c>
    </row>
    <row r="272" spans="1:12" x14ac:dyDescent="0.15">
      <c r="A272" s="1" t="str">
        <f>_xlfn.XLOOKUP(tblRequirementMeasureXref[[#This Row],[dm_id]],tblDataRequirement[dm_id],tblDataRequirement[domain_sub_requirement])</f>
        <v>Users:Care need:Support reason</v>
      </c>
      <c r="B272" s="1" t="str">
        <f>_xlfn.XLOOKUP(tblRequirementMeasureXref[[#This Row],[dm_id]],tblDataRequirement[dm_id],tblDataRequirement[dm_phase])</f>
        <v>demand</v>
      </c>
      <c r="C272" s="1">
        <v>56</v>
      </c>
      <c r="D272" s="1">
        <v>68</v>
      </c>
      <c r="G272" s="1"/>
      <c r="H272" s="62" t="str">
        <f>_xlfn.XLOOKUP(tblRequirementMeasureXref[[#This Row],[msr_id]],tblMeasure[msr_id],tblMeasure[msr_table])</f>
        <v>T43.NCE</v>
      </c>
      <c r="I272" s="22" t="str">
        <f>_xlfn.XLOOKUP(tblRequirementMeasureXref[[#This Row],[msr_id]],tblMeasure[msr_id],tblMeasure[msr_name])</f>
        <v>Net Current Expenditure on long term care, by support setting, age band and primary support reason, 2018-19</v>
      </c>
      <c r="J272" s="22" t="str">
        <f>_xlfn.XLOOKUP(tblRequirementMeasureXref[[#This Row],[msr_id]],tblMeasure[msr_id],tblMeasure[primary_dimensions])</f>
        <v>expenditure</v>
      </c>
      <c r="K272" s="22" t="str">
        <f>_xlfn.XLOOKUP(tblRequirementMeasureXref[[#This Row],[msr_id]],tblMeasure[msr_id],tblMeasure[msr_min_geo_resolution])</f>
        <v>England</v>
      </c>
      <c r="L272" s="22" t="str">
        <f>_xlfn.XLOOKUP(tblRequirementMeasureXref[[#This Row],[msr_id]],tblMeasure[msr_id],tblMeasure[src_name])</f>
        <v>Adult Social Care Activity and Finance Report</v>
      </c>
    </row>
    <row r="273" spans="1:12" x14ac:dyDescent="0.15">
      <c r="A273" s="1" t="str">
        <f>_xlfn.XLOOKUP(tblRequirementMeasureXref[[#This Row],[dm_id]],tblDataRequirement[dm_id],tblDataRequirement[domain_sub_requirement])</f>
        <v>Funders:Expenditure:Local authorities</v>
      </c>
      <c r="B273" s="1" t="str">
        <f>_xlfn.XLOOKUP(tblRequirementMeasureXref[[#This Row],[dm_id]],tblDataRequirement[dm_id],tblDataRequirement[dm_phase])</f>
        <v>supply</v>
      </c>
      <c r="C273" s="1">
        <v>3</v>
      </c>
      <c r="D273" s="1">
        <v>69</v>
      </c>
      <c r="G273" s="1"/>
      <c r="H273" s="62" t="str">
        <f>_xlfn.XLOOKUP(tblRequirementMeasureXref[[#This Row],[msr_id]],tblMeasure[msr_id],tblMeasure[msr_table])</f>
        <v>T44.NCE</v>
      </c>
      <c r="I273" s="22" t="str">
        <f>_xlfn.XLOOKUP(tblRequirementMeasureXref[[#This Row],[msr_id]],tblMeasure[msr_id],tblMeasure[msr_name])</f>
        <v>Net Current Expenditure on other (not long or short term) social care, by primary support reason, 2018-19</v>
      </c>
      <c r="J273" s="22" t="str">
        <f>_xlfn.XLOOKUP(tblRequirementMeasureXref[[#This Row],[msr_id]],tblMeasure[msr_id],tblMeasure[primary_dimensions])</f>
        <v>expenditure</v>
      </c>
      <c r="K273" s="22" t="str">
        <f>_xlfn.XLOOKUP(tblRequirementMeasureXref[[#This Row],[msr_id]],tblMeasure[msr_id],tblMeasure[msr_min_geo_resolution])</f>
        <v>LA</v>
      </c>
      <c r="L273" s="22" t="str">
        <f>_xlfn.XLOOKUP(tblRequirementMeasureXref[[#This Row],[msr_id]],tblMeasure[msr_id],tblMeasure[src_name])</f>
        <v>Adult Social Care Activity and Finance Report</v>
      </c>
    </row>
    <row r="274" spans="1:12" x14ac:dyDescent="0.15">
      <c r="A274" s="1" t="str">
        <f>_xlfn.XLOOKUP(tblRequirementMeasureXref[[#This Row],[dm_id]],tblDataRequirement[dm_id],tblDataRequirement[domain_sub_requirement])</f>
        <v>Service:Support type:Other (not ST or LT)</v>
      </c>
      <c r="B274" s="1" t="str">
        <f>_xlfn.XLOOKUP(tblRequirementMeasureXref[[#This Row],[dm_id]],tblDataRequirement[dm_id],tblDataRequirement[dm_phase])</f>
        <v>operate</v>
      </c>
      <c r="C274" s="1">
        <v>68</v>
      </c>
      <c r="D274" s="1">
        <v>69</v>
      </c>
      <c r="G274" s="1"/>
      <c r="H274" s="62" t="str">
        <f>_xlfn.XLOOKUP(tblRequirementMeasureXref[[#This Row],[msr_id]],tblMeasure[msr_id],tblMeasure[msr_table])</f>
        <v>T44.NCE</v>
      </c>
      <c r="I274" s="22" t="str">
        <f>_xlfn.XLOOKUP(tblRequirementMeasureXref[[#This Row],[msr_id]],tblMeasure[msr_id],tblMeasure[msr_name])</f>
        <v>Net Current Expenditure on other (not long or short term) social care, by primary support reason, 2018-19</v>
      </c>
      <c r="J274" s="22" t="str">
        <f>_xlfn.XLOOKUP(tblRequirementMeasureXref[[#This Row],[msr_id]],tblMeasure[msr_id],tblMeasure[primary_dimensions])</f>
        <v>expenditure</v>
      </c>
      <c r="K274" s="22" t="str">
        <f>_xlfn.XLOOKUP(tblRequirementMeasureXref[[#This Row],[msr_id]],tblMeasure[msr_id],tblMeasure[msr_min_geo_resolution])</f>
        <v>LA</v>
      </c>
      <c r="L274" s="22" t="str">
        <f>_xlfn.XLOOKUP(tblRequirementMeasureXref[[#This Row],[msr_id]],tblMeasure[msr_id],tblMeasure[src_name])</f>
        <v>Adult Social Care Activity and Finance Report</v>
      </c>
    </row>
    <row r="275" spans="1:12" x14ac:dyDescent="0.15">
      <c r="A275" s="1" t="str">
        <f>_xlfn.XLOOKUP(tblRequirementMeasureXref[[#This Row],[dm_id]],tblDataRequirement[dm_id],tblDataRequirement[domain_sub_requirement])</f>
        <v>Users:Care need:Support reason</v>
      </c>
      <c r="B275" s="1" t="str">
        <f>_xlfn.XLOOKUP(tblRequirementMeasureXref[[#This Row],[dm_id]],tblDataRequirement[dm_id],tblDataRequirement[dm_phase])</f>
        <v>demand</v>
      </c>
      <c r="C275" s="1">
        <v>56</v>
      </c>
      <c r="D275" s="1">
        <v>69</v>
      </c>
      <c r="G275" s="1"/>
      <c r="H275" s="62" t="str">
        <f>_xlfn.XLOOKUP(tblRequirementMeasureXref[[#This Row],[msr_id]],tblMeasure[msr_id],tblMeasure[msr_table])</f>
        <v>T44.NCE</v>
      </c>
      <c r="I275" s="22" t="str">
        <f>_xlfn.XLOOKUP(tblRequirementMeasureXref[[#This Row],[msr_id]],tblMeasure[msr_id],tblMeasure[msr_name])</f>
        <v>Net Current Expenditure on other (not long or short term) social care, by primary support reason, 2018-19</v>
      </c>
      <c r="J275" s="22" t="str">
        <f>_xlfn.XLOOKUP(tblRequirementMeasureXref[[#This Row],[msr_id]],tblMeasure[msr_id],tblMeasure[primary_dimensions])</f>
        <v>expenditure</v>
      </c>
      <c r="K275" s="22" t="str">
        <f>_xlfn.XLOOKUP(tblRequirementMeasureXref[[#This Row],[msr_id]],tblMeasure[msr_id],tblMeasure[msr_min_geo_resolution])</f>
        <v>LA</v>
      </c>
      <c r="L275" s="22" t="str">
        <f>_xlfn.XLOOKUP(tblRequirementMeasureXref[[#This Row],[msr_id]],tblMeasure[msr_id],tblMeasure[src_name])</f>
        <v>Adult Social Care Activity and Finance Report</v>
      </c>
    </row>
    <row r="276" spans="1:12" x14ac:dyDescent="0.15">
      <c r="A276" s="1" t="str">
        <f>_xlfn.XLOOKUP(tblRequirementMeasureXref[[#This Row],[dm_id]],tblDataRequirement[dm_id],tblDataRequirement[domain_sub_requirement])</f>
        <v>Users:Quality of life:Well-being</v>
      </c>
      <c r="B276" s="1" t="str">
        <f>_xlfn.XLOOKUP(tblRequirementMeasureXref[[#This Row],[dm_id]],tblDataRequirement[dm_id],tblDataRequirement[dm_phase])</f>
        <v>outcome</v>
      </c>
      <c r="C276" s="1">
        <v>54</v>
      </c>
      <c r="D276" s="1">
        <v>70</v>
      </c>
      <c r="G276" s="1"/>
      <c r="H276" s="62" t="str">
        <f>_xlfn.XLOOKUP(tblRequirementMeasureXref[[#This Row],[msr_id]],tblMeasure[msr_id],tblMeasure[msr_table])</f>
        <v>1A</v>
      </c>
      <c r="I276" s="22" t="str">
        <f>_xlfn.XLOOKUP(tblRequirementMeasureXref[[#This Row],[msr_id]],tblMeasure[msr_id],tblMeasure[msr_name])</f>
        <v xml:space="preserve">Social care-related quality of life score </v>
      </c>
      <c r="J276" s="22" t="str">
        <f>_xlfn.XLOOKUP(tblRequirementMeasureXref[[#This Row],[msr_id]],tblMeasure[msr_id],tblMeasure[primary_dimensions])</f>
        <v>quality of life</v>
      </c>
      <c r="K276" s="22" t="str">
        <f>_xlfn.XLOOKUP(tblRequirementMeasureXref[[#This Row],[msr_id]],tblMeasure[msr_id],tblMeasure[msr_min_geo_resolution])</f>
        <v>LA</v>
      </c>
      <c r="L276" s="22" t="str">
        <f>_xlfn.XLOOKUP(tblRequirementMeasureXref[[#This Row],[msr_id]],tblMeasure[msr_id],tblMeasure[src_name])</f>
        <v>ASCOF</v>
      </c>
    </row>
    <row r="277" spans="1:12" x14ac:dyDescent="0.15">
      <c r="A277" s="1" t="str">
        <f>_xlfn.XLOOKUP(tblRequirementMeasureXref[[#This Row],[dm_id]],tblDataRequirement[dm_id],tblDataRequirement[domain_sub_requirement])</f>
        <v>Users:Demographics:Age</v>
      </c>
      <c r="B277" s="1" t="str">
        <f>_xlfn.XLOOKUP(tblRequirementMeasureXref[[#This Row],[dm_id]],tblDataRequirement[dm_id],tblDataRequirement[dm_phase])</f>
        <v>demand</v>
      </c>
      <c r="C277" s="1">
        <v>51</v>
      </c>
      <c r="D277" s="1">
        <v>70</v>
      </c>
      <c r="G277" s="1"/>
      <c r="H277" s="62" t="str">
        <f>_xlfn.XLOOKUP(tblRequirementMeasureXref[[#This Row],[msr_id]],tblMeasure[msr_id],tblMeasure[msr_table])</f>
        <v>1A</v>
      </c>
      <c r="I277" s="22" t="str">
        <f>_xlfn.XLOOKUP(tblRequirementMeasureXref[[#This Row],[msr_id]],tblMeasure[msr_id],tblMeasure[msr_name])</f>
        <v xml:space="preserve">Social care-related quality of life score </v>
      </c>
      <c r="J277" s="22" t="str">
        <f>_xlfn.XLOOKUP(tblRequirementMeasureXref[[#This Row],[msr_id]],tblMeasure[msr_id],tblMeasure[primary_dimensions])</f>
        <v>quality of life</v>
      </c>
      <c r="K277" s="22" t="str">
        <f>_xlfn.XLOOKUP(tblRequirementMeasureXref[[#This Row],[msr_id]],tblMeasure[msr_id],tblMeasure[msr_min_geo_resolution])</f>
        <v>LA</v>
      </c>
      <c r="L277" s="22" t="str">
        <f>_xlfn.XLOOKUP(tblRequirementMeasureXref[[#This Row],[msr_id]],tblMeasure[msr_id],tblMeasure[src_name])</f>
        <v>ASCOF</v>
      </c>
    </row>
    <row r="278" spans="1:12" x14ac:dyDescent="0.15">
      <c r="A278" s="1" t="str">
        <f>_xlfn.XLOOKUP(tblRequirementMeasureXref[[#This Row],[dm_id]],tblDataRequirement[dm_id],tblDataRequirement[domain_sub_requirement])</f>
        <v>Users:Demographics:Gender</v>
      </c>
      <c r="B278" s="1" t="str">
        <f>_xlfn.XLOOKUP(tblRequirementMeasureXref[[#This Row],[dm_id]],tblDataRequirement[dm_id],tblDataRequirement[dm_phase])</f>
        <v>demand</v>
      </c>
      <c r="C278" s="1">
        <v>62</v>
      </c>
      <c r="D278" s="1">
        <v>70</v>
      </c>
      <c r="G278" s="1"/>
      <c r="H278" s="62" t="str">
        <f>_xlfn.XLOOKUP(tblRequirementMeasureXref[[#This Row],[msr_id]],tblMeasure[msr_id],tblMeasure[msr_table])</f>
        <v>1A</v>
      </c>
      <c r="I278" s="22" t="str">
        <f>_xlfn.XLOOKUP(tblRequirementMeasureXref[[#This Row],[msr_id]],tblMeasure[msr_id],tblMeasure[msr_name])</f>
        <v xml:space="preserve">Social care-related quality of life score </v>
      </c>
      <c r="J278" s="22" t="str">
        <f>_xlfn.XLOOKUP(tblRequirementMeasureXref[[#This Row],[msr_id]],tblMeasure[msr_id],tblMeasure[primary_dimensions])</f>
        <v>quality of life</v>
      </c>
      <c r="K278" s="22" t="str">
        <f>_xlfn.XLOOKUP(tblRequirementMeasureXref[[#This Row],[msr_id]],tblMeasure[msr_id],tblMeasure[msr_min_geo_resolution])</f>
        <v>LA</v>
      </c>
      <c r="L278" s="22" t="str">
        <f>_xlfn.XLOOKUP(tblRequirementMeasureXref[[#This Row],[msr_id]],tblMeasure[msr_id],tblMeasure[src_name])</f>
        <v>ASCOF</v>
      </c>
    </row>
    <row r="279" spans="1:12" x14ac:dyDescent="0.15">
      <c r="A279" s="1" t="str">
        <f>_xlfn.XLOOKUP(tblRequirementMeasureXref[[#This Row],[dm_id]],tblDataRequirement[dm_id],tblDataRequirement[domain_sub_requirement])</f>
        <v>Users:Quality of life:Well-being</v>
      </c>
      <c r="B279" s="1" t="str">
        <f>_xlfn.XLOOKUP(tblRequirementMeasureXref[[#This Row],[dm_id]],tblDataRequirement[dm_id],tblDataRequirement[dm_phase])</f>
        <v>outcome</v>
      </c>
      <c r="C279" s="1">
        <v>54</v>
      </c>
      <c r="D279" s="1">
        <v>71</v>
      </c>
      <c r="G279" s="1"/>
      <c r="H279" s="62" t="str">
        <f>_xlfn.XLOOKUP(tblRequirementMeasureXref[[#This Row],[msr_id]],tblMeasure[msr_id],tblMeasure[msr_table])</f>
        <v>1B</v>
      </c>
      <c r="I279" s="22" t="str">
        <f>_xlfn.XLOOKUP(tblRequirementMeasureXref[[#This Row],[msr_id]],tblMeasure[msr_id],tblMeasure[msr_name])</f>
        <v xml:space="preserve">Proportion of people who use services who have control over their daily life </v>
      </c>
      <c r="J279" s="22" t="str">
        <f>_xlfn.XLOOKUP(tblRequirementMeasureXref[[#This Row],[msr_id]],tblMeasure[msr_id],tblMeasure[primary_dimensions])</f>
        <v>control_of_life</v>
      </c>
      <c r="K279" s="22" t="str">
        <f>_xlfn.XLOOKUP(tblRequirementMeasureXref[[#This Row],[msr_id]],tblMeasure[msr_id],tblMeasure[msr_min_geo_resolution])</f>
        <v>LA</v>
      </c>
      <c r="L279" s="22" t="str">
        <f>_xlfn.XLOOKUP(tblRequirementMeasureXref[[#This Row],[msr_id]],tblMeasure[msr_id],tblMeasure[src_name])</f>
        <v>ASCOF</v>
      </c>
    </row>
    <row r="280" spans="1:12" x14ac:dyDescent="0.15">
      <c r="A280" s="1" t="str">
        <f>_xlfn.XLOOKUP(tblRequirementMeasureXref[[#This Row],[dm_id]],tblDataRequirement[dm_id],tblDataRequirement[domain_sub_requirement])</f>
        <v>Users:Demographics:Age</v>
      </c>
      <c r="B280" s="1" t="str">
        <f>_xlfn.XLOOKUP(tblRequirementMeasureXref[[#This Row],[dm_id]],tblDataRequirement[dm_id],tblDataRequirement[dm_phase])</f>
        <v>demand</v>
      </c>
      <c r="C280" s="1">
        <v>51</v>
      </c>
      <c r="D280" s="1">
        <v>71</v>
      </c>
      <c r="G280" s="1"/>
      <c r="H280" s="62" t="str">
        <f>_xlfn.XLOOKUP(tblRequirementMeasureXref[[#This Row],[msr_id]],tblMeasure[msr_id],tblMeasure[msr_table])</f>
        <v>1B</v>
      </c>
      <c r="I280" s="22" t="str">
        <f>_xlfn.XLOOKUP(tblRequirementMeasureXref[[#This Row],[msr_id]],tblMeasure[msr_id],tblMeasure[msr_name])</f>
        <v xml:space="preserve">Proportion of people who use services who have control over their daily life </v>
      </c>
      <c r="J280" s="22" t="str">
        <f>_xlfn.XLOOKUP(tblRequirementMeasureXref[[#This Row],[msr_id]],tblMeasure[msr_id],tblMeasure[primary_dimensions])</f>
        <v>control_of_life</v>
      </c>
      <c r="K280" s="22" t="str">
        <f>_xlfn.XLOOKUP(tblRequirementMeasureXref[[#This Row],[msr_id]],tblMeasure[msr_id],tblMeasure[msr_min_geo_resolution])</f>
        <v>LA</v>
      </c>
      <c r="L280" s="22" t="str">
        <f>_xlfn.XLOOKUP(tblRequirementMeasureXref[[#This Row],[msr_id]],tblMeasure[msr_id],tblMeasure[src_name])</f>
        <v>ASCOF</v>
      </c>
    </row>
    <row r="281" spans="1:12" x14ac:dyDescent="0.15">
      <c r="A281" s="1" t="str">
        <f>_xlfn.XLOOKUP(tblRequirementMeasureXref[[#This Row],[dm_id]],tblDataRequirement[dm_id],tblDataRequirement[domain_sub_requirement])</f>
        <v>Users:Demographics:Gender</v>
      </c>
      <c r="B281" s="1" t="str">
        <f>_xlfn.XLOOKUP(tblRequirementMeasureXref[[#This Row],[dm_id]],tblDataRequirement[dm_id],tblDataRequirement[dm_phase])</f>
        <v>demand</v>
      </c>
      <c r="C281" s="1">
        <v>62</v>
      </c>
      <c r="D281" s="1">
        <v>71</v>
      </c>
      <c r="G281" s="1"/>
      <c r="H281" s="62" t="str">
        <f>_xlfn.XLOOKUP(tblRequirementMeasureXref[[#This Row],[msr_id]],tblMeasure[msr_id],tblMeasure[msr_table])</f>
        <v>1B</v>
      </c>
      <c r="I281" s="22" t="str">
        <f>_xlfn.XLOOKUP(tblRequirementMeasureXref[[#This Row],[msr_id]],tblMeasure[msr_id],tblMeasure[msr_name])</f>
        <v xml:space="preserve">Proportion of people who use services who have control over their daily life </v>
      </c>
      <c r="J281" s="22" t="str">
        <f>_xlfn.XLOOKUP(tblRequirementMeasureXref[[#This Row],[msr_id]],tblMeasure[msr_id],tblMeasure[primary_dimensions])</f>
        <v>control_of_life</v>
      </c>
      <c r="K281" s="22" t="str">
        <f>_xlfn.XLOOKUP(tblRequirementMeasureXref[[#This Row],[msr_id]],tblMeasure[msr_id],tblMeasure[msr_min_geo_resolution])</f>
        <v>LA</v>
      </c>
      <c r="L281" s="22" t="str">
        <f>_xlfn.XLOOKUP(tblRequirementMeasureXref[[#This Row],[msr_id]],tblMeasure[msr_id],tblMeasure[src_name])</f>
        <v>ASCOF</v>
      </c>
    </row>
    <row r="282" spans="1:12" x14ac:dyDescent="0.15">
      <c r="A282" s="1" t="str">
        <f>_xlfn.XLOOKUP(tblRequirementMeasureXref[[#This Row],[dm_id]],tblDataRequirement[dm_id],tblDataRequirement[domain_sub_requirement])</f>
        <v>Users:Demographics:Age</v>
      </c>
      <c r="B282" s="1" t="str">
        <f>_xlfn.XLOOKUP(tblRequirementMeasureXref[[#This Row],[dm_id]],tblDataRequirement[dm_id],tblDataRequirement[dm_phase])</f>
        <v>demand</v>
      </c>
      <c r="C282" s="1">
        <v>51</v>
      </c>
      <c r="D282" s="1">
        <v>72</v>
      </c>
      <c r="G282" s="1"/>
      <c r="H282" s="62" t="str">
        <f>_xlfn.XLOOKUP(tblRequirementMeasureXref[[#This Row],[msr_id]],tblMeasure[msr_id],tblMeasure[msr_table])</f>
        <v>1C(1A)</v>
      </c>
      <c r="I282" s="22" t="str">
        <f>_xlfn.XLOOKUP(tblRequirementMeasureXref[[#This Row],[msr_id]],tblMeasure[msr_id],tblMeasure[msr_name])</f>
        <v>The proportion of people who use services who receive self-directed support</v>
      </c>
      <c r="J282" s="22" t="str">
        <f>_xlfn.XLOOKUP(tblRequirementMeasureXref[[#This Row],[msr_id]],tblMeasure[msr_id],tblMeasure[primary_dimensions])</f>
        <v>user self-directed support</v>
      </c>
      <c r="K282" s="22" t="str">
        <f>_xlfn.XLOOKUP(tblRequirementMeasureXref[[#This Row],[msr_id]],tblMeasure[msr_id],tblMeasure[msr_min_geo_resolution])</f>
        <v>LA</v>
      </c>
      <c r="L282" s="22" t="str">
        <f>_xlfn.XLOOKUP(tblRequirementMeasureXref[[#This Row],[msr_id]],tblMeasure[msr_id],tblMeasure[src_name])</f>
        <v>ASCOF</v>
      </c>
    </row>
    <row r="283" spans="1:12" x14ac:dyDescent="0.15">
      <c r="A283" s="1" t="str">
        <f>_xlfn.XLOOKUP(tblRequirementMeasureXref[[#This Row],[dm_id]],tblDataRequirement[dm_id],tblDataRequirement[domain_sub_requirement])</f>
        <v>Service:Care models:Self-directed support</v>
      </c>
      <c r="B283" s="1" t="str">
        <f>_xlfn.XLOOKUP(tblRequirementMeasureXref[[#This Row],[dm_id]],tblDataRequirement[dm_id],tblDataRequirement[dm_phase])</f>
        <v>operate</v>
      </c>
      <c r="C283" s="1">
        <v>70</v>
      </c>
      <c r="D283" s="1">
        <v>72</v>
      </c>
      <c r="G283" s="1"/>
      <c r="H283" s="62" t="str">
        <f>_xlfn.XLOOKUP(tblRequirementMeasureXref[[#This Row],[msr_id]],tblMeasure[msr_id],tblMeasure[msr_table])</f>
        <v>1C(1A)</v>
      </c>
      <c r="I283" s="22" t="str">
        <f>_xlfn.XLOOKUP(tblRequirementMeasureXref[[#This Row],[msr_id]],tblMeasure[msr_id],tblMeasure[msr_name])</f>
        <v>The proportion of people who use services who receive self-directed support</v>
      </c>
      <c r="J283" s="22" t="str">
        <f>_xlfn.XLOOKUP(tblRequirementMeasureXref[[#This Row],[msr_id]],tblMeasure[msr_id],tblMeasure[primary_dimensions])</f>
        <v>user self-directed support</v>
      </c>
      <c r="K283" s="22" t="str">
        <f>_xlfn.XLOOKUP(tblRequirementMeasureXref[[#This Row],[msr_id]],tblMeasure[msr_id],tblMeasure[msr_min_geo_resolution])</f>
        <v>LA</v>
      </c>
      <c r="L283" s="22" t="str">
        <f>_xlfn.XLOOKUP(tblRequirementMeasureXref[[#This Row],[msr_id]],tblMeasure[msr_id],tblMeasure[src_name])</f>
        <v>ASCOF</v>
      </c>
    </row>
    <row r="284" spans="1:12" x14ac:dyDescent="0.15">
      <c r="A284" s="1" t="str">
        <f>_xlfn.XLOOKUP(tblRequirementMeasureXref[[#This Row],[dm_id]],tblDataRequirement[dm_id],tblDataRequirement[domain_sub_requirement])</f>
        <v>Service:Care models:Self-directed support</v>
      </c>
      <c r="B284" s="1" t="str">
        <f>_xlfn.XLOOKUP(tblRequirementMeasureXref[[#This Row],[dm_id]],tblDataRequirement[dm_id],tblDataRequirement[dm_phase])</f>
        <v>operate</v>
      </c>
      <c r="C284" s="1">
        <v>70</v>
      </c>
      <c r="D284" s="1">
        <v>73</v>
      </c>
      <c r="G284" s="1"/>
      <c r="H284" s="62" t="str">
        <f>_xlfn.XLOOKUP(tblRequirementMeasureXref[[#This Row],[msr_id]],tblMeasure[msr_id],tblMeasure[msr_table])</f>
        <v>1C(1B)</v>
      </c>
      <c r="I284" s="22" t="str">
        <f>_xlfn.XLOOKUP(tblRequirementMeasureXref[[#This Row],[msr_id]],tblMeasure[msr_id],tblMeasure[msr_name])</f>
        <v>The proportion of carers who receive self-directed support</v>
      </c>
      <c r="J284" s="22" t="str">
        <f>_xlfn.XLOOKUP(tblRequirementMeasureXref[[#This Row],[msr_id]],tblMeasure[msr_id],tblMeasure[primary_dimensions])</f>
        <v>carer self-directed support, carer age</v>
      </c>
      <c r="K284" s="22" t="str">
        <f>_xlfn.XLOOKUP(tblRequirementMeasureXref[[#This Row],[msr_id]],tblMeasure[msr_id],tblMeasure[msr_min_geo_resolution])</f>
        <v>LA</v>
      </c>
      <c r="L284" s="22" t="str">
        <f>_xlfn.XLOOKUP(tblRequirementMeasureXref[[#This Row],[msr_id]],tblMeasure[msr_id],tblMeasure[src_name])</f>
        <v>ASCOF</v>
      </c>
    </row>
    <row r="285" spans="1:12" x14ac:dyDescent="0.15">
      <c r="A285" s="1" t="str">
        <f>_xlfn.XLOOKUP(tblRequirementMeasureXref[[#This Row],[dm_id]],tblDataRequirement[dm_id],tblDataRequirement[domain_sub_requirement])</f>
        <v>Unpaid Carers:Workforce:Workforce</v>
      </c>
      <c r="B285" s="1" t="str">
        <f>_xlfn.XLOOKUP(tblRequirementMeasureXref[[#This Row],[dm_id]],tblDataRequirement[dm_id],tblDataRequirement[dm_phase])</f>
        <v>supply</v>
      </c>
      <c r="C285" s="1">
        <v>19</v>
      </c>
      <c r="D285" s="1">
        <v>73</v>
      </c>
      <c r="G285" s="1"/>
      <c r="H285" s="62" t="str">
        <f>_xlfn.XLOOKUP(tblRequirementMeasureXref[[#This Row],[msr_id]],tblMeasure[msr_id],tblMeasure[msr_table])</f>
        <v>1C(1B)</v>
      </c>
      <c r="I285" s="22" t="str">
        <f>_xlfn.XLOOKUP(tblRequirementMeasureXref[[#This Row],[msr_id]],tblMeasure[msr_id],tblMeasure[msr_name])</f>
        <v>The proportion of carers who receive self-directed support</v>
      </c>
      <c r="J285" s="22" t="str">
        <f>_xlfn.XLOOKUP(tblRequirementMeasureXref[[#This Row],[msr_id]],tblMeasure[msr_id],tblMeasure[primary_dimensions])</f>
        <v>carer self-directed support, carer age</v>
      </c>
      <c r="K285" s="22" t="str">
        <f>_xlfn.XLOOKUP(tblRequirementMeasureXref[[#This Row],[msr_id]],tblMeasure[msr_id],tblMeasure[msr_min_geo_resolution])</f>
        <v>LA</v>
      </c>
      <c r="L285" s="22" t="str">
        <f>_xlfn.XLOOKUP(tblRequirementMeasureXref[[#This Row],[msr_id]],tblMeasure[msr_id],tblMeasure[src_name])</f>
        <v>ASCOF</v>
      </c>
    </row>
    <row r="286" spans="1:12" x14ac:dyDescent="0.15">
      <c r="A286" s="1" t="str">
        <f>_xlfn.XLOOKUP(tblRequirementMeasureXref[[#This Row],[dm_id]],tblDataRequirement[dm_id],tblDataRequirement[domain_sub_requirement])</f>
        <v>Unpaid Carers:Demographics:Age</v>
      </c>
      <c r="B286" s="1" t="str">
        <f>_xlfn.XLOOKUP(tblRequirementMeasureXref[[#This Row],[dm_id]],tblDataRequirement[dm_id],tblDataRequirement[dm_phase])</f>
        <v>supply</v>
      </c>
      <c r="C286" s="1">
        <v>81</v>
      </c>
      <c r="D286" s="1">
        <v>73</v>
      </c>
      <c r="G286" s="1"/>
      <c r="H286" s="62" t="str">
        <f>_xlfn.XLOOKUP(tblRequirementMeasureXref[[#This Row],[msr_id]],tblMeasure[msr_id],tblMeasure[msr_table])</f>
        <v>1C(1B)</v>
      </c>
      <c r="I286" s="22" t="str">
        <f>_xlfn.XLOOKUP(tblRequirementMeasureXref[[#This Row],[msr_id]],tblMeasure[msr_id],tblMeasure[msr_name])</f>
        <v>The proportion of carers who receive self-directed support</v>
      </c>
      <c r="J286" s="22" t="str">
        <f>_xlfn.XLOOKUP(tblRequirementMeasureXref[[#This Row],[msr_id]],tblMeasure[msr_id],tblMeasure[primary_dimensions])</f>
        <v>carer self-directed support, carer age</v>
      </c>
      <c r="K286" s="22" t="str">
        <f>_xlfn.XLOOKUP(tblRequirementMeasureXref[[#This Row],[msr_id]],tblMeasure[msr_id],tblMeasure[msr_min_geo_resolution])</f>
        <v>LA</v>
      </c>
      <c r="L286" s="22" t="str">
        <f>_xlfn.XLOOKUP(tblRequirementMeasureXref[[#This Row],[msr_id]],tblMeasure[msr_id],tblMeasure[src_name])</f>
        <v>ASCOF</v>
      </c>
    </row>
    <row r="287" spans="1:12" x14ac:dyDescent="0.15">
      <c r="A287" s="1" t="str">
        <f>_xlfn.XLOOKUP(tblRequirementMeasureXref[[#This Row],[dm_id]],tblDataRequirement[dm_id],tblDataRequirement[domain_sub_requirement])</f>
        <v>Users:Demographics:Age</v>
      </c>
      <c r="B287" s="1" t="str">
        <f>_xlfn.XLOOKUP(tblRequirementMeasureXref[[#This Row],[dm_id]],tblDataRequirement[dm_id],tblDataRequirement[dm_phase])</f>
        <v>demand</v>
      </c>
      <c r="C287" s="1">
        <v>51</v>
      </c>
      <c r="D287" s="1">
        <v>74</v>
      </c>
      <c r="G287" s="1"/>
      <c r="H287" s="62" t="str">
        <f>_xlfn.XLOOKUP(tblRequirementMeasureXref[[#This Row],[msr_id]],tblMeasure[msr_id],tblMeasure[msr_table])</f>
        <v>1C(2A)</v>
      </c>
      <c r="I287" s="22" t="str">
        <f>_xlfn.XLOOKUP(tblRequirementMeasureXref[[#This Row],[msr_id]],tblMeasure[msr_id],tblMeasure[msr_name])</f>
        <v>The proportion of people who use services who receive direct payments</v>
      </c>
      <c r="J287" s="22" t="str">
        <f>_xlfn.XLOOKUP(tblRequirementMeasureXref[[#This Row],[msr_id]],tblMeasure[msr_id],tblMeasure[primary_dimensions])</f>
        <v>users direct payments</v>
      </c>
      <c r="K287" s="22" t="str">
        <f>_xlfn.XLOOKUP(tblRequirementMeasureXref[[#This Row],[msr_id]],tblMeasure[msr_id],tblMeasure[msr_min_geo_resolution])</f>
        <v>LA</v>
      </c>
      <c r="L287" s="22" t="str">
        <f>_xlfn.XLOOKUP(tblRequirementMeasureXref[[#This Row],[msr_id]],tblMeasure[msr_id],tblMeasure[src_name])</f>
        <v>ASCOF</v>
      </c>
    </row>
    <row r="288" spans="1:12" x14ac:dyDescent="0.15">
      <c r="A288" s="1" t="str">
        <f>_xlfn.XLOOKUP(tblRequirementMeasureXref[[#This Row],[dm_id]],tblDataRequirement[dm_id],tblDataRequirement[domain_sub_requirement])</f>
        <v>Users:Income:Direct payments</v>
      </c>
      <c r="B288" s="1" t="str">
        <f>_xlfn.XLOOKUP(tblRequirementMeasureXref[[#This Row],[dm_id]],tblDataRequirement[dm_id],tblDataRequirement[dm_phase])</f>
        <v>supply</v>
      </c>
      <c r="C288" s="1">
        <v>71</v>
      </c>
      <c r="D288" s="1">
        <v>74</v>
      </c>
      <c r="G288" s="1"/>
      <c r="H288" s="62" t="str">
        <f>_xlfn.XLOOKUP(tblRequirementMeasureXref[[#This Row],[msr_id]],tblMeasure[msr_id],tblMeasure[msr_table])</f>
        <v>1C(2A)</v>
      </c>
      <c r="I288" s="22" t="str">
        <f>_xlfn.XLOOKUP(tblRequirementMeasureXref[[#This Row],[msr_id]],tblMeasure[msr_id],tblMeasure[msr_name])</f>
        <v>The proportion of people who use services who receive direct payments</v>
      </c>
      <c r="J288" s="22" t="str">
        <f>_xlfn.XLOOKUP(tblRequirementMeasureXref[[#This Row],[msr_id]],tblMeasure[msr_id],tblMeasure[primary_dimensions])</f>
        <v>users direct payments</v>
      </c>
      <c r="K288" s="22" t="str">
        <f>_xlfn.XLOOKUP(tblRequirementMeasureXref[[#This Row],[msr_id]],tblMeasure[msr_id],tblMeasure[msr_min_geo_resolution])</f>
        <v>LA</v>
      </c>
      <c r="L288" s="22" t="str">
        <f>_xlfn.XLOOKUP(tblRequirementMeasureXref[[#This Row],[msr_id]],tblMeasure[msr_id],tblMeasure[src_name])</f>
        <v>ASCOF</v>
      </c>
    </row>
    <row r="289" spans="1:12" x14ac:dyDescent="0.15">
      <c r="A289" s="1" t="str">
        <f>_xlfn.XLOOKUP(tblRequirementMeasureXref[[#This Row],[dm_id]],tblDataRequirement[dm_id],tblDataRequirement[domain_sub_requirement])</f>
        <v>Unpaid Carers:Income:Direct payments</v>
      </c>
      <c r="B289" s="1" t="str">
        <f>_xlfn.XLOOKUP(tblRequirementMeasureXref[[#This Row],[dm_id]],tblDataRequirement[dm_id],tblDataRequirement[dm_phase])</f>
        <v>supply</v>
      </c>
      <c r="C289" s="1">
        <v>90</v>
      </c>
      <c r="D289" s="1">
        <v>75</v>
      </c>
      <c r="G289" s="1"/>
      <c r="H289" s="62" t="str">
        <f>_xlfn.XLOOKUP(tblRequirementMeasureXref[[#This Row],[msr_id]],tblMeasure[msr_id],tblMeasure[msr_table])</f>
        <v>1C(2B)</v>
      </c>
      <c r="I289" s="22" t="str">
        <f>_xlfn.XLOOKUP(tblRequirementMeasureXref[[#This Row],[msr_id]],tblMeasure[msr_id],tblMeasure[msr_name])</f>
        <v>The proportion of carers who receive direct payments</v>
      </c>
      <c r="J289" s="22" t="str">
        <f>_xlfn.XLOOKUP(tblRequirementMeasureXref[[#This Row],[msr_id]],tblMeasure[msr_id],tblMeasure[primary_dimensions])</f>
        <v>carers direct payments</v>
      </c>
      <c r="K289" s="22" t="str">
        <f>_xlfn.XLOOKUP(tblRequirementMeasureXref[[#This Row],[msr_id]],tblMeasure[msr_id],tblMeasure[msr_min_geo_resolution])</f>
        <v>LA</v>
      </c>
      <c r="L289" s="22" t="str">
        <f>_xlfn.XLOOKUP(tblRequirementMeasureXref[[#This Row],[msr_id]],tblMeasure[msr_id],tblMeasure[src_name])</f>
        <v>ASCOF</v>
      </c>
    </row>
    <row r="290" spans="1:12" x14ac:dyDescent="0.15">
      <c r="A290" s="1" t="str">
        <f>_xlfn.XLOOKUP(tblRequirementMeasureXref[[#This Row],[dm_id]],tblDataRequirement[dm_id],tblDataRequirement[domain_sub_requirement])</f>
        <v>Unpaid Carers:Workforce:Workforce</v>
      </c>
      <c r="B290" s="1" t="str">
        <f>_xlfn.XLOOKUP(tblRequirementMeasureXref[[#This Row],[dm_id]],tblDataRequirement[dm_id],tblDataRequirement[dm_phase])</f>
        <v>supply</v>
      </c>
      <c r="C290" s="1">
        <v>19</v>
      </c>
      <c r="D290" s="1">
        <v>75</v>
      </c>
      <c r="G290" s="1"/>
      <c r="H290" s="62" t="str">
        <f>_xlfn.XLOOKUP(tblRequirementMeasureXref[[#This Row],[msr_id]],tblMeasure[msr_id],tblMeasure[msr_table])</f>
        <v>1C(2B)</v>
      </c>
      <c r="I290" s="22" t="str">
        <f>_xlfn.XLOOKUP(tblRequirementMeasureXref[[#This Row],[msr_id]],tblMeasure[msr_id],tblMeasure[msr_name])</f>
        <v>The proportion of carers who receive direct payments</v>
      </c>
      <c r="J290" s="22" t="str">
        <f>_xlfn.XLOOKUP(tblRequirementMeasureXref[[#This Row],[msr_id]],tblMeasure[msr_id],tblMeasure[primary_dimensions])</f>
        <v>carers direct payments</v>
      </c>
      <c r="K290" s="22" t="str">
        <f>_xlfn.XLOOKUP(tblRequirementMeasureXref[[#This Row],[msr_id]],tblMeasure[msr_id],tblMeasure[msr_min_geo_resolution])</f>
        <v>LA</v>
      </c>
      <c r="L290" s="22" t="str">
        <f>_xlfn.XLOOKUP(tblRequirementMeasureXref[[#This Row],[msr_id]],tblMeasure[msr_id],tblMeasure[src_name])</f>
        <v>ASCOF</v>
      </c>
    </row>
    <row r="291" spans="1:12" x14ac:dyDescent="0.15">
      <c r="A291" s="1" t="str">
        <f>_xlfn.XLOOKUP(tblRequirementMeasureXref[[#This Row],[dm_id]],tblDataRequirement[dm_id],tblDataRequirement[domain_sub_requirement])</f>
        <v>Unpaid Carers:Demographics:Age</v>
      </c>
      <c r="B291" s="1" t="str">
        <f>_xlfn.XLOOKUP(tblRequirementMeasureXref[[#This Row],[dm_id]],tblDataRequirement[dm_id],tblDataRequirement[dm_phase])</f>
        <v>supply</v>
      </c>
      <c r="C291" s="1">
        <v>81</v>
      </c>
      <c r="D291" s="1">
        <v>75</v>
      </c>
      <c r="G291" s="1"/>
      <c r="H291" s="62" t="str">
        <f>_xlfn.XLOOKUP(tblRequirementMeasureXref[[#This Row],[msr_id]],tblMeasure[msr_id],tblMeasure[msr_table])</f>
        <v>1C(2B)</v>
      </c>
      <c r="I291" s="22" t="str">
        <f>_xlfn.XLOOKUP(tblRequirementMeasureXref[[#This Row],[msr_id]],tblMeasure[msr_id],tblMeasure[msr_name])</f>
        <v>The proportion of carers who receive direct payments</v>
      </c>
      <c r="J291" s="22" t="str">
        <f>_xlfn.XLOOKUP(tblRequirementMeasureXref[[#This Row],[msr_id]],tblMeasure[msr_id],tblMeasure[primary_dimensions])</f>
        <v>carers direct payments</v>
      </c>
      <c r="K291" s="22" t="str">
        <f>_xlfn.XLOOKUP(tblRequirementMeasureXref[[#This Row],[msr_id]],tblMeasure[msr_id],tblMeasure[msr_min_geo_resolution])</f>
        <v>LA</v>
      </c>
      <c r="L291" s="22" t="str">
        <f>_xlfn.XLOOKUP(tblRequirementMeasureXref[[#This Row],[msr_id]],tblMeasure[msr_id],tblMeasure[src_name])</f>
        <v>ASCOF</v>
      </c>
    </row>
    <row r="292" spans="1:12" x14ac:dyDescent="0.15">
      <c r="A292" s="1" t="str">
        <f>_xlfn.XLOOKUP(tblRequirementMeasureXref[[#This Row],[dm_id]],tblDataRequirement[dm_id],tblDataRequirement[domain_sub_requirement])</f>
        <v>Unpaid Carers:Workforce:Workforce</v>
      </c>
      <c r="B292" s="1" t="str">
        <f>_xlfn.XLOOKUP(tblRequirementMeasureXref[[#This Row],[dm_id]],tblDataRequirement[dm_id],tblDataRequirement[dm_phase])</f>
        <v>supply</v>
      </c>
      <c r="C292" s="1">
        <v>19</v>
      </c>
      <c r="D292" s="1">
        <v>76</v>
      </c>
      <c r="G292" s="1"/>
      <c r="H292" s="62" t="str">
        <f>_xlfn.XLOOKUP(tblRequirementMeasureXref[[#This Row],[msr_id]],tblMeasure[msr_id],tblMeasure[msr_table])</f>
        <v>1D</v>
      </c>
      <c r="I292" s="22" t="str">
        <f>_xlfn.XLOOKUP(tblRequirementMeasureXref[[#This Row],[msr_id]],tblMeasure[msr_id],tblMeasure[msr_name])</f>
        <v xml:space="preserve">Carer-reported quality of life score </v>
      </c>
      <c r="J292" s="22" t="str">
        <f>_xlfn.XLOOKUP(tblRequirementMeasureXref[[#This Row],[msr_id]],tblMeasure[msr_id],tblMeasure[primary_dimensions])</f>
        <v>quality of life</v>
      </c>
      <c r="K292" s="22" t="str">
        <f>_xlfn.XLOOKUP(tblRequirementMeasureXref[[#This Row],[msr_id]],tblMeasure[msr_id],tblMeasure[msr_min_geo_resolution])</f>
        <v>LA</v>
      </c>
      <c r="L292" s="22" t="str">
        <f>_xlfn.XLOOKUP(tblRequirementMeasureXref[[#This Row],[msr_id]],tblMeasure[msr_id],tblMeasure[src_name])</f>
        <v>ASCOF</v>
      </c>
    </row>
    <row r="293" spans="1:12" x14ac:dyDescent="0.15">
      <c r="A293" s="1" t="str">
        <f>_xlfn.XLOOKUP(tblRequirementMeasureXref[[#This Row],[dm_id]],tblDataRequirement[dm_id],tblDataRequirement[domain_sub_requirement])</f>
        <v>Unpaid Carers:Demographics:Age</v>
      </c>
      <c r="B293" s="1" t="str">
        <f>_xlfn.XLOOKUP(tblRequirementMeasureXref[[#This Row],[dm_id]],tblDataRequirement[dm_id],tblDataRequirement[dm_phase])</f>
        <v>supply</v>
      </c>
      <c r="C293" s="1">
        <v>81</v>
      </c>
      <c r="D293" s="1">
        <v>76</v>
      </c>
      <c r="G293" s="1"/>
      <c r="H293" s="62" t="str">
        <f>_xlfn.XLOOKUP(tblRequirementMeasureXref[[#This Row],[msr_id]],tblMeasure[msr_id],tblMeasure[msr_table])</f>
        <v>1D</v>
      </c>
      <c r="I293" s="22" t="str">
        <f>_xlfn.XLOOKUP(tblRequirementMeasureXref[[#This Row],[msr_id]],tblMeasure[msr_id],tblMeasure[msr_name])</f>
        <v xml:space="preserve">Carer-reported quality of life score </v>
      </c>
      <c r="J293" s="22" t="str">
        <f>_xlfn.XLOOKUP(tblRequirementMeasureXref[[#This Row],[msr_id]],tblMeasure[msr_id],tblMeasure[primary_dimensions])</f>
        <v>quality of life</v>
      </c>
      <c r="K293" s="22" t="str">
        <f>_xlfn.XLOOKUP(tblRequirementMeasureXref[[#This Row],[msr_id]],tblMeasure[msr_id],tblMeasure[msr_min_geo_resolution])</f>
        <v>LA</v>
      </c>
      <c r="L293" s="22" t="str">
        <f>_xlfn.XLOOKUP(tblRequirementMeasureXref[[#This Row],[msr_id]],tblMeasure[msr_id],tblMeasure[src_name])</f>
        <v>ASCOF</v>
      </c>
    </row>
    <row r="294" spans="1:12" x14ac:dyDescent="0.15">
      <c r="A294" s="1" t="str">
        <f>_xlfn.XLOOKUP(tblRequirementMeasureXref[[#This Row],[dm_id]],tblDataRequirement[dm_id],tblDataRequirement[domain_sub_requirement])</f>
        <v>Unpaid Carers:Demographics:Gender</v>
      </c>
      <c r="B294" s="1" t="str">
        <f>_xlfn.XLOOKUP(tblRequirementMeasureXref[[#This Row],[dm_id]],tblDataRequirement[dm_id],tblDataRequirement[dm_phase])</f>
        <v>supply</v>
      </c>
      <c r="C294" s="1">
        <v>82</v>
      </c>
      <c r="D294" s="1">
        <v>76</v>
      </c>
      <c r="G294" s="1"/>
      <c r="H294" s="62" t="str">
        <f>_xlfn.XLOOKUP(tblRequirementMeasureXref[[#This Row],[msr_id]],tblMeasure[msr_id],tblMeasure[msr_table])</f>
        <v>1D</v>
      </c>
      <c r="I294" s="22" t="str">
        <f>_xlfn.XLOOKUP(tblRequirementMeasureXref[[#This Row],[msr_id]],tblMeasure[msr_id],tblMeasure[msr_name])</f>
        <v xml:space="preserve">Carer-reported quality of life score </v>
      </c>
      <c r="J294" s="22" t="str">
        <f>_xlfn.XLOOKUP(tblRequirementMeasureXref[[#This Row],[msr_id]],tblMeasure[msr_id],tblMeasure[primary_dimensions])</f>
        <v>quality of life</v>
      </c>
      <c r="K294" s="22" t="str">
        <f>_xlfn.XLOOKUP(tblRequirementMeasureXref[[#This Row],[msr_id]],tblMeasure[msr_id],tblMeasure[msr_min_geo_resolution])</f>
        <v>LA</v>
      </c>
      <c r="L294" s="22" t="str">
        <f>_xlfn.XLOOKUP(tblRequirementMeasureXref[[#This Row],[msr_id]],tblMeasure[msr_id],tblMeasure[src_name])</f>
        <v>ASCOF</v>
      </c>
    </row>
    <row r="295" spans="1:12" x14ac:dyDescent="0.15">
      <c r="A295" s="1" t="str">
        <f>_xlfn.XLOOKUP(tblRequirementMeasureXref[[#This Row],[dm_id]],tblDataRequirement[dm_id],tblDataRequirement[domain_sub_requirement])</f>
        <v>Unpaid Carers:Quality of life:Well-being</v>
      </c>
      <c r="B295" s="1" t="str">
        <f>_xlfn.XLOOKUP(tblRequirementMeasureXref[[#This Row],[dm_id]],tblDataRequirement[dm_id],tblDataRequirement[dm_phase])</f>
        <v>outcome</v>
      </c>
      <c r="C295" s="1">
        <v>87</v>
      </c>
      <c r="D295" s="1">
        <v>76</v>
      </c>
      <c r="G295" s="1"/>
      <c r="H295" s="62" t="str">
        <f>_xlfn.XLOOKUP(tblRequirementMeasureXref[[#This Row],[msr_id]],tblMeasure[msr_id],tblMeasure[msr_table])</f>
        <v>1D</v>
      </c>
      <c r="I295" s="22" t="str">
        <f>_xlfn.XLOOKUP(tblRequirementMeasureXref[[#This Row],[msr_id]],tblMeasure[msr_id],tblMeasure[msr_name])</f>
        <v xml:space="preserve">Carer-reported quality of life score </v>
      </c>
      <c r="J295" s="22" t="str">
        <f>_xlfn.XLOOKUP(tblRequirementMeasureXref[[#This Row],[msr_id]],tblMeasure[msr_id],tblMeasure[primary_dimensions])</f>
        <v>quality of life</v>
      </c>
      <c r="K295" s="22" t="str">
        <f>_xlfn.XLOOKUP(tblRequirementMeasureXref[[#This Row],[msr_id]],tblMeasure[msr_id],tblMeasure[msr_min_geo_resolution])</f>
        <v>LA</v>
      </c>
      <c r="L295" s="22" t="str">
        <f>_xlfn.XLOOKUP(tblRequirementMeasureXref[[#This Row],[msr_id]],tblMeasure[msr_id],tblMeasure[src_name])</f>
        <v>ASCOF</v>
      </c>
    </row>
    <row r="296" spans="1:12" x14ac:dyDescent="0.15">
      <c r="A296" s="1" t="str">
        <f>_xlfn.XLOOKUP(tblRequirementMeasureXref[[#This Row],[dm_id]],tblDataRequirement[dm_id],tblDataRequirement[domain_sub_requirement])</f>
        <v>Users:Care need:Support reason</v>
      </c>
      <c r="B296" s="1" t="str">
        <f>_xlfn.XLOOKUP(tblRequirementMeasureXref[[#This Row],[dm_id]],tblDataRequirement[dm_id],tblDataRequirement[dm_phase])</f>
        <v>demand</v>
      </c>
      <c r="C296" s="1">
        <v>56</v>
      </c>
      <c r="D296" s="1">
        <v>77</v>
      </c>
      <c r="G296" s="1"/>
      <c r="H296" s="62" t="str">
        <f>_xlfn.XLOOKUP(tblRequirementMeasureXref[[#This Row],[msr_id]],tblMeasure[msr_id],tblMeasure[msr_table])</f>
        <v>1E</v>
      </c>
      <c r="I296" s="22" t="str">
        <f>_xlfn.XLOOKUP(tblRequirementMeasureXref[[#This Row],[msr_id]],tblMeasure[msr_id],tblMeasure[msr_name])</f>
        <v xml:space="preserve">Proportion of adults with a learning disability in paid employment </v>
      </c>
      <c r="J296" s="22" t="str">
        <f>_xlfn.XLOOKUP(tblRequirementMeasureXref[[#This Row],[msr_id]],tblMeasure[msr_id],tblMeasure[primary_dimensions])</f>
        <v>LD employment</v>
      </c>
      <c r="K296" s="22" t="str">
        <f>_xlfn.XLOOKUP(tblRequirementMeasureXref[[#This Row],[msr_id]],tblMeasure[msr_id],tblMeasure[msr_min_geo_resolution])</f>
        <v>LA</v>
      </c>
      <c r="L296" s="22" t="str">
        <f>_xlfn.XLOOKUP(tblRequirementMeasureXref[[#This Row],[msr_id]],tblMeasure[msr_id],tblMeasure[src_name])</f>
        <v>ASCOF</v>
      </c>
    </row>
    <row r="297" spans="1:12" x14ac:dyDescent="0.15">
      <c r="A297" s="1" t="str">
        <f>_xlfn.XLOOKUP(tblRequirementMeasureXref[[#This Row],[dm_id]],tblDataRequirement[dm_id],tblDataRequirement[domain_sub_requirement])</f>
        <v>Service:Support type:Long-term</v>
      </c>
      <c r="B297" s="1" t="str">
        <f>_xlfn.XLOOKUP(tblRequirementMeasureXref[[#This Row],[dm_id]],tblDataRequirement[dm_id],tblDataRequirement[dm_phase])</f>
        <v>operate</v>
      </c>
      <c r="C297" s="1">
        <v>45</v>
      </c>
      <c r="D297" s="1">
        <v>77</v>
      </c>
      <c r="G297" s="1"/>
      <c r="H297" s="62" t="str">
        <f>_xlfn.XLOOKUP(tblRequirementMeasureXref[[#This Row],[msr_id]],tblMeasure[msr_id],tblMeasure[msr_table])</f>
        <v>1E</v>
      </c>
      <c r="I297" s="22" t="str">
        <f>_xlfn.XLOOKUP(tblRequirementMeasureXref[[#This Row],[msr_id]],tblMeasure[msr_id],tblMeasure[msr_name])</f>
        <v xml:space="preserve">Proportion of adults with a learning disability in paid employment </v>
      </c>
      <c r="J297" s="22" t="str">
        <f>_xlfn.XLOOKUP(tblRequirementMeasureXref[[#This Row],[msr_id]],tblMeasure[msr_id],tblMeasure[primary_dimensions])</f>
        <v>LD employment</v>
      </c>
      <c r="K297" s="22" t="str">
        <f>_xlfn.XLOOKUP(tblRequirementMeasureXref[[#This Row],[msr_id]],tblMeasure[msr_id],tblMeasure[msr_min_geo_resolution])</f>
        <v>LA</v>
      </c>
      <c r="L297" s="22" t="str">
        <f>_xlfn.XLOOKUP(tblRequirementMeasureXref[[#This Row],[msr_id]],tblMeasure[msr_id],tblMeasure[src_name])</f>
        <v>ASCOF</v>
      </c>
    </row>
    <row r="298" spans="1:12" x14ac:dyDescent="0.15">
      <c r="A298" s="1" t="str">
        <f>_xlfn.XLOOKUP(tblRequirementMeasureXref[[#This Row],[dm_id]],tblDataRequirement[dm_id],tblDataRequirement[domain_sub_requirement])</f>
        <v>Users:Demographics:Socioeconomic status / employment / income</v>
      </c>
      <c r="B298" s="1" t="str">
        <f>_xlfn.XLOOKUP(tblRequirementMeasureXref[[#This Row],[dm_id]],tblDataRequirement[dm_id],tblDataRequirement[dm_phase])</f>
        <v>outcome</v>
      </c>
      <c r="C298" s="1">
        <v>105</v>
      </c>
      <c r="D298" s="1">
        <v>77</v>
      </c>
      <c r="G298" s="1"/>
      <c r="H298" s="62" t="str">
        <f>_xlfn.XLOOKUP(tblRequirementMeasureXref[[#This Row],[msr_id]],tblMeasure[msr_id],tblMeasure[msr_table])</f>
        <v>1E</v>
      </c>
      <c r="I298" s="22" t="str">
        <f>_xlfn.XLOOKUP(tblRequirementMeasureXref[[#This Row],[msr_id]],tblMeasure[msr_id],tblMeasure[msr_name])</f>
        <v xml:space="preserve">Proportion of adults with a learning disability in paid employment </v>
      </c>
      <c r="J298" s="22" t="str">
        <f>_xlfn.XLOOKUP(tblRequirementMeasureXref[[#This Row],[msr_id]],tblMeasure[msr_id],tblMeasure[primary_dimensions])</f>
        <v>LD employment</v>
      </c>
      <c r="K298" s="22" t="str">
        <f>_xlfn.XLOOKUP(tblRequirementMeasureXref[[#This Row],[msr_id]],tblMeasure[msr_id],tblMeasure[msr_min_geo_resolution])</f>
        <v>LA</v>
      </c>
      <c r="L298" s="22" t="str">
        <f>_xlfn.XLOOKUP(tblRequirementMeasureXref[[#This Row],[msr_id]],tblMeasure[msr_id],tblMeasure[src_name])</f>
        <v>ASCOF</v>
      </c>
    </row>
    <row r="299" spans="1:12" x14ac:dyDescent="0.15">
      <c r="A299" s="1" t="str">
        <f>_xlfn.XLOOKUP(tblRequirementMeasureXref[[#This Row],[dm_id]],tblDataRequirement[dm_id],tblDataRequirement[domain_sub_requirement])</f>
        <v>Users:Demographics:Age</v>
      </c>
      <c r="B299" s="1" t="str">
        <f>_xlfn.XLOOKUP(tblRequirementMeasureXref[[#This Row],[dm_id]],tblDataRequirement[dm_id],tblDataRequirement[dm_phase])</f>
        <v>demand</v>
      </c>
      <c r="C299" s="1">
        <v>51</v>
      </c>
      <c r="D299" s="1">
        <v>77</v>
      </c>
      <c r="G299" s="1"/>
      <c r="H299" s="62" t="str">
        <f>_xlfn.XLOOKUP(tblRequirementMeasureXref[[#This Row],[msr_id]],tblMeasure[msr_id],tblMeasure[msr_table])</f>
        <v>1E</v>
      </c>
      <c r="I299" s="22" t="str">
        <f>_xlfn.XLOOKUP(tblRequirementMeasureXref[[#This Row],[msr_id]],tblMeasure[msr_id],tblMeasure[msr_name])</f>
        <v xml:space="preserve">Proportion of adults with a learning disability in paid employment </v>
      </c>
      <c r="J299" s="22" t="str">
        <f>_xlfn.XLOOKUP(tblRequirementMeasureXref[[#This Row],[msr_id]],tblMeasure[msr_id],tblMeasure[primary_dimensions])</f>
        <v>LD employment</v>
      </c>
      <c r="K299" s="22" t="str">
        <f>_xlfn.XLOOKUP(tblRequirementMeasureXref[[#This Row],[msr_id]],tblMeasure[msr_id],tblMeasure[msr_min_geo_resolution])</f>
        <v>LA</v>
      </c>
      <c r="L299" s="22" t="str">
        <f>_xlfn.XLOOKUP(tblRequirementMeasureXref[[#This Row],[msr_id]],tblMeasure[msr_id],tblMeasure[src_name])</f>
        <v>ASCOF</v>
      </c>
    </row>
    <row r="300" spans="1:12" x14ac:dyDescent="0.15">
      <c r="A300" s="1" t="str">
        <f>_xlfn.XLOOKUP(tblRequirementMeasureXref[[#This Row],[dm_id]],tblDataRequirement[dm_id],tblDataRequirement[domain_sub_requirement])</f>
        <v>Users:Demographics:Age</v>
      </c>
      <c r="B300" s="1" t="str">
        <f>_xlfn.XLOOKUP(tblRequirementMeasureXref[[#This Row],[dm_id]],tblDataRequirement[dm_id],tblDataRequirement[dm_phase])</f>
        <v>demand</v>
      </c>
      <c r="C300" s="1">
        <v>51</v>
      </c>
      <c r="D300" s="1">
        <v>78</v>
      </c>
      <c r="G300" s="1"/>
      <c r="H300" s="62" t="str">
        <f>_xlfn.XLOOKUP(tblRequirementMeasureXref[[#This Row],[msr_id]],tblMeasure[msr_id],tblMeasure[msr_table])</f>
        <v>1F</v>
      </c>
      <c r="I300" s="22" t="str">
        <f>_xlfn.XLOOKUP(tblRequirementMeasureXref[[#This Row],[msr_id]],tblMeasure[msr_id],tblMeasure[msr_name])</f>
        <v xml:space="preserve">Proportion of adults in contact with secondary mental health services in paid employment </v>
      </c>
      <c r="J300" s="22" t="str">
        <f>_xlfn.XLOOKUP(tblRequirementMeasureXref[[#This Row],[msr_id]],tblMeasure[msr_id],tblMeasure[primary_dimensions])</f>
        <v>MH in employment</v>
      </c>
      <c r="K300" s="22" t="str">
        <f>_xlfn.XLOOKUP(tblRequirementMeasureXref[[#This Row],[msr_id]],tblMeasure[msr_id],tblMeasure[msr_min_geo_resolution])</f>
        <v>LA</v>
      </c>
      <c r="L300" s="22" t="str">
        <f>_xlfn.XLOOKUP(tblRequirementMeasureXref[[#This Row],[msr_id]],tblMeasure[msr_id],tblMeasure[src_name])</f>
        <v>ASCOF</v>
      </c>
    </row>
    <row r="301" spans="1:12" x14ac:dyDescent="0.15">
      <c r="A301" s="1" t="str">
        <f>_xlfn.XLOOKUP(tblRequirementMeasureXref[[#This Row],[dm_id]],tblDataRequirement[dm_id],tblDataRequirement[domain_sub_requirement])</f>
        <v>Users:Demographics:Socioeconomic status / employment / income</v>
      </c>
      <c r="B301" s="1" t="str">
        <f>_xlfn.XLOOKUP(tblRequirementMeasureXref[[#This Row],[dm_id]],tblDataRequirement[dm_id],tblDataRequirement[dm_phase])</f>
        <v>outcome</v>
      </c>
      <c r="C301" s="1">
        <v>105</v>
      </c>
      <c r="D301" s="1">
        <v>78</v>
      </c>
      <c r="G301" s="1"/>
      <c r="H301" s="62" t="str">
        <f>_xlfn.XLOOKUP(tblRequirementMeasureXref[[#This Row],[msr_id]],tblMeasure[msr_id],tblMeasure[msr_table])</f>
        <v>1F</v>
      </c>
      <c r="I301" s="22" t="str">
        <f>_xlfn.XLOOKUP(tblRequirementMeasureXref[[#This Row],[msr_id]],tblMeasure[msr_id],tblMeasure[msr_name])</f>
        <v xml:space="preserve">Proportion of adults in contact with secondary mental health services in paid employment </v>
      </c>
      <c r="J301" s="22" t="str">
        <f>_xlfn.XLOOKUP(tblRequirementMeasureXref[[#This Row],[msr_id]],tblMeasure[msr_id],tblMeasure[primary_dimensions])</f>
        <v>MH in employment</v>
      </c>
      <c r="K301" s="22" t="str">
        <f>_xlfn.XLOOKUP(tblRequirementMeasureXref[[#This Row],[msr_id]],tblMeasure[msr_id],tblMeasure[msr_min_geo_resolution])</f>
        <v>LA</v>
      </c>
      <c r="L301" s="22" t="str">
        <f>_xlfn.XLOOKUP(tblRequirementMeasureXref[[#This Row],[msr_id]],tblMeasure[msr_id],tblMeasure[src_name])</f>
        <v>ASCOF</v>
      </c>
    </row>
    <row r="302" spans="1:12" x14ac:dyDescent="0.15">
      <c r="A302" s="1" t="str">
        <f>_xlfn.XLOOKUP(tblRequirementMeasureXref[[#This Row],[dm_id]],tblDataRequirement[dm_id],tblDataRequirement[domain_sub_requirement])</f>
        <v>Users:Care need:Support reason</v>
      </c>
      <c r="B302" s="1" t="str">
        <f>_xlfn.XLOOKUP(tblRequirementMeasureXref[[#This Row],[dm_id]],tblDataRequirement[dm_id],tblDataRequirement[dm_phase])</f>
        <v>demand</v>
      </c>
      <c r="C302" s="1">
        <v>56</v>
      </c>
      <c r="D302" s="1">
        <v>78</v>
      </c>
      <c r="G302" s="1"/>
      <c r="H302" s="62" t="str">
        <f>_xlfn.XLOOKUP(tblRequirementMeasureXref[[#This Row],[msr_id]],tblMeasure[msr_id],tblMeasure[msr_table])</f>
        <v>1F</v>
      </c>
      <c r="I302" s="22" t="str">
        <f>_xlfn.XLOOKUP(tblRequirementMeasureXref[[#This Row],[msr_id]],tblMeasure[msr_id],tblMeasure[msr_name])</f>
        <v xml:space="preserve">Proportion of adults in contact with secondary mental health services in paid employment </v>
      </c>
      <c r="J302" s="22" t="str">
        <f>_xlfn.XLOOKUP(tblRequirementMeasureXref[[#This Row],[msr_id]],tblMeasure[msr_id],tblMeasure[primary_dimensions])</f>
        <v>MH in employment</v>
      </c>
      <c r="K302" s="22" t="str">
        <f>_xlfn.XLOOKUP(tblRequirementMeasureXref[[#This Row],[msr_id]],tblMeasure[msr_id],tblMeasure[msr_min_geo_resolution])</f>
        <v>LA</v>
      </c>
      <c r="L302" s="22" t="str">
        <f>_xlfn.XLOOKUP(tblRequirementMeasureXref[[#This Row],[msr_id]],tblMeasure[msr_id],tblMeasure[src_name])</f>
        <v>ASCOF</v>
      </c>
    </row>
    <row r="303" spans="1:12" x14ac:dyDescent="0.15">
      <c r="A303" s="1" t="str">
        <f>_xlfn.XLOOKUP(tblRequirementMeasureXref[[#This Row],[dm_id]],tblDataRequirement[dm_id],tblDataRequirement[domain_sub_requirement])</f>
        <v>Service:Integration:NHS secondary care</v>
      </c>
      <c r="B303" s="1" t="str">
        <f>_xlfn.XLOOKUP(tblRequirementMeasureXref[[#This Row],[dm_id]],tblDataRequirement[dm_id],tblDataRequirement[dm_phase])</f>
        <v>operate</v>
      </c>
      <c r="C303" s="1">
        <v>37</v>
      </c>
      <c r="D303" s="1">
        <v>78</v>
      </c>
      <c r="G303" s="1"/>
      <c r="H303" s="62" t="str">
        <f>_xlfn.XLOOKUP(tblRequirementMeasureXref[[#This Row],[msr_id]],tblMeasure[msr_id],tblMeasure[msr_table])</f>
        <v>1F</v>
      </c>
      <c r="I303" s="22" t="str">
        <f>_xlfn.XLOOKUP(tblRequirementMeasureXref[[#This Row],[msr_id]],tblMeasure[msr_id],tblMeasure[msr_name])</f>
        <v xml:space="preserve">Proportion of adults in contact with secondary mental health services in paid employment </v>
      </c>
      <c r="J303" s="22" t="str">
        <f>_xlfn.XLOOKUP(tblRequirementMeasureXref[[#This Row],[msr_id]],tblMeasure[msr_id],tblMeasure[primary_dimensions])</f>
        <v>MH in employment</v>
      </c>
      <c r="K303" s="22" t="str">
        <f>_xlfn.XLOOKUP(tblRequirementMeasureXref[[#This Row],[msr_id]],tblMeasure[msr_id],tblMeasure[msr_min_geo_resolution])</f>
        <v>LA</v>
      </c>
      <c r="L303" s="22" t="str">
        <f>_xlfn.XLOOKUP(tblRequirementMeasureXref[[#This Row],[msr_id]],tblMeasure[msr_id],tblMeasure[src_name])</f>
        <v>ASCOF</v>
      </c>
    </row>
    <row r="304" spans="1:12" x14ac:dyDescent="0.15">
      <c r="A304" s="1" t="str">
        <f>_xlfn.XLOOKUP(tblRequirementMeasureXref[[#This Row],[dm_id]],tblDataRequirement[dm_id],tblDataRequirement[domain_sub_requirement])</f>
        <v>Users:Care need:Support reason</v>
      </c>
      <c r="B304" s="1" t="str">
        <f>_xlfn.XLOOKUP(tblRequirementMeasureXref[[#This Row],[dm_id]],tblDataRequirement[dm_id],tblDataRequirement[dm_phase])</f>
        <v>demand</v>
      </c>
      <c r="C304" s="1">
        <v>56</v>
      </c>
      <c r="D304" s="1">
        <v>79</v>
      </c>
      <c r="G304" s="1"/>
      <c r="H304" s="62" t="str">
        <f>_xlfn.XLOOKUP(tblRequirementMeasureXref[[#This Row],[msr_id]],tblMeasure[msr_id],tblMeasure[msr_table])</f>
        <v>1G</v>
      </c>
      <c r="I304" s="22" t="str">
        <f>_xlfn.XLOOKUP(tblRequirementMeasureXref[[#This Row],[msr_id]],tblMeasure[msr_id],tblMeasure[msr_name])</f>
        <v xml:space="preserve">Proportion of adults with a learning disability who live in their own home or with their family </v>
      </c>
      <c r="J304" s="22" t="str">
        <f>_xlfn.XLOOKUP(tblRequirementMeasureXref[[#This Row],[msr_id]],tblMeasure[msr_id],tblMeasure[primary_dimensions])</f>
        <v>LD own home</v>
      </c>
      <c r="K304" s="22" t="str">
        <f>_xlfn.XLOOKUP(tblRequirementMeasureXref[[#This Row],[msr_id]],tblMeasure[msr_id],tblMeasure[msr_min_geo_resolution])</f>
        <v>LA</v>
      </c>
      <c r="L304" s="22" t="str">
        <f>_xlfn.XLOOKUP(tblRequirementMeasureXref[[#This Row],[msr_id]],tblMeasure[msr_id],tblMeasure[src_name])</f>
        <v>ASCOF</v>
      </c>
    </row>
    <row r="305" spans="1:12" x14ac:dyDescent="0.15">
      <c r="A305" s="1" t="str">
        <f>_xlfn.XLOOKUP(tblRequirementMeasureXref[[#This Row],[dm_id]],tblDataRequirement[dm_id],tblDataRequirement[domain_sub_requirement])</f>
        <v>Service:Support type:Long-term</v>
      </c>
      <c r="B305" s="1" t="str">
        <f>_xlfn.XLOOKUP(tblRequirementMeasureXref[[#This Row],[dm_id]],tblDataRequirement[dm_id],tblDataRequirement[dm_phase])</f>
        <v>operate</v>
      </c>
      <c r="C305" s="1">
        <v>45</v>
      </c>
      <c r="D305" s="1">
        <v>79</v>
      </c>
      <c r="G305" s="1"/>
      <c r="H305" s="62" t="str">
        <f>_xlfn.XLOOKUP(tblRequirementMeasureXref[[#This Row],[msr_id]],tblMeasure[msr_id],tblMeasure[msr_table])</f>
        <v>1G</v>
      </c>
      <c r="I305" s="22" t="str">
        <f>_xlfn.XLOOKUP(tblRequirementMeasureXref[[#This Row],[msr_id]],tblMeasure[msr_id],tblMeasure[msr_name])</f>
        <v xml:space="preserve">Proportion of adults with a learning disability who live in their own home or with their family </v>
      </c>
      <c r="J305" s="22" t="str">
        <f>_xlfn.XLOOKUP(tblRequirementMeasureXref[[#This Row],[msr_id]],tblMeasure[msr_id],tblMeasure[primary_dimensions])</f>
        <v>LD own home</v>
      </c>
      <c r="K305" s="22" t="str">
        <f>_xlfn.XLOOKUP(tblRequirementMeasureXref[[#This Row],[msr_id]],tblMeasure[msr_id],tblMeasure[msr_min_geo_resolution])</f>
        <v>LA</v>
      </c>
      <c r="L305" s="22" t="str">
        <f>_xlfn.XLOOKUP(tblRequirementMeasureXref[[#This Row],[msr_id]],tblMeasure[msr_id],tblMeasure[src_name])</f>
        <v>ASCOF</v>
      </c>
    </row>
    <row r="306" spans="1:12" x14ac:dyDescent="0.15">
      <c r="A306" s="1" t="str">
        <f>_xlfn.XLOOKUP(tblRequirementMeasureXref[[#This Row],[dm_id]],tblDataRequirement[dm_id],tblDataRequirement[domain_sub_requirement])</f>
        <v>Users:Demographics:Age</v>
      </c>
      <c r="B306" s="1" t="str">
        <f>_xlfn.XLOOKUP(tblRequirementMeasureXref[[#This Row],[dm_id]],tblDataRequirement[dm_id],tblDataRequirement[dm_phase])</f>
        <v>demand</v>
      </c>
      <c r="C306" s="1">
        <v>51</v>
      </c>
      <c r="D306" s="1">
        <v>79</v>
      </c>
      <c r="G306" s="1"/>
      <c r="H306" s="62" t="str">
        <f>_xlfn.XLOOKUP(tblRequirementMeasureXref[[#This Row],[msr_id]],tblMeasure[msr_id],tblMeasure[msr_table])</f>
        <v>1G</v>
      </c>
      <c r="I306" s="22" t="str">
        <f>_xlfn.XLOOKUP(tblRequirementMeasureXref[[#This Row],[msr_id]],tblMeasure[msr_id],tblMeasure[msr_name])</f>
        <v xml:space="preserve">Proportion of adults with a learning disability who live in their own home or with their family </v>
      </c>
      <c r="J306" s="22" t="str">
        <f>_xlfn.XLOOKUP(tblRequirementMeasureXref[[#This Row],[msr_id]],tblMeasure[msr_id],tblMeasure[primary_dimensions])</f>
        <v>LD own home</v>
      </c>
      <c r="K306" s="22" t="str">
        <f>_xlfn.XLOOKUP(tblRequirementMeasureXref[[#This Row],[msr_id]],tblMeasure[msr_id],tblMeasure[msr_min_geo_resolution])</f>
        <v>LA</v>
      </c>
      <c r="L306" s="22" t="str">
        <f>_xlfn.XLOOKUP(tblRequirementMeasureXref[[#This Row],[msr_id]],tblMeasure[msr_id],tblMeasure[src_name])</f>
        <v>ASCOF</v>
      </c>
    </row>
    <row r="307" spans="1:12" x14ac:dyDescent="0.15">
      <c r="A307" s="1" t="str">
        <f>_xlfn.XLOOKUP(tblRequirementMeasureXref[[#This Row],[dm_id]],tblDataRequirement[dm_id],tblDataRequirement[domain_sub_requirement])</f>
        <v>Users:Demographics:Gender</v>
      </c>
      <c r="B307" s="1" t="str">
        <f>_xlfn.XLOOKUP(tblRequirementMeasureXref[[#This Row],[dm_id]],tblDataRequirement[dm_id],tblDataRequirement[dm_phase])</f>
        <v>demand</v>
      </c>
      <c r="C307" s="1">
        <v>62</v>
      </c>
      <c r="D307" s="1">
        <v>79</v>
      </c>
      <c r="G307" s="1"/>
      <c r="H307" s="62" t="str">
        <f>_xlfn.XLOOKUP(tblRequirementMeasureXref[[#This Row],[msr_id]],tblMeasure[msr_id],tblMeasure[msr_table])</f>
        <v>1G</v>
      </c>
      <c r="I307" s="22" t="str">
        <f>_xlfn.XLOOKUP(tblRequirementMeasureXref[[#This Row],[msr_id]],tblMeasure[msr_id],tblMeasure[msr_name])</f>
        <v xml:space="preserve">Proportion of adults with a learning disability who live in their own home or with their family </v>
      </c>
      <c r="J307" s="22" t="str">
        <f>_xlfn.XLOOKUP(tblRequirementMeasureXref[[#This Row],[msr_id]],tblMeasure[msr_id],tblMeasure[primary_dimensions])</f>
        <v>LD own home</v>
      </c>
      <c r="K307" s="22" t="str">
        <f>_xlfn.XLOOKUP(tblRequirementMeasureXref[[#This Row],[msr_id]],tblMeasure[msr_id],tblMeasure[msr_min_geo_resolution])</f>
        <v>LA</v>
      </c>
      <c r="L307" s="22" t="str">
        <f>_xlfn.XLOOKUP(tblRequirementMeasureXref[[#This Row],[msr_id]],tblMeasure[msr_id],tblMeasure[src_name])</f>
        <v>ASCOF</v>
      </c>
    </row>
    <row r="308" spans="1:12" x14ac:dyDescent="0.15">
      <c r="A308" s="1" t="str">
        <f>_xlfn.XLOOKUP(tblRequirementMeasureXref[[#This Row],[dm_id]],tblDataRequirement[dm_id],tblDataRequirement[domain_sub_requirement])</f>
        <v>Users:Context:Accommodation type</v>
      </c>
      <c r="B308" s="1" t="str">
        <f>_xlfn.XLOOKUP(tblRequirementMeasureXref[[#This Row],[dm_id]],tblDataRequirement[dm_id],tblDataRequirement[dm_phase])</f>
        <v>demand</v>
      </c>
      <c r="C308" s="1">
        <v>75</v>
      </c>
      <c r="D308" s="1">
        <v>79</v>
      </c>
      <c r="G308" s="1"/>
      <c r="H308" s="62" t="str">
        <f>_xlfn.XLOOKUP(tblRequirementMeasureXref[[#This Row],[msr_id]],tblMeasure[msr_id],tblMeasure[msr_table])</f>
        <v>1G</v>
      </c>
      <c r="I308" s="22" t="str">
        <f>_xlfn.XLOOKUP(tblRequirementMeasureXref[[#This Row],[msr_id]],tblMeasure[msr_id],tblMeasure[msr_name])</f>
        <v xml:space="preserve">Proportion of adults with a learning disability who live in their own home or with their family </v>
      </c>
      <c r="J308" s="22" t="str">
        <f>_xlfn.XLOOKUP(tblRequirementMeasureXref[[#This Row],[msr_id]],tblMeasure[msr_id],tblMeasure[primary_dimensions])</f>
        <v>LD own home</v>
      </c>
      <c r="K308" s="22" t="str">
        <f>_xlfn.XLOOKUP(tblRequirementMeasureXref[[#This Row],[msr_id]],tblMeasure[msr_id],tblMeasure[msr_min_geo_resolution])</f>
        <v>LA</v>
      </c>
      <c r="L308" s="22" t="str">
        <f>_xlfn.XLOOKUP(tblRequirementMeasureXref[[#This Row],[msr_id]],tblMeasure[msr_id],tblMeasure[src_name])</f>
        <v>ASCOF</v>
      </c>
    </row>
    <row r="309" spans="1:12" x14ac:dyDescent="0.15">
      <c r="A309" s="1" t="str">
        <f>_xlfn.XLOOKUP(tblRequirementMeasureXref[[#This Row],[dm_id]],tblDataRequirement[dm_id],tblDataRequirement[domain_sub_requirement])</f>
        <v>Users:Demographics:Age</v>
      </c>
      <c r="B309" s="1" t="str">
        <f>_xlfn.XLOOKUP(tblRequirementMeasureXref[[#This Row],[dm_id]],tblDataRequirement[dm_id],tblDataRequirement[dm_phase])</f>
        <v>demand</v>
      </c>
      <c r="C309" s="1">
        <v>51</v>
      </c>
      <c r="D309" s="1">
        <v>80</v>
      </c>
      <c r="G309" s="1"/>
      <c r="H309" s="62" t="str">
        <f>_xlfn.XLOOKUP(tblRequirementMeasureXref[[#This Row],[msr_id]],tblMeasure[msr_id],tblMeasure[msr_table])</f>
        <v>1H</v>
      </c>
      <c r="I309" s="22" t="str">
        <f>_xlfn.XLOOKUP(tblRequirementMeasureXref[[#This Row],[msr_id]],tblMeasure[msr_id],tblMeasure[msr_name])</f>
        <v xml:space="preserve">Proportion of adults in contact with secondary mental health services living independently, with or without support </v>
      </c>
      <c r="J309" s="22" t="str">
        <f>_xlfn.XLOOKUP(tblRequirementMeasureXref[[#This Row],[msr_id]],tblMeasure[msr_id],tblMeasure[primary_dimensions])</f>
        <v>MH independent</v>
      </c>
      <c r="K309" s="22" t="str">
        <f>_xlfn.XLOOKUP(tblRequirementMeasureXref[[#This Row],[msr_id]],tblMeasure[msr_id],tblMeasure[msr_min_geo_resolution])</f>
        <v>LA</v>
      </c>
      <c r="L309" s="22" t="str">
        <f>_xlfn.XLOOKUP(tblRequirementMeasureXref[[#This Row],[msr_id]],tblMeasure[msr_id],tblMeasure[src_name])</f>
        <v>ASCOF</v>
      </c>
    </row>
    <row r="310" spans="1:12" x14ac:dyDescent="0.15">
      <c r="A310" s="1" t="str">
        <f>_xlfn.XLOOKUP(tblRequirementMeasureXref[[#This Row],[dm_id]],tblDataRequirement[dm_id],tblDataRequirement[domain_sub_requirement])</f>
        <v>Service:Integration:NHS secondary care</v>
      </c>
      <c r="B310" s="1" t="str">
        <f>_xlfn.XLOOKUP(tblRequirementMeasureXref[[#This Row],[dm_id]],tblDataRequirement[dm_id],tblDataRequirement[dm_phase])</f>
        <v>operate</v>
      </c>
      <c r="C310" s="1">
        <v>37</v>
      </c>
      <c r="D310" s="1">
        <v>80</v>
      </c>
      <c r="G310" s="1"/>
      <c r="H310" s="62" t="str">
        <f>_xlfn.XLOOKUP(tblRequirementMeasureXref[[#This Row],[msr_id]],tblMeasure[msr_id],tblMeasure[msr_table])</f>
        <v>1H</v>
      </c>
      <c r="I310" s="22" t="str">
        <f>_xlfn.XLOOKUP(tblRequirementMeasureXref[[#This Row],[msr_id]],tblMeasure[msr_id],tblMeasure[msr_name])</f>
        <v xml:space="preserve">Proportion of adults in contact with secondary mental health services living independently, with or without support </v>
      </c>
      <c r="J310" s="22" t="str">
        <f>_xlfn.XLOOKUP(tblRequirementMeasureXref[[#This Row],[msr_id]],tblMeasure[msr_id],tblMeasure[primary_dimensions])</f>
        <v>MH independent</v>
      </c>
      <c r="K310" s="22" t="str">
        <f>_xlfn.XLOOKUP(tblRequirementMeasureXref[[#This Row],[msr_id]],tblMeasure[msr_id],tblMeasure[msr_min_geo_resolution])</f>
        <v>LA</v>
      </c>
      <c r="L310" s="22" t="str">
        <f>_xlfn.XLOOKUP(tblRequirementMeasureXref[[#This Row],[msr_id]],tblMeasure[msr_id],tblMeasure[src_name])</f>
        <v>ASCOF</v>
      </c>
    </row>
    <row r="311" spans="1:12" x14ac:dyDescent="0.15">
      <c r="A311" s="1" t="str">
        <f>_xlfn.XLOOKUP(tblRequirementMeasureXref[[#This Row],[dm_id]],tblDataRequirement[dm_id],tblDataRequirement[domain_sub_requirement])</f>
        <v>Users:Care need:Support reason</v>
      </c>
      <c r="B311" s="1" t="str">
        <f>_xlfn.XLOOKUP(tblRequirementMeasureXref[[#This Row],[dm_id]],tblDataRequirement[dm_id],tblDataRequirement[dm_phase])</f>
        <v>demand</v>
      </c>
      <c r="C311" s="1">
        <v>56</v>
      </c>
      <c r="D311" s="1">
        <v>80</v>
      </c>
      <c r="G311" s="1"/>
      <c r="H311" s="62" t="str">
        <f>_xlfn.XLOOKUP(tblRequirementMeasureXref[[#This Row],[msr_id]],tblMeasure[msr_id],tblMeasure[msr_table])</f>
        <v>1H</v>
      </c>
      <c r="I311" s="22" t="str">
        <f>_xlfn.XLOOKUP(tblRequirementMeasureXref[[#This Row],[msr_id]],tblMeasure[msr_id],tblMeasure[msr_name])</f>
        <v xml:space="preserve">Proportion of adults in contact with secondary mental health services living independently, with or without support </v>
      </c>
      <c r="J311" s="22" t="str">
        <f>_xlfn.XLOOKUP(tblRequirementMeasureXref[[#This Row],[msr_id]],tblMeasure[msr_id],tblMeasure[primary_dimensions])</f>
        <v>MH independent</v>
      </c>
      <c r="K311" s="22" t="str">
        <f>_xlfn.XLOOKUP(tblRequirementMeasureXref[[#This Row],[msr_id]],tblMeasure[msr_id],tblMeasure[msr_min_geo_resolution])</f>
        <v>LA</v>
      </c>
      <c r="L311" s="22" t="str">
        <f>_xlfn.XLOOKUP(tblRequirementMeasureXref[[#This Row],[msr_id]],tblMeasure[msr_id],tblMeasure[src_name])</f>
        <v>ASCOF</v>
      </c>
    </row>
    <row r="312" spans="1:12" x14ac:dyDescent="0.15">
      <c r="A312" s="1" t="str">
        <f>_xlfn.XLOOKUP(tblRequirementMeasureXref[[#This Row],[dm_id]],tblDataRequirement[dm_id],tblDataRequirement[domain_sub_requirement])</f>
        <v>Users:Context:Family/Household structure</v>
      </c>
      <c r="B312" s="1" t="str">
        <f>_xlfn.XLOOKUP(tblRequirementMeasureXref[[#This Row],[dm_id]],tblDataRequirement[dm_id],tblDataRequirement[dm_phase])</f>
        <v>demand</v>
      </c>
      <c r="C312" s="1">
        <v>63</v>
      </c>
      <c r="D312" s="1">
        <v>80</v>
      </c>
      <c r="G312" s="1"/>
      <c r="H312" s="62" t="str">
        <f>_xlfn.XLOOKUP(tblRequirementMeasureXref[[#This Row],[msr_id]],tblMeasure[msr_id],tblMeasure[msr_table])</f>
        <v>1H</v>
      </c>
      <c r="I312" s="22" t="str">
        <f>_xlfn.XLOOKUP(tblRequirementMeasureXref[[#This Row],[msr_id]],tblMeasure[msr_id],tblMeasure[msr_name])</f>
        <v xml:space="preserve">Proportion of adults in contact with secondary mental health services living independently, with or without support </v>
      </c>
      <c r="J312" s="22" t="str">
        <f>_xlfn.XLOOKUP(tblRequirementMeasureXref[[#This Row],[msr_id]],tblMeasure[msr_id],tblMeasure[primary_dimensions])</f>
        <v>MH independent</v>
      </c>
      <c r="K312" s="22" t="str">
        <f>_xlfn.XLOOKUP(tblRequirementMeasureXref[[#This Row],[msr_id]],tblMeasure[msr_id],tblMeasure[msr_min_geo_resolution])</f>
        <v>LA</v>
      </c>
      <c r="L312" s="22" t="str">
        <f>_xlfn.XLOOKUP(tblRequirementMeasureXref[[#This Row],[msr_id]],tblMeasure[msr_id],tblMeasure[src_name])</f>
        <v>ASCOF</v>
      </c>
    </row>
    <row r="313" spans="1:12" x14ac:dyDescent="0.15">
      <c r="A313" s="1" t="str">
        <f>_xlfn.XLOOKUP(tblRequirementMeasureXref[[#This Row],[dm_id]],tblDataRequirement[dm_id],tblDataRequirement[domain_sub_requirement])</f>
        <v>Users:Demographics:Age</v>
      </c>
      <c r="B313" s="1" t="str">
        <f>_xlfn.XLOOKUP(tblRequirementMeasureXref[[#This Row],[dm_id]],tblDataRequirement[dm_id],tblDataRequirement[dm_phase])</f>
        <v>demand</v>
      </c>
      <c r="C313" s="1">
        <v>51</v>
      </c>
      <c r="D313" s="1">
        <v>81</v>
      </c>
      <c r="G313" s="1"/>
      <c r="H313" s="62" t="str">
        <f>_xlfn.XLOOKUP(tblRequirementMeasureXref[[#This Row],[msr_id]],tblMeasure[msr_id],tblMeasure[msr_table])</f>
        <v>1I(1)</v>
      </c>
      <c r="I313" s="22" t="str">
        <f>_xlfn.XLOOKUP(tblRequirementMeasureXref[[#This Row],[msr_id]],tblMeasure[msr_id],tblMeasure[msr_name])</f>
        <v>The proportion of people who use services who reported that they had as much social contact as they would like</v>
      </c>
      <c r="J313" s="22" t="str">
        <f>_xlfn.XLOOKUP(tblRequirementMeasureXref[[#This Row],[msr_id]],tblMeasure[msr_id],tblMeasure[primary_dimensions])</f>
        <v>user social contact</v>
      </c>
      <c r="K313" s="22" t="str">
        <f>_xlfn.XLOOKUP(tblRequirementMeasureXref[[#This Row],[msr_id]],tblMeasure[msr_id],tblMeasure[msr_min_geo_resolution])</f>
        <v>LA</v>
      </c>
      <c r="L313" s="22" t="str">
        <f>_xlfn.XLOOKUP(tblRequirementMeasureXref[[#This Row],[msr_id]],tblMeasure[msr_id],tblMeasure[src_name])</f>
        <v>ASCOF</v>
      </c>
    </row>
    <row r="314" spans="1:12" x14ac:dyDescent="0.15">
      <c r="A314" s="1" t="str">
        <f>_xlfn.XLOOKUP(tblRequirementMeasureXref[[#This Row],[dm_id]],tblDataRequirement[dm_id],tblDataRequirement[domain_sub_requirement])</f>
        <v>Users:Demographics:Gender</v>
      </c>
      <c r="B314" s="1" t="str">
        <f>_xlfn.XLOOKUP(tblRequirementMeasureXref[[#This Row],[dm_id]],tblDataRequirement[dm_id],tblDataRequirement[dm_phase])</f>
        <v>demand</v>
      </c>
      <c r="C314" s="1">
        <v>62</v>
      </c>
      <c r="D314" s="1">
        <v>81</v>
      </c>
      <c r="G314" s="1"/>
      <c r="H314" s="62" t="str">
        <f>_xlfn.XLOOKUP(tblRequirementMeasureXref[[#This Row],[msr_id]],tblMeasure[msr_id],tblMeasure[msr_table])</f>
        <v>1I(1)</v>
      </c>
      <c r="I314" s="22" t="str">
        <f>_xlfn.XLOOKUP(tblRequirementMeasureXref[[#This Row],[msr_id]],tblMeasure[msr_id],tblMeasure[msr_name])</f>
        <v>The proportion of people who use services who reported that they had as much social contact as they would like</v>
      </c>
      <c r="J314" s="22" t="str">
        <f>_xlfn.XLOOKUP(tblRequirementMeasureXref[[#This Row],[msr_id]],tblMeasure[msr_id],tblMeasure[primary_dimensions])</f>
        <v>user social contact</v>
      </c>
      <c r="K314" s="22" t="str">
        <f>_xlfn.XLOOKUP(tblRequirementMeasureXref[[#This Row],[msr_id]],tblMeasure[msr_id],tblMeasure[msr_min_geo_resolution])</f>
        <v>LA</v>
      </c>
      <c r="L314" s="22" t="str">
        <f>_xlfn.XLOOKUP(tblRequirementMeasureXref[[#This Row],[msr_id]],tblMeasure[msr_id],tblMeasure[src_name])</f>
        <v>ASCOF</v>
      </c>
    </row>
    <row r="315" spans="1:12" x14ac:dyDescent="0.15">
      <c r="A315" s="1" t="str">
        <f>_xlfn.XLOOKUP(tblRequirementMeasureXref[[#This Row],[dm_id]],tblDataRequirement[dm_id],tblDataRequirement[domain_sub_requirement])</f>
        <v>Users:Quality of life:Well-being</v>
      </c>
      <c r="B315" s="1" t="str">
        <f>_xlfn.XLOOKUP(tblRequirementMeasureXref[[#This Row],[dm_id]],tblDataRequirement[dm_id],tblDataRequirement[dm_phase])</f>
        <v>outcome</v>
      </c>
      <c r="C315" s="1">
        <v>54</v>
      </c>
      <c r="D315" s="1">
        <v>81</v>
      </c>
      <c r="G315" s="1"/>
      <c r="H315" s="62" t="str">
        <f>_xlfn.XLOOKUP(tblRequirementMeasureXref[[#This Row],[msr_id]],tblMeasure[msr_id],tblMeasure[msr_table])</f>
        <v>1I(1)</v>
      </c>
      <c r="I315" s="22" t="str">
        <f>_xlfn.XLOOKUP(tblRequirementMeasureXref[[#This Row],[msr_id]],tblMeasure[msr_id],tblMeasure[msr_name])</f>
        <v>The proportion of people who use services who reported that they had as much social contact as they would like</v>
      </c>
      <c r="J315" s="22" t="str">
        <f>_xlfn.XLOOKUP(tblRequirementMeasureXref[[#This Row],[msr_id]],tblMeasure[msr_id],tblMeasure[primary_dimensions])</f>
        <v>user social contact</v>
      </c>
      <c r="K315" s="22" t="str">
        <f>_xlfn.XLOOKUP(tblRequirementMeasureXref[[#This Row],[msr_id]],tblMeasure[msr_id],tblMeasure[msr_min_geo_resolution])</f>
        <v>LA</v>
      </c>
      <c r="L315" s="22" t="str">
        <f>_xlfn.XLOOKUP(tblRequirementMeasureXref[[#This Row],[msr_id]],tblMeasure[msr_id],tblMeasure[src_name])</f>
        <v>ASCOF</v>
      </c>
    </row>
    <row r="316" spans="1:12" x14ac:dyDescent="0.15">
      <c r="A316" s="1" t="str">
        <f>_xlfn.XLOOKUP(tblRequirementMeasureXref[[#This Row],[dm_id]],tblDataRequirement[dm_id],tblDataRequirement[domain_sub_requirement])</f>
        <v>Unpaid Carers:Workforce:Workforce</v>
      </c>
      <c r="B316" s="1" t="str">
        <f>_xlfn.XLOOKUP(tblRequirementMeasureXref[[#This Row],[dm_id]],tblDataRequirement[dm_id],tblDataRequirement[dm_phase])</f>
        <v>supply</v>
      </c>
      <c r="C316" s="1">
        <v>19</v>
      </c>
      <c r="D316" s="1">
        <v>82</v>
      </c>
      <c r="G316" s="1"/>
      <c r="H316" s="62" t="str">
        <f>_xlfn.XLOOKUP(tblRequirementMeasureXref[[#This Row],[msr_id]],tblMeasure[msr_id],tblMeasure[msr_table])</f>
        <v>1I(2)</v>
      </c>
      <c r="I316" s="22" t="str">
        <f>_xlfn.XLOOKUP(tblRequirementMeasureXref[[#This Row],[msr_id]],tblMeasure[msr_id],tblMeasure[msr_name])</f>
        <v>The proportion of carers who reported that they had as much social contact as they would like</v>
      </c>
      <c r="J316" s="22" t="str">
        <f>_xlfn.XLOOKUP(tblRequirementMeasureXref[[#This Row],[msr_id]],tblMeasure[msr_id],tblMeasure[primary_dimensions])</f>
        <v>carer social contact, carer age, carer gender</v>
      </c>
      <c r="K316" s="22" t="str">
        <f>_xlfn.XLOOKUP(tblRequirementMeasureXref[[#This Row],[msr_id]],tblMeasure[msr_id],tblMeasure[msr_min_geo_resolution])</f>
        <v>LA</v>
      </c>
      <c r="L316" s="22" t="str">
        <f>_xlfn.XLOOKUP(tblRequirementMeasureXref[[#This Row],[msr_id]],tblMeasure[msr_id],tblMeasure[src_name])</f>
        <v>ASCOF</v>
      </c>
    </row>
    <row r="317" spans="1:12" x14ac:dyDescent="0.15">
      <c r="A317" s="1" t="str">
        <f>_xlfn.XLOOKUP(tblRequirementMeasureXref[[#This Row],[dm_id]],tblDataRequirement[dm_id],tblDataRequirement[domain_sub_requirement])</f>
        <v>Unpaid Carers:Quality of life:Well-being</v>
      </c>
      <c r="B317" s="1" t="str">
        <f>_xlfn.XLOOKUP(tblRequirementMeasureXref[[#This Row],[dm_id]],tblDataRequirement[dm_id],tblDataRequirement[dm_phase])</f>
        <v>outcome</v>
      </c>
      <c r="C317" s="1">
        <v>87</v>
      </c>
      <c r="D317" s="1">
        <v>82</v>
      </c>
      <c r="G317" s="1"/>
      <c r="H317" s="62" t="str">
        <f>_xlfn.XLOOKUP(tblRequirementMeasureXref[[#This Row],[msr_id]],tblMeasure[msr_id],tblMeasure[msr_table])</f>
        <v>1I(2)</v>
      </c>
      <c r="I317" s="22" t="str">
        <f>_xlfn.XLOOKUP(tblRequirementMeasureXref[[#This Row],[msr_id]],tblMeasure[msr_id],tblMeasure[msr_name])</f>
        <v>The proportion of carers who reported that they had as much social contact as they would like</v>
      </c>
      <c r="J317" s="22" t="str">
        <f>_xlfn.XLOOKUP(tblRequirementMeasureXref[[#This Row],[msr_id]],tblMeasure[msr_id],tblMeasure[primary_dimensions])</f>
        <v>carer social contact, carer age, carer gender</v>
      </c>
      <c r="K317" s="22" t="str">
        <f>_xlfn.XLOOKUP(tblRequirementMeasureXref[[#This Row],[msr_id]],tblMeasure[msr_id],tblMeasure[msr_min_geo_resolution])</f>
        <v>LA</v>
      </c>
      <c r="L317" s="22" t="str">
        <f>_xlfn.XLOOKUP(tblRequirementMeasureXref[[#This Row],[msr_id]],tblMeasure[msr_id],tblMeasure[src_name])</f>
        <v>ASCOF</v>
      </c>
    </row>
    <row r="318" spans="1:12" x14ac:dyDescent="0.15">
      <c r="A318" s="1" t="str">
        <f>_xlfn.XLOOKUP(tblRequirementMeasureXref[[#This Row],[dm_id]],tblDataRequirement[dm_id],tblDataRequirement[domain_sub_requirement])</f>
        <v>Unpaid Carers:Demographics:Age</v>
      </c>
      <c r="B318" s="1" t="str">
        <f>_xlfn.XLOOKUP(tblRequirementMeasureXref[[#This Row],[dm_id]],tblDataRequirement[dm_id],tblDataRequirement[dm_phase])</f>
        <v>supply</v>
      </c>
      <c r="C318" s="1">
        <v>81</v>
      </c>
      <c r="D318" s="1">
        <v>82</v>
      </c>
      <c r="G318" s="1"/>
      <c r="H318" s="62" t="str">
        <f>_xlfn.XLOOKUP(tblRequirementMeasureXref[[#This Row],[msr_id]],tblMeasure[msr_id],tblMeasure[msr_table])</f>
        <v>1I(2)</v>
      </c>
      <c r="I318" s="22" t="str">
        <f>_xlfn.XLOOKUP(tblRequirementMeasureXref[[#This Row],[msr_id]],tblMeasure[msr_id],tblMeasure[msr_name])</f>
        <v>The proportion of carers who reported that they had as much social contact as they would like</v>
      </c>
      <c r="J318" s="22" t="str">
        <f>_xlfn.XLOOKUP(tblRequirementMeasureXref[[#This Row],[msr_id]],tblMeasure[msr_id],tblMeasure[primary_dimensions])</f>
        <v>carer social contact, carer age, carer gender</v>
      </c>
      <c r="K318" s="22" t="str">
        <f>_xlfn.XLOOKUP(tblRequirementMeasureXref[[#This Row],[msr_id]],tblMeasure[msr_id],tblMeasure[msr_min_geo_resolution])</f>
        <v>LA</v>
      </c>
      <c r="L318" s="22" t="str">
        <f>_xlfn.XLOOKUP(tblRequirementMeasureXref[[#This Row],[msr_id]],tblMeasure[msr_id],tblMeasure[src_name])</f>
        <v>ASCOF</v>
      </c>
    </row>
    <row r="319" spans="1:12" x14ac:dyDescent="0.15">
      <c r="A319" s="1" t="str">
        <f>_xlfn.XLOOKUP(tblRequirementMeasureXref[[#This Row],[dm_id]],tblDataRequirement[dm_id],tblDataRequirement[domain_sub_requirement])</f>
        <v>Unpaid Carers:Demographics:Gender</v>
      </c>
      <c r="B319" s="1" t="str">
        <f>_xlfn.XLOOKUP(tblRequirementMeasureXref[[#This Row],[dm_id]],tblDataRequirement[dm_id],tblDataRequirement[dm_phase])</f>
        <v>supply</v>
      </c>
      <c r="C319" s="1">
        <v>82</v>
      </c>
      <c r="D319" s="1">
        <v>82</v>
      </c>
      <c r="G319" s="1"/>
      <c r="H319" s="62" t="str">
        <f>_xlfn.XLOOKUP(tblRequirementMeasureXref[[#This Row],[msr_id]],tblMeasure[msr_id],tblMeasure[msr_table])</f>
        <v>1I(2)</v>
      </c>
      <c r="I319" s="22" t="str">
        <f>_xlfn.XLOOKUP(tblRequirementMeasureXref[[#This Row],[msr_id]],tblMeasure[msr_id],tblMeasure[msr_name])</f>
        <v>The proportion of carers who reported that they had as much social contact as they would like</v>
      </c>
      <c r="J319" s="22" t="str">
        <f>_xlfn.XLOOKUP(tblRequirementMeasureXref[[#This Row],[msr_id]],tblMeasure[msr_id],tblMeasure[primary_dimensions])</f>
        <v>carer social contact, carer age, carer gender</v>
      </c>
      <c r="K319" s="22" t="str">
        <f>_xlfn.XLOOKUP(tblRequirementMeasureXref[[#This Row],[msr_id]],tblMeasure[msr_id],tblMeasure[msr_min_geo_resolution])</f>
        <v>LA</v>
      </c>
      <c r="L319" s="22" t="str">
        <f>_xlfn.XLOOKUP(tblRequirementMeasureXref[[#This Row],[msr_id]],tblMeasure[msr_id],tblMeasure[src_name])</f>
        <v>ASCOF</v>
      </c>
    </row>
    <row r="320" spans="1:12" x14ac:dyDescent="0.15">
      <c r="A320" s="1" t="str">
        <f>_xlfn.XLOOKUP(tblRequirementMeasureXref[[#This Row],[dm_id]],tblDataRequirement[dm_id],tblDataRequirement[domain_sub_requirement])</f>
        <v>Users:Quality of life:Well-being</v>
      </c>
      <c r="B320" s="1" t="str">
        <f>_xlfn.XLOOKUP(tblRequirementMeasureXref[[#This Row],[dm_id]],tblDataRequirement[dm_id],tblDataRequirement[dm_phase])</f>
        <v>outcome</v>
      </c>
      <c r="C320" s="1">
        <v>54</v>
      </c>
      <c r="D320" s="1">
        <v>83</v>
      </c>
      <c r="G320" s="1"/>
      <c r="H320" s="62" t="str">
        <f>_xlfn.XLOOKUP(tblRequirementMeasureXref[[#This Row],[msr_id]],tblMeasure[msr_id],tblMeasure[msr_table])</f>
        <v>1J</v>
      </c>
      <c r="I320" s="22" t="str">
        <f>_xlfn.XLOOKUP(tblRequirementMeasureXref[[#This Row],[msr_id]],tblMeasure[msr_id],tblMeasure[msr_name])</f>
        <v xml:space="preserve">Adjusted Social care-related quality of life - impact of Adult Social Care services </v>
      </c>
      <c r="J320" s="22" t="str">
        <f>_xlfn.XLOOKUP(tblRequirementMeasureXref[[#This Row],[msr_id]],tblMeasure[msr_id],tblMeasure[primary_dimensions])</f>
        <v>quality of life</v>
      </c>
      <c r="K320" s="22" t="str">
        <f>_xlfn.XLOOKUP(tblRequirementMeasureXref[[#This Row],[msr_id]],tblMeasure[msr_id],tblMeasure[msr_min_geo_resolution])</f>
        <v>LA</v>
      </c>
      <c r="L320" s="22" t="str">
        <f>_xlfn.XLOOKUP(tblRequirementMeasureXref[[#This Row],[msr_id]],tblMeasure[msr_id],tblMeasure[src_name])</f>
        <v>ASCOF</v>
      </c>
    </row>
    <row r="321" spans="1:12" x14ac:dyDescent="0.15">
      <c r="A321" s="1" t="str">
        <f>_xlfn.XLOOKUP(tblRequirementMeasureXref[[#This Row],[dm_id]],tblDataRequirement[dm_id],tblDataRequirement[domain_sub_requirement])</f>
        <v>Users:Demographics:Age</v>
      </c>
      <c r="B321" s="1" t="str">
        <f>_xlfn.XLOOKUP(tblRequirementMeasureXref[[#This Row],[dm_id]],tblDataRequirement[dm_id],tblDataRequirement[dm_phase])</f>
        <v>demand</v>
      </c>
      <c r="C321" s="1">
        <v>51</v>
      </c>
      <c r="D321" s="1">
        <v>84</v>
      </c>
      <c r="G321" s="1"/>
      <c r="H321" s="62" t="str">
        <f>_xlfn.XLOOKUP(tblRequirementMeasureXref[[#This Row],[msr_id]],tblMeasure[msr_id],tblMeasure[msr_table])</f>
        <v>2A(1)</v>
      </c>
      <c r="I321" s="22" t="str">
        <f>_xlfn.XLOOKUP(tblRequirementMeasureXref[[#This Row],[msr_id]],tblMeasure[msr_id],tblMeasure[msr_name])</f>
        <v>Long-term support needs of younger adults (aged 1864) met by admission to residential and nursing care homes, per 100,000 population</v>
      </c>
      <c r="J321" s="22" t="str">
        <f>_xlfn.XLOOKUP(tblRequirementMeasureXref[[#This Row],[msr_id]],tblMeasure[msr_id],tblMeasure[primary_dimensions])</f>
        <v>long term admissions</v>
      </c>
      <c r="K321" s="22" t="str">
        <f>_xlfn.XLOOKUP(tblRequirementMeasureXref[[#This Row],[msr_id]],tblMeasure[msr_id],tblMeasure[msr_min_geo_resolution])</f>
        <v>LA</v>
      </c>
      <c r="L321" s="22" t="str">
        <f>_xlfn.XLOOKUP(tblRequirementMeasureXref[[#This Row],[msr_id]],tblMeasure[msr_id],tblMeasure[src_name])</f>
        <v>ASCOF</v>
      </c>
    </row>
    <row r="322" spans="1:12" x14ac:dyDescent="0.15">
      <c r="A322" s="1" t="str">
        <f>_xlfn.XLOOKUP(tblRequirementMeasureXref[[#This Row],[dm_id]],tblDataRequirement[dm_id],tblDataRequirement[domain_sub_requirement])</f>
        <v>Service:Support type:Long-term</v>
      </c>
      <c r="B322" s="1" t="str">
        <f>_xlfn.XLOOKUP(tblRequirementMeasureXref[[#This Row],[dm_id]],tblDataRequirement[dm_id],tblDataRequirement[dm_phase])</f>
        <v>operate</v>
      </c>
      <c r="C322" s="1">
        <v>45</v>
      </c>
      <c r="D322" s="1">
        <v>84</v>
      </c>
      <c r="G322" s="1"/>
      <c r="H322" s="62" t="str">
        <f>_xlfn.XLOOKUP(tblRequirementMeasureXref[[#This Row],[msr_id]],tblMeasure[msr_id],tblMeasure[msr_table])</f>
        <v>2A(1)</v>
      </c>
      <c r="I322" s="22" t="str">
        <f>_xlfn.XLOOKUP(tblRequirementMeasureXref[[#This Row],[msr_id]],tblMeasure[msr_id],tblMeasure[msr_name])</f>
        <v>Long-term support needs of younger adults (aged 1864) met by admission to residential and nursing care homes, per 100,000 population</v>
      </c>
      <c r="J322" s="22" t="str">
        <f>_xlfn.XLOOKUP(tblRequirementMeasureXref[[#This Row],[msr_id]],tblMeasure[msr_id],tblMeasure[primary_dimensions])</f>
        <v>long term admissions</v>
      </c>
      <c r="K322" s="22" t="str">
        <f>_xlfn.XLOOKUP(tblRequirementMeasureXref[[#This Row],[msr_id]],tblMeasure[msr_id],tblMeasure[msr_min_geo_resolution])</f>
        <v>LA</v>
      </c>
      <c r="L322" s="22" t="str">
        <f>_xlfn.XLOOKUP(tblRequirementMeasureXref[[#This Row],[msr_id]],tblMeasure[msr_id],tblMeasure[src_name])</f>
        <v>ASCOF</v>
      </c>
    </row>
    <row r="323" spans="1:12" x14ac:dyDescent="0.15">
      <c r="A323" s="1" t="str">
        <f>_xlfn.XLOOKUP(tblRequirementMeasureXref[[#This Row],[dm_id]],tblDataRequirement[dm_id],tblDataRequirement[domain_sub_requirement])</f>
        <v>Service:Support setting:Residential care home</v>
      </c>
      <c r="B323" s="1" t="str">
        <f>_xlfn.XLOOKUP(tblRequirementMeasureXref[[#This Row],[dm_id]],tblDataRequirement[dm_id],tblDataRequirement[dm_phase])</f>
        <v>operate</v>
      </c>
      <c r="C323" s="1">
        <v>41</v>
      </c>
      <c r="D323" s="1">
        <v>84</v>
      </c>
      <c r="G323" s="1"/>
      <c r="H323" s="62" t="str">
        <f>_xlfn.XLOOKUP(tblRequirementMeasureXref[[#This Row],[msr_id]],tblMeasure[msr_id],tblMeasure[msr_table])</f>
        <v>2A(1)</v>
      </c>
      <c r="I323" s="22" t="str">
        <f>_xlfn.XLOOKUP(tblRequirementMeasureXref[[#This Row],[msr_id]],tblMeasure[msr_id],tblMeasure[msr_name])</f>
        <v>Long-term support needs of younger adults (aged 1864) met by admission to residential and nursing care homes, per 100,000 population</v>
      </c>
      <c r="J323" s="22" t="str">
        <f>_xlfn.XLOOKUP(tblRequirementMeasureXref[[#This Row],[msr_id]],tblMeasure[msr_id],tblMeasure[primary_dimensions])</f>
        <v>long term admissions</v>
      </c>
      <c r="K323" s="22" t="str">
        <f>_xlfn.XLOOKUP(tblRequirementMeasureXref[[#This Row],[msr_id]],tblMeasure[msr_id],tblMeasure[msr_min_geo_resolution])</f>
        <v>LA</v>
      </c>
      <c r="L323" s="22" t="str">
        <f>_xlfn.XLOOKUP(tblRequirementMeasureXref[[#This Row],[msr_id]],tblMeasure[msr_id],tblMeasure[src_name])</f>
        <v>ASCOF</v>
      </c>
    </row>
    <row r="324" spans="1:12" x14ac:dyDescent="0.15">
      <c r="A324" s="1" t="str">
        <f>_xlfn.XLOOKUP(tblRequirementMeasureXref[[#This Row],[dm_id]],tblDataRequirement[dm_id],tblDataRequirement[domain_sub_requirement])</f>
        <v>Service:Support setting:Nursing home</v>
      </c>
      <c r="B324" s="1" t="str">
        <f>_xlfn.XLOOKUP(tblRequirementMeasureXref[[#This Row],[dm_id]],tblDataRequirement[dm_id],tblDataRequirement[dm_phase])</f>
        <v>operate</v>
      </c>
      <c r="C324" s="1">
        <v>42</v>
      </c>
      <c r="D324" s="1">
        <v>84</v>
      </c>
      <c r="G324" s="1"/>
      <c r="H324" s="62" t="str">
        <f>_xlfn.XLOOKUP(tblRequirementMeasureXref[[#This Row],[msr_id]],tblMeasure[msr_id],tblMeasure[msr_table])</f>
        <v>2A(1)</v>
      </c>
      <c r="I324" s="22" t="str">
        <f>_xlfn.XLOOKUP(tblRequirementMeasureXref[[#This Row],[msr_id]],tblMeasure[msr_id],tblMeasure[msr_name])</f>
        <v>Long-term support needs of younger adults (aged 1864) met by admission to residential and nursing care homes, per 100,000 population</v>
      </c>
      <c r="J324" s="22" t="str">
        <f>_xlfn.XLOOKUP(tblRequirementMeasureXref[[#This Row],[msr_id]],tblMeasure[msr_id],tblMeasure[primary_dimensions])</f>
        <v>long term admissions</v>
      </c>
      <c r="K324" s="22" t="str">
        <f>_xlfn.XLOOKUP(tblRequirementMeasureXref[[#This Row],[msr_id]],tblMeasure[msr_id],tblMeasure[msr_min_geo_resolution])</f>
        <v>LA</v>
      </c>
      <c r="L324" s="22" t="str">
        <f>_xlfn.XLOOKUP(tblRequirementMeasureXref[[#This Row],[msr_id]],tblMeasure[msr_id],tblMeasure[src_name])</f>
        <v>ASCOF</v>
      </c>
    </row>
    <row r="325" spans="1:12" x14ac:dyDescent="0.15">
      <c r="A325" s="1" t="str">
        <f>_xlfn.XLOOKUP(tblRequirementMeasureXref[[#This Row],[dm_id]],tblDataRequirement[dm_id],tblDataRequirement[domain_sub_requirement])</f>
        <v>Users:Demographics:Age</v>
      </c>
      <c r="B325" s="1" t="str">
        <f>_xlfn.XLOOKUP(tblRequirementMeasureXref[[#This Row],[dm_id]],tblDataRequirement[dm_id],tblDataRequirement[dm_phase])</f>
        <v>demand</v>
      </c>
      <c r="C325" s="1">
        <v>51</v>
      </c>
      <c r="D325" s="1">
        <v>85</v>
      </c>
      <c r="G325" s="1"/>
      <c r="H325" s="62" t="str">
        <f>_xlfn.XLOOKUP(tblRequirementMeasureXref[[#This Row],[msr_id]],tblMeasure[msr_id],tblMeasure[msr_table])</f>
        <v>2A(2)</v>
      </c>
      <c r="I325" s="22" t="str">
        <f>_xlfn.XLOOKUP(tblRequirementMeasureXref[[#This Row],[msr_id]],tblMeasure[msr_id],tblMeasure[msr_name])</f>
        <v>Long-term support needs of older adults (aged 65ov) met by admission to residential and nursing care homes, per 100,000 population</v>
      </c>
      <c r="J325" s="22" t="str">
        <f>_xlfn.XLOOKUP(tblRequirementMeasureXref[[#This Row],[msr_id]],tblMeasure[msr_id],tblMeasure[primary_dimensions])</f>
        <v>long term admissions</v>
      </c>
      <c r="K325" s="22" t="str">
        <f>_xlfn.XLOOKUP(tblRequirementMeasureXref[[#This Row],[msr_id]],tblMeasure[msr_id],tblMeasure[msr_min_geo_resolution])</f>
        <v>LA</v>
      </c>
      <c r="L325" s="22" t="str">
        <f>_xlfn.XLOOKUP(tblRequirementMeasureXref[[#This Row],[msr_id]],tblMeasure[msr_id],tblMeasure[src_name])</f>
        <v>ASCOF</v>
      </c>
    </row>
    <row r="326" spans="1:12" x14ac:dyDescent="0.15">
      <c r="A326" s="1" t="str">
        <f>_xlfn.XLOOKUP(tblRequirementMeasureXref[[#This Row],[dm_id]],tblDataRequirement[dm_id],tblDataRequirement[domain_sub_requirement])</f>
        <v>Service:Support type:Long-term</v>
      </c>
      <c r="B326" s="1" t="str">
        <f>_xlfn.XLOOKUP(tblRequirementMeasureXref[[#This Row],[dm_id]],tblDataRequirement[dm_id],tblDataRequirement[dm_phase])</f>
        <v>operate</v>
      </c>
      <c r="C326" s="1">
        <v>45</v>
      </c>
      <c r="D326" s="1">
        <v>85</v>
      </c>
      <c r="G326" s="1"/>
      <c r="H326" s="62" t="str">
        <f>_xlfn.XLOOKUP(tblRequirementMeasureXref[[#This Row],[msr_id]],tblMeasure[msr_id],tblMeasure[msr_table])</f>
        <v>2A(2)</v>
      </c>
      <c r="I326" s="22" t="str">
        <f>_xlfn.XLOOKUP(tblRequirementMeasureXref[[#This Row],[msr_id]],tblMeasure[msr_id],tblMeasure[msr_name])</f>
        <v>Long-term support needs of older adults (aged 65ov) met by admission to residential and nursing care homes, per 100,000 population</v>
      </c>
      <c r="J326" s="22" t="str">
        <f>_xlfn.XLOOKUP(tblRequirementMeasureXref[[#This Row],[msr_id]],tblMeasure[msr_id],tblMeasure[primary_dimensions])</f>
        <v>long term admissions</v>
      </c>
      <c r="K326" s="22" t="str">
        <f>_xlfn.XLOOKUP(tblRequirementMeasureXref[[#This Row],[msr_id]],tblMeasure[msr_id],tblMeasure[msr_min_geo_resolution])</f>
        <v>LA</v>
      </c>
      <c r="L326" s="22" t="str">
        <f>_xlfn.XLOOKUP(tblRequirementMeasureXref[[#This Row],[msr_id]],tblMeasure[msr_id],tblMeasure[src_name])</f>
        <v>ASCOF</v>
      </c>
    </row>
    <row r="327" spans="1:12" x14ac:dyDescent="0.15">
      <c r="A327" s="1" t="str">
        <f>_xlfn.XLOOKUP(tblRequirementMeasureXref[[#This Row],[dm_id]],tblDataRequirement[dm_id],tblDataRequirement[domain_sub_requirement])</f>
        <v>Service:Support setting:Residential care home</v>
      </c>
      <c r="B327" s="1" t="str">
        <f>_xlfn.XLOOKUP(tblRequirementMeasureXref[[#This Row],[dm_id]],tblDataRequirement[dm_id],tblDataRequirement[dm_phase])</f>
        <v>operate</v>
      </c>
      <c r="C327" s="1">
        <v>41</v>
      </c>
      <c r="D327" s="1">
        <v>85</v>
      </c>
      <c r="G327" s="1"/>
      <c r="H327" s="62" t="str">
        <f>_xlfn.XLOOKUP(tblRequirementMeasureXref[[#This Row],[msr_id]],tblMeasure[msr_id],tblMeasure[msr_table])</f>
        <v>2A(2)</v>
      </c>
      <c r="I327" s="22" t="str">
        <f>_xlfn.XLOOKUP(tblRequirementMeasureXref[[#This Row],[msr_id]],tblMeasure[msr_id],tblMeasure[msr_name])</f>
        <v>Long-term support needs of older adults (aged 65ov) met by admission to residential and nursing care homes, per 100,000 population</v>
      </c>
      <c r="J327" s="22" t="str">
        <f>_xlfn.XLOOKUP(tblRequirementMeasureXref[[#This Row],[msr_id]],tblMeasure[msr_id],tblMeasure[primary_dimensions])</f>
        <v>long term admissions</v>
      </c>
      <c r="K327" s="22" t="str">
        <f>_xlfn.XLOOKUP(tblRequirementMeasureXref[[#This Row],[msr_id]],tblMeasure[msr_id],tblMeasure[msr_min_geo_resolution])</f>
        <v>LA</v>
      </c>
      <c r="L327" s="22" t="str">
        <f>_xlfn.XLOOKUP(tblRequirementMeasureXref[[#This Row],[msr_id]],tblMeasure[msr_id],tblMeasure[src_name])</f>
        <v>ASCOF</v>
      </c>
    </row>
    <row r="328" spans="1:12" x14ac:dyDescent="0.15">
      <c r="A328" s="1" t="str">
        <f>_xlfn.XLOOKUP(tblRequirementMeasureXref[[#This Row],[dm_id]],tblDataRequirement[dm_id],tblDataRequirement[domain_sub_requirement])</f>
        <v>Service:Support setting:Nursing home</v>
      </c>
      <c r="B328" s="1" t="str">
        <f>_xlfn.XLOOKUP(tblRequirementMeasureXref[[#This Row],[dm_id]],tblDataRequirement[dm_id],tblDataRequirement[dm_phase])</f>
        <v>operate</v>
      </c>
      <c r="C328" s="1">
        <v>42</v>
      </c>
      <c r="D328" s="1">
        <v>85</v>
      </c>
      <c r="G328" s="1"/>
      <c r="H328" s="62" t="str">
        <f>_xlfn.XLOOKUP(tblRequirementMeasureXref[[#This Row],[msr_id]],tblMeasure[msr_id],tblMeasure[msr_table])</f>
        <v>2A(2)</v>
      </c>
      <c r="I328" s="22" t="str">
        <f>_xlfn.XLOOKUP(tblRequirementMeasureXref[[#This Row],[msr_id]],tblMeasure[msr_id],tblMeasure[msr_name])</f>
        <v>Long-term support needs of older adults (aged 65ov) met by admission to residential and nursing care homes, per 100,000 population</v>
      </c>
      <c r="J328" s="22" t="str">
        <f>_xlfn.XLOOKUP(tblRequirementMeasureXref[[#This Row],[msr_id]],tblMeasure[msr_id],tblMeasure[primary_dimensions])</f>
        <v>long term admissions</v>
      </c>
      <c r="K328" s="22" t="str">
        <f>_xlfn.XLOOKUP(tblRequirementMeasureXref[[#This Row],[msr_id]],tblMeasure[msr_id],tblMeasure[msr_min_geo_resolution])</f>
        <v>LA</v>
      </c>
      <c r="L328" s="22" t="str">
        <f>_xlfn.XLOOKUP(tblRequirementMeasureXref[[#This Row],[msr_id]],tblMeasure[msr_id],tblMeasure[src_name])</f>
        <v>ASCOF</v>
      </c>
    </row>
    <row r="329" spans="1:12" x14ac:dyDescent="0.15">
      <c r="A329" s="1" t="str">
        <f>_xlfn.XLOOKUP(tblRequirementMeasureXref[[#This Row],[dm_id]],tblDataRequirement[dm_id],tblDataRequirement[domain_sub_requirement])</f>
        <v>Users:Demographics:Age</v>
      </c>
      <c r="B329" s="1" t="str">
        <f>_xlfn.XLOOKUP(tblRequirementMeasureXref[[#This Row],[dm_id]],tblDataRequirement[dm_id],tblDataRequirement[dm_phase])</f>
        <v>demand</v>
      </c>
      <c r="C329" s="1">
        <v>51</v>
      </c>
      <c r="D329" s="1">
        <v>86</v>
      </c>
      <c r="G329" s="1"/>
      <c r="H329" s="62" t="str">
        <f>_xlfn.XLOOKUP(tblRequirementMeasureXref[[#This Row],[msr_id]],tblMeasure[msr_id],tblMeasure[msr_table])</f>
        <v>2B(1)</v>
      </c>
      <c r="I329" s="22" t="str">
        <f>_xlfn.XLOOKUP(tblRequirementMeasureXref[[#This Row],[msr_id]],tblMeasure[msr_id],tblMeasure[msr_name])</f>
        <v>The proportion of older people (aged 65ov) who were still at home 91 days after discharge from hospital into reablement/rehabilitation services</v>
      </c>
      <c r="J329" s="22" t="str">
        <f>_xlfn.XLOOKUP(tblRequirementMeasureXref[[#This Row],[msr_id]],tblMeasure[msr_id],tblMeasure[primary_dimensions])</f>
        <v>reablement stayed home</v>
      </c>
      <c r="K329" s="22" t="str">
        <f>_xlfn.XLOOKUP(tblRequirementMeasureXref[[#This Row],[msr_id]],tblMeasure[msr_id],tblMeasure[msr_min_geo_resolution])</f>
        <v>LA</v>
      </c>
      <c r="L329" s="22" t="str">
        <f>_xlfn.XLOOKUP(tblRequirementMeasureXref[[#This Row],[msr_id]],tblMeasure[msr_id],tblMeasure[src_name])</f>
        <v>ASCOF</v>
      </c>
    </row>
    <row r="330" spans="1:12" x14ac:dyDescent="0.15">
      <c r="A330" s="1" t="str">
        <f>_xlfn.XLOOKUP(tblRequirementMeasureXref[[#This Row],[dm_id]],tblDataRequirement[dm_id],tblDataRequirement[domain_sub_requirement])</f>
        <v>Service:Support type:Reablement / ST-MAX</v>
      </c>
      <c r="B330" s="1" t="str">
        <f>_xlfn.XLOOKUP(tblRequirementMeasureXref[[#This Row],[dm_id]],tblDataRequirement[dm_id],tblDataRequirement[dm_phase])</f>
        <v>operate</v>
      </c>
      <c r="C330" s="1">
        <v>46</v>
      </c>
      <c r="D330" s="1">
        <v>86</v>
      </c>
      <c r="G330" s="1"/>
      <c r="H330" s="62" t="str">
        <f>_xlfn.XLOOKUP(tblRequirementMeasureXref[[#This Row],[msr_id]],tblMeasure[msr_id],tblMeasure[msr_table])</f>
        <v>2B(1)</v>
      </c>
      <c r="I330" s="22" t="str">
        <f>_xlfn.XLOOKUP(tblRequirementMeasureXref[[#This Row],[msr_id]],tblMeasure[msr_id],tblMeasure[msr_name])</f>
        <v>The proportion of older people (aged 65ov) who were still at home 91 days after discharge from hospital into reablement/rehabilitation services</v>
      </c>
      <c r="J330" s="22" t="str">
        <f>_xlfn.XLOOKUP(tblRequirementMeasureXref[[#This Row],[msr_id]],tblMeasure[msr_id],tblMeasure[primary_dimensions])</f>
        <v>reablement stayed home</v>
      </c>
      <c r="K330" s="22" t="str">
        <f>_xlfn.XLOOKUP(tblRequirementMeasureXref[[#This Row],[msr_id]],tblMeasure[msr_id],tblMeasure[msr_min_geo_resolution])</f>
        <v>LA</v>
      </c>
      <c r="L330" s="22" t="str">
        <f>_xlfn.XLOOKUP(tblRequirementMeasureXref[[#This Row],[msr_id]],tblMeasure[msr_id],tblMeasure[src_name])</f>
        <v>ASCOF</v>
      </c>
    </row>
    <row r="331" spans="1:12" x14ac:dyDescent="0.15">
      <c r="A331" s="1" t="str">
        <f>_xlfn.XLOOKUP(tblRequirementMeasureXref[[#This Row],[dm_id]],tblDataRequirement[dm_id],tblDataRequirement[domain_sub_requirement])</f>
        <v>Service:Support setting:Home</v>
      </c>
      <c r="B331" s="1" t="str">
        <f>_xlfn.XLOOKUP(tblRequirementMeasureXref[[#This Row],[dm_id]],tblDataRequirement[dm_id],tblDataRequirement[dm_phase])</f>
        <v>operate</v>
      </c>
      <c r="C331" s="1">
        <v>40</v>
      </c>
      <c r="D331" s="1">
        <v>86</v>
      </c>
      <c r="G331" s="1"/>
      <c r="H331" s="62" t="str">
        <f>_xlfn.XLOOKUP(tblRequirementMeasureXref[[#This Row],[msr_id]],tblMeasure[msr_id],tblMeasure[msr_table])</f>
        <v>2B(1)</v>
      </c>
      <c r="I331" s="22" t="str">
        <f>_xlfn.XLOOKUP(tblRequirementMeasureXref[[#This Row],[msr_id]],tblMeasure[msr_id],tblMeasure[msr_name])</f>
        <v>The proportion of older people (aged 65ov) who were still at home 91 days after discharge from hospital into reablement/rehabilitation services</v>
      </c>
      <c r="J331" s="22" t="str">
        <f>_xlfn.XLOOKUP(tblRequirementMeasureXref[[#This Row],[msr_id]],tblMeasure[msr_id],tblMeasure[primary_dimensions])</f>
        <v>reablement stayed home</v>
      </c>
      <c r="K331" s="22" t="str">
        <f>_xlfn.XLOOKUP(tblRequirementMeasureXref[[#This Row],[msr_id]],tblMeasure[msr_id],tblMeasure[msr_min_geo_resolution])</f>
        <v>LA</v>
      </c>
      <c r="L331" s="22" t="str">
        <f>_xlfn.XLOOKUP(tblRequirementMeasureXref[[#This Row],[msr_id]],tblMeasure[msr_id],tblMeasure[src_name])</f>
        <v>ASCOF</v>
      </c>
    </row>
    <row r="332" spans="1:12" x14ac:dyDescent="0.15">
      <c r="A332" s="1" t="str">
        <f>_xlfn.XLOOKUP(tblRequirementMeasureXref[[#This Row],[dm_id]],tblDataRequirement[dm_id],tblDataRequirement[domain_sub_requirement])</f>
        <v>Service:Integration:NHS secondary care</v>
      </c>
      <c r="B332" s="1" t="str">
        <f>_xlfn.XLOOKUP(tblRequirementMeasureXref[[#This Row],[dm_id]],tblDataRequirement[dm_id],tblDataRequirement[dm_phase])</f>
        <v>operate</v>
      </c>
      <c r="C332" s="1">
        <v>37</v>
      </c>
      <c r="D332" s="1">
        <v>86</v>
      </c>
      <c r="G332" s="1"/>
      <c r="H332" s="62" t="str">
        <f>_xlfn.XLOOKUP(tblRequirementMeasureXref[[#This Row],[msr_id]],tblMeasure[msr_id],tblMeasure[msr_table])</f>
        <v>2B(1)</v>
      </c>
      <c r="I332" s="22" t="str">
        <f>_xlfn.XLOOKUP(tblRequirementMeasureXref[[#This Row],[msr_id]],tblMeasure[msr_id],tblMeasure[msr_name])</f>
        <v>The proportion of older people (aged 65ov) who were still at home 91 days after discharge from hospital into reablement/rehabilitation services</v>
      </c>
      <c r="J332" s="22" t="str">
        <f>_xlfn.XLOOKUP(tblRequirementMeasureXref[[#This Row],[msr_id]],tblMeasure[msr_id],tblMeasure[primary_dimensions])</f>
        <v>reablement stayed home</v>
      </c>
      <c r="K332" s="22" t="str">
        <f>_xlfn.XLOOKUP(tblRequirementMeasureXref[[#This Row],[msr_id]],tblMeasure[msr_id],tblMeasure[msr_min_geo_resolution])</f>
        <v>LA</v>
      </c>
      <c r="L332" s="22" t="str">
        <f>_xlfn.XLOOKUP(tblRequirementMeasureXref[[#This Row],[msr_id]],tblMeasure[msr_id],tblMeasure[src_name])</f>
        <v>ASCOF</v>
      </c>
    </row>
    <row r="333" spans="1:12" x14ac:dyDescent="0.15">
      <c r="A333" s="1" t="str">
        <f>_xlfn.XLOOKUP(tblRequirementMeasureXref[[#This Row],[dm_id]],tblDataRequirement[dm_id],tblDataRequirement[domain_sub_requirement])</f>
        <v>Users:Demographics:Age</v>
      </c>
      <c r="B333" s="1" t="str">
        <f>_xlfn.XLOOKUP(tblRequirementMeasureXref[[#This Row],[dm_id]],tblDataRequirement[dm_id],tblDataRequirement[dm_phase])</f>
        <v>demand</v>
      </c>
      <c r="C333" s="1">
        <v>51</v>
      </c>
      <c r="D333" s="1">
        <v>87</v>
      </c>
      <c r="G333" s="1"/>
      <c r="H333" s="62" t="str">
        <f>_xlfn.XLOOKUP(tblRequirementMeasureXref[[#This Row],[msr_id]],tblMeasure[msr_id],tblMeasure[msr_table])</f>
        <v>2B(2)</v>
      </c>
      <c r="I333" s="22" t="str">
        <f>_xlfn.XLOOKUP(tblRequirementMeasureXref[[#This Row],[msr_id]],tblMeasure[msr_id],tblMeasure[msr_name])</f>
        <v>The proportion of older people (aged 65ov) who received reablement/rehabilitation services after discharge from hospital</v>
      </c>
      <c r="J333" s="22" t="str">
        <f>_xlfn.XLOOKUP(tblRequirementMeasureXref[[#This Row],[msr_id]],tblMeasure[msr_id],tblMeasure[primary_dimensions])</f>
        <v>reablement services</v>
      </c>
      <c r="K333" s="22" t="str">
        <f>_xlfn.XLOOKUP(tblRequirementMeasureXref[[#This Row],[msr_id]],tblMeasure[msr_id],tblMeasure[msr_min_geo_resolution])</f>
        <v>LA</v>
      </c>
      <c r="L333" s="22" t="str">
        <f>_xlfn.XLOOKUP(tblRequirementMeasureXref[[#This Row],[msr_id]],tblMeasure[msr_id],tblMeasure[src_name])</f>
        <v>ASCOF</v>
      </c>
    </row>
    <row r="334" spans="1:12" x14ac:dyDescent="0.15">
      <c r="A334" s="1" t="str">
        <f>_xlfn.XLOOKUP(tblRequirementMeasureXref[[#This Row],[dm_id]],tblDataRequirement[dm_id],tblDataRequirement[domain_sub_requirement])</f>
        <v>Service:Support type:Reablement / ST-MAX</v>
      </c>
      <c r="B334" s="1" t="str">
        <f>_xlfn.XLOOKUP(tblRequirementMeasureXref[[#This Row],[dm_id]],tblDataRequirement[dm_id],tblDataRequirement[dm_phase])</f>
        <v>operate</v>
      </c>
      <c r="C334" s="1">
        <v>46</v>
      </c>
      <c r="D334" s="1">
        <v>87</v>
      </c>
      <c r="G334" s="1"/>
      <c r="H334" s="62" t="str">
        <f>_xlfn.XLOOKUP(tblRequirementMeasureXref[[#This Row],[msr_id]],tblMeasure[msr_id],tblMeasure[msr_table])</f>
        <v>2B(2)</v>
      </c>
      <c r="I334" s="22" t="str">
        <f>_xlfn.XLOOKUP(tblRequirementMeasureXref[[#This Row],[msr_id]],tblMeasure[msr_id],tblMeasure[msr_name])</f>
        <v>The proportion of older people (aged 65ov) who received reablement/rehabilitation services after discharge from hospital</v>
      </c>
      <c r="J334" s="22" t="str">
        <f>_xlfn.XLOOKUP(tblRequirementMeasureXref[[#This Row],[msr_id]],tblMeasure[msr_id],tblMeasure[primary_dimensions])</f>
        <v>reablement services</v>
      </c>
      <c r="K334" s="22" t="str">
        <f>_xlfn.XLOOKUP(tblRequirementMeasureXref[[#This Row],[msr_id]],tblMeasure[msr_id],tblMeasure[msr_min_geo_resolution])</f>
        <v>LA</v>
      </c>
      <c r="L334" s="22" t="str">
        <f>_xlfn.XLOOKUP(tblRequirementMeasureXref[[#This Row],[msr_id]],tblMeasure[msr_id],tblMeasure[src_name])</f>
        <v>ASCOF</v>
      </c>
    </row>
    <row r="335" spans="1:12" x14ac:dyDescent="0.15">
      <c r="A335" s="1" t="str">
        <f>_xlfn.XLOOKUP(tblRequirementMeasureXref[[#This Row],[dm_id]],tblDataRequirement[dm_id],tblDataRequirement[domain_sub_requirement])</f>
        <v>Service:Integration:NHS secondary care</v>
      </c>
      <c r="B335" s="1" t="str">
        <f>_xlfn.XLOOKUP(tblRequirementMeasureXref[[#This Row],[dm_id]],tblDataRequirement[dm_id],tblDataRequirement[dm_phase])</f>
        <v>operate</v>
      </c>
      <c r="C335" s="1">
        <v>37</v>
      </c>
      <c r="D335" s="1">
        <v>87</v>
      </c>
      <c r="G335" s="1"/>
      <c r="H335" s="62" t="str">
        <f>_xlfn.XLOOKUP(tblRequirementMeasureXref[[#This Row],[msr_id]],tblMeasure[msr_id],tblMeasure[msr_table])</f>
        <v>2B(2)</v>
      </c>
      <c r="I335" s="22" t="str">
        <f>_xlfn.XLOOKUP(tblRequirementMeasureXref[[#This Row],[msr_id]],tblMeasure[msr_id],tblMeasure[msr_name])</f>
        <v>The proportion of older people (aged 65ov) who received reablement/rehabilitation services after discharge from hospital</v>
      </c>
      <c r="J335" s="22" t="str">
        <f>_xlfn.XLOOKUP(tblRequirementMeasureXref[[#This Row],[msr_id]],tblMeasure[msr_id],tblMeasure[primary_dimensions])</f>
        <v>reablement services</v>
      </c>
      <c r="K335" s="22" t="str">
        <f>_xlfn.XLOOKUP(tblRequirementMeasureXref[[#This Row],[msr_id]],tblMeasure[msr_id],tblMeasure[msr_min_geo_resolution])</f>
        <v>LA</v>
      </c>
      <c r="L335" s="22" t="str">
        <f>_xlfn.XLOOKUP(tblRequirementMeasureXref[[#This Row],[msr_id]],tblMeasure[msr_id],tblMeasure[src_name])</f>
        <v>ASCOF</v>
      </c>
    </row>
    <row r="336" spans="1:12" x14ac:dyDescent="0.15">
      <c r="A336" s="1" t="str">
        <f>_xlfn.XLOOKUP(tblRequirementMeasureXref[[#This Row],[dm_id]],tblDataRequirement[dm_id],tblDataRequirement[domain_sub_requirement])</f>
        <v>Service:Integration:NHS secondary care</v>
      </c>
      <c r="B336" s="1" t="str">
        <f>_xlfn.XLOOKUP(tblRequirementMeasureXref[[#This Row],[dm_id]],tblDataRequirement[dm_id],tblDataRequirement[dm_phase])</f>
        <v>operate</v>
      </c>
      <c r="C336" s="1">
        <v>37</v>
      </c>
      <c r="D336" s="1">
        <v>88</v>
      </c>
      <c r="G336" s="1"/>
      <c r="H336" s="62" t="str">
        <f>_xlfn.XLOOKUP(tblRequirementMeasureXref[[#This Row],[msr_id]],tblMeasure[msr_id],tblMeasure[msr_table])</f>
        <v>2C(1)</v>
      </c>
      <c r="I336" s="22" t="str">
        <f>_xlfn.XLOOKUP(tblRequirementMeasureXref[[#This Row],[msr_id]],tblMeasure[msr_id],tblMeasure[msr_name])</f>
        <v>Delayed transfers of care from hospital, per 100,000</v>
      </c>
      <c r="J336" s="22" t="str">
        <f>_xlfn.XLOOKUP(tblRequirementMeasureXref[[#This Row],[msr_id]],tblMeasure[msr_id],tblMeasure[primary_dimensions])</f>
        <v>delayed transfers</v>
      </c>
      <c r="K336" s="22" t="str">
        <f>_xlfn.XLOOKUP(tblRequirementMeasureXref[[#This Row],[msr_id]],tblMeasure[msr_id],tblMeasure[msr_min_geo_resolution])</f>
        <v>LA</v>
      </c>
      <c r="L336" s="22" t="str">
        <f>_xlfn.XLOOKUP(tblRequirementMeasureXref[[#This Row],[msr_id]],tblMeasure[msr_id],tblMeasure[src_name])</f>
        <v>ASCOF</v>
      </c>
    </row>
    <row r="337" spans="1:12" x14ac:dyDescent="0.15">
      <c r="A337" s="1" t="str">
        <f>_xlfn.XLOOKUP(tblRequirementMeasureXref[[#This Row],[dm_id]],tblDataRequirement[dm_id],tblDataRequirement[domain_sub_requirement])</f>
        <v>Service:Integration:NHS secondary care</v>
      </c>
      <c r="B337" s="1" t="str">
        <f>_xlfn.XLOOKUP(tblRequirementMeasureXref[[#This Row],[dm_id]],tblDataRequirement[dm_id],tblDataRequirement[dm_phase])</f>
        <v>operate</v>
      </c>
      <c r="C337" s="1">
        <v>37</v>
      </c>
      <c r="D337" s="1">
        <v>89</v>
      </c>
      <c r="G337" s="1"/>
      <c r="H337" s="62" t="str">
        <f>_xlfn.XLOOKUP(tblRequirementMeasureXref[[#This Row],[msr_id]],tblMeasure[msr_id],tblMeasure[msr_table])</f>
        <v>2C(2)</v>
      </c>
      <c r="I337" s="22" t="str">
        <f>_xlfn.XLOOKUP(tblRequirementMeasureXref[[#This Row],[msr_id]],tblMeasure[msr_id],tblMeasure[msr_name])</f>
        <v>Delayed transfers of care from hospital that are attributable to adult social care, per 100,000 population</v>
      </c>
      <c r="J337" s="22" t="str">
        <f>_xlfn.XLOOKUP(tblRequirementMeasureXref[[#This Row],[msr_id]],tblMeasure[msr_id],tblMeasure[primary_dimensions])</f>
        <v>delayed transfers attributable to ASC</v>
      </c>
      <c r="K337" s="22" t="str">
        <f>_xlfn.XLOOKUP(tblRequirementMeasureXref[[#This Row],[msr_id]],tblMeasure[msr_id],tblMeasure[msr_min_geo_resolution])</f>
        <v>LA</v>
      </c>
      <c r="L337" s="22" t="str">
        <f>_xlfn.XLOOKUP(tblRequirementMeasureXref[[#This Row],[msr_id]],tblMeasure[msr_id],tblMeasure[src_name])</f>
        <v>ASCOF</v>
      </c>
    </row>
    <row r="338" spans="1:12" x14ac:dyDescent="0.15">
      <c r="A338" s="1" t="str">
        <f>_xlfn.XLOOKUP(tblRequirementMeasureXref[[#This Row],[dm_id]],tblDataRequirement[dm_id],tblDataRequirement[domain_sub_requirement])</f>
        <v>Service:Integration:NHS secondary care</v>
      </c>
      <c r="B338" s="1" t="str">
        <f>_xlfn.XLOOKUP(tblRequirementMeasureXref[[#This Row],[dm_id]],tblDataRequirement[dm_id],tblDataRequirement[dm_phase])</f>
        <v>operate</v>
      </c>
      <c r="C338" s="1">
        <v>37</v>
      </c>
      <c r="D338" s="1">
        <v>90</v>
      </c>
      <c r="G338" s="1"/>
      <c r="H338" s="62" t="str">
        <f>_xlfn.XLOOKUP(tblRequirementMeasureXref[[#This Row],[msr_id]],tblMeasure[msr_id],tblMeasure[msr_table])</f>
        <v>2C(3)</v>
      </c>
      <c r="I338" s="22" t="str">
        <f>_xlfn.XLOOKUP(tblRequirementMeasureXref[[#This Row],[msr_id]],tblMeasure[msr_id],tblMeasure[msr_name])</f>
        <v>Delayed transfers of care from hospital that are attributable to adult social care, per 100,000 population</v>
      </c>
      <c r="J338" s="22" t="str">
        <f>_xlfn.XLOOKUP(tblRequirementMeasureXref[[#This Row],[msr_id]],tblMeasure[msr_id],tblMeasure[primary_dimensions])</f>
        <v>delayed transfers jointly attributable to ASC/NHS</v>
      </c>
      <c r="K338" s="22" t="str">
        <f>_xlfn.XLOOKUP(tblRequirementMeasureXref[[#This Row],[msr_id]],tblMeasure[msr_id],tblMeasure[msr_min_geo_resolution])</f>
        <v>LA</v>
      </c>
      <c r="L338" s="22" t="str">
        <f>_xlfn.XLOOKUP(tblRequirementMeasureXref[[#This Row],[msr_id]],tblMeasure[msr_id],tblMeasure[src_name])</f>
        <v>ASCOF</v>
      </c>
    </row>
    <row r="339" spans="1:12" x14ac:dyDescent="0.15">
      <c r="A339" s="1" t="str">
        <f>_xlfn.XLOOKUP(tblRequirementMeasureXref[[#This Row],[dm_id]],tblDataRequirement[dm_id],tblDataRequirement[domain_sub_requirement])</f>
        <v>Users:Demographics:Age</v>
      </c>
      <c r="B339" s="1" t="str">
        <f>_xlfn.XLOOKUP(tblRequirementMeasureXref[[#This Row],[dm_id]],tblDataRequirement[dm_id],tblDataRequirement[dm_phase])</f>
        <v>demand</v>
      </c>
      <c r="C339" s="1">
        <v>51</v>
      </c>
      <c r="D339" s="1">
        <v>91</v>
      </c>
      <c r="G339" s="1"/>
      <c r="H339" s="62" t="str">
        <f>_xlfn.XLOOKUP(tblRequirementMeasureXref[[#This Row],[msr_id]],tblMeasure[msr_id],tblMeasure[msr_table])</f>
        <v>2D</v>
      </c>
      <c r="I339" s="22" t="str">
        <f>_xlfn.XLOOKUP(tblRequirementMeasureXref[[#This Row],[msr_id]],tblMeasure[msr_id],tblMeasure[msr_name])</f>
        <v xml:space="preserve">The outcome of short-term services: sequel to service </v>
      </c>
      <c r="J339" s="22" t="str">
        <f>_xlfn.XLOOKUP(tblRequirementMeasureXref[[#This Row],[msr_id]],tblMeasure[msr_id],tblMeasure[primary_dimensions])</f>
        <v>lower level short term service</v>
      </c>
      <c r="K339" s="22" t="str">
        <f>_xlfn.XLOOKUP(tblRequirementMeasureXref[[#This Row],[msr_id]],tblMeasure[msr_id],tblMeasure[msr_min_geo_resolution])</f>
        <v>LA</v>
      </c>
      <c r="L339" s="22" t="str">
        <f>_xlfn.XLOOKUP(tblRequirementMeasureXref[[#This Row],[msr_id]],tblMeasure[msr_id],tblMeasure[src_name])</f>
        <v>ASCOF</v>
      </c>
    </row>
    <row r="340" spans="1:12" x14ac:dyDescent="0.15">
      <c r="A340" s="1" t="str">
        <f>_xlfn.XLOOKUP(tblRequirementMeasureXref[[#This Row],[dm_id]],tblDataRequirement[dm_id],tblDataRequirement[domain_sub_requirement])</f>
        <v>Service:Support type:Short-term</v>
      </c>
      <c r="B340" s="1" t="str">
        <f>_xlfn.XLOOKUP(tblRequirementMeasureXref[[#This Row],[dm_id]],tblDataRequirement[dm_id],tblDataRequirement[dm_phase])</f>
        <v>operate</v>
      </c>
      <c r="C340" s="1">
        <v>44</v>
      </c>
      <c r="D340" s="1">
        <v>91</v>
      </c>
      <c r="G340" s="1"/>
      <c r="H340" s="62" t="str">
        <f>_xlfn.XLOOKUP(tblRequirementMeasureXref[[#This Row],[msr_id]],tblMeasure[msr_id],tblMeasure[msr_table])</f>
        <v>2D</v>
      </c>
      <c r="I340" s="22" t="str">
        <f>_xlfn.XLOOKUP(tblRequirementMeasureXref[[#This Row],[msr_id]],tblMeasure[msr_id],tblMeasure[msr_name])</f>
        <v xml:space="preserve">The outcome of short-term services: sequel to service </v>
      </c>
      <c r="J340" s="22" t="str">
        <f>_xlfn.XLOOKUP(tblRequirementMeasureXref[[#This Row],[msr_id]],tblMeasure[msr_id],tblMeasure[primary_dimensions])</f>
        <v>lower level short term service</v>
      </c>
      <c r="K340" s="22" t="str">
        <f>_xlfn.XLOOKUP(tblRequirementMeasureXref[[#This Row],[msr_id]],tblMeasure[msr_id],tblMeasure[msr_min_geo_resolution])</f>
        <v>LA</v>
      </c>
      <c r="L340" s="22" t="str">
        <f>_xlfn.XLOOKUP(tblRequirementMeasureXref[[#This Row],[msr_id]],tblMeasure[msr_id],tblMeasure[src_name])</f>
        <v>ASCOF</v>
      </c>
    </row>
    <row r="341" spans="1:12" x14ac:dyDescent="0.15">
      <c r="A341" s="1" t="str">
        <f>_xlfn.XLOOKUP(tblRequirementMeasureXref[[#This Row],[dm_id]],tblDataRequirement[dm_id],tblDataRequirement[domain_sub_requirement])</f>
        <v>Service:Access:Sequel to service</v>
      </c>
      <c r="B341" s="1" t="str">
        <f>_xlfn.XLOOKUP(tblRequirementMeasureXref[[#This Row],[dm_id]],tblDataRequirement[dm_id],tblDataRequirement[dm_phase])</f>
        <v>demand</v>
      </c>
      <c r="C341" s="1">
        <v>59</v>
      </c>
      <c r="D341" s="1">
        <v>91</v>
      </c>
      <c r="G341" s="1"/>
      <c r="H341" s="62" t="str">
        <f>_xlfn.XLOOKUP(tblRequirementMeasureXref[[#This Row],[msr_id]],tblMeasure[msr_id],tblMeasure[msr_table])</f>
        <v>2D</v>
      </c>
      <c r="I341" s="22" t="str">
        <f>_xlfn.XLOOKUP(tblRequirementMeasureXref[[#This Row],[msr_id]],tblMeasure[msr_id],tblMeasure[msr_name])</f>
        <v xml:space="preserve">The outcome of short-term services: sequel to service </v>
      </c>
      <c r="J341" s="22" t="str">
        <f>_xlfn.XLOOKUP(tblRequirementMeasureXref[[#This Row],[msr_id]],tblMeasure[msr_id],tblMeasure[primary_dimensions])</f>
        <v>lower level short term service</v>
      </c>
      <c r="K341" s="22" t="str">
        <f>_xlfn.XLOOKUP(tblRequirementMeasureXref[[#This Row],[msr_id]],tblMeasure[msr_id],tblMeasure[msr_min_geo_resolution])</f>
        <v>LA</v>
      </c>
      <c r="L341" s="22" t="str">
        <f>_xlfn.XLOOKUP(tblRequirementMeasureXref[[#This Row],[msr_id]],tblMeasure[msr_id],tblMeasure[src_name])</f>
        <v>ASCOF</v>
      </c>
    </row>
    <row r="342" spans="1:12" x14ac:dyDescent="0.15">
      <c r="A342" s="1" t="str">
        <f>_xlfn.XLOOKUP(tblRequirementMeasureXref[[#This Row],[dm_id]],tblDataRequirement[dm_id],tblDataRequirement[domain_sub_requirement])</f>
        <v>Users:Demographics:Age</v>
      </c>
      <c r="B342" s="1" t="str">
        <f>_xlfn.XLOOKUP(tblRequirementMeasureXref[[#This Row],[dm_id]],tblDataRequirement[dm_id],tblDataRequirement[dm_phase])</f>
        <v>demand</v>
      </c>
      <c r="C342" s="1">
        <v>51</v>
      </c>
      <c r="D342" s="1">
        <v>92</v>
      </c>
      <c r="G342" s="1"/>
      <c r="H342" s="62" t="str">
        <f>_xlfn.XLOOKUP(tblRequirementMeasureXref[[#This Row],[msr_id]],tblMeasure[msr_id],tblMeasure[msr_table])</f>
        <v>3A</v>
      </c>
      <c r="I342" s="22" t="str">
        <f>_xlfn.XLOOKUP(tblRequirementMeasureXref[[#This Row],[msr_id]],tblMeasure[msr_id],tblMeasure[msr_name])</f>
        <v xml:space="preserve">Overall satisfaction of people who use services with their care and support </v>
      </c>
      <c r="J342" s="22" t="str">
        <f>_xlfn.XLOOKUP(tblRequirementMeasureXref[[#This Row],[msr_id]],tblMeasure[msr_id],tblMeasure[primary_dimensions])</f>
        <v>user satisfaction</v>
      </c>
      <c r="K342" s="22" t="str">
        <f>_xlfn.XLOOKUP(tblRequirementMeasureXref[[#This Row],[msr_id]],tblMeasure[msr_id],tblMeasure[msr_min_geo_resolution])</f>
        <v>LA</v>
      </c>
      <c r="L342" s="22" t="str">
        <f>_xlfn.XLOOKUP(tblRequirementMeasureXref[[#This Row],[msr_id]],tblMeasure[msr_id],tblMeasure[src_name])</f>
        <v>ASCOF</v>
      </c>
    </row>
    <row r="343" spans="1:12" x14ac:dyDescent="0.15">
      <c r="A343" s="1" t="str">
        <f>_xlfn.XLOOKUP(tblRequirementMeasureXref[[#This Row],[dm_id]],tblDataRequirement[dm_id],tblDataRequirement[domain_sub_requirement])</f>
        <v>Users:Demographics:Gender</v>
      </c>
      <c r="B343" s="1" t="str">
        <f>_xlfn.XLOOKUP(tblRequirementMeasureXref[[#This Row],[dm_id]],tblDataRequirement[dm_id],tblDataRequirement[dm_phase])</f>
        <v>demand</v>
      </c>
      <c r="C343" s="1">
        <v>62</v>
      </c>
      <c r="D343" s="1">
        <v>92</v>
      </c>
      <c r="G343" s="1"/>
      <c r="H343" s="62" t="str">
        <f>_xlfn.XLOOKUP(tblRequirementMeasureXref[[#This Row],[msr_id]],tblMeasure[msr_id],tblMeasure[msr_table])</f>
        <v>3A</v>
      </c>
      <c r="I343" s="22" t="str">
        <f>_xlfn.XLOOKUP(tblRequirementMeasureXref[[#This Row],[msr_id]],tblMeasure[msr_id],tblMeasure[msr_name])</f>
        <v xml:space="preserve">Overall satisfaction of people who use services with their care and support </v>
      </c>
      <c r="J343" s="22" t="str">
        <f>_xlfn.XLOOKUP(tblRequirementMeasureXref[[#This Row],[msr_id]],tblMeasure[msr_id],tblMeasure[primary_dimensions])</f>
        <v>user satisfaction</v>
      </c>
      <c r="K343" s="22" t="str">
        <f>_xlfn.XLOOKUP(tblRequirementMeasureXref[[#This Row],[msr_id]],tblMeasure[msr_id],tblMeasure[msr_min_geo_resolution])</f>
        <v>LA</v>
      </c>
      <c r="L343" s="22" t="str">
        <f>_xlfn.XLOOKUP(tblRequirementMeasureXref[[#This Row],[msr_id]],tblMeasure[msr_id],tblMeasure[src_name])</f>
        <v>ASCOF</v>
      </c>
    </row>
    <row r="344" spans="1:12" x14ac:dyDescent="0.15">
      <c r="A344" s="1" t="str">
        <f>_xlfn.XLOOKUP(tblRequirementMeasureXref[[#This Row],[dm_id]],tblDataRequirement[dm_id],tblDataRequirement[domain_sub_requirement])</f>
        <v>Service:Quality:User perception</v>
      </c>
      <c r="B344" s="1" t="str">
        <f>_xlfn.XLOOKUP(tblRequirementMeasureXref[[#This Row],[dm_id]],tblDataRequirement[dm_id],tblDataRequirement[dm_phase])</f>
        <v>outcome</v>
      </c>
      <c r="C344" s="1">
        <v>25</v>
      </c>
      <c r="D344" s="1">
        <v>92</v>
      </c>
      <c r="G344" s="1"/>
      <c r="H344" s="62" t="str">
        <f>_xlfn.XLOOKUP(tblRequirementMeasureXref[[#This Row],[msr_id]],tblMeasure[msr_id],tblMeasure[msr_table])</f>
        <v>3A</v>
      </c>
      <c r="I344" s="22" t="str">
        <f>_xlfn.XLOOKUP(tblRequirementMeasureXref[[#This Row],[msr_id]],tblMeasure[msr_id],tblMeasure[msr_name])</f>
        <v xml:space="preserve">Overall satisfaction of people who use services with their care and support </v>
      </c>
      <c r="J344" s="22" t="str">
        <f>_xlfn.XLOOKUP(tblRequirementMeasureXref[[#This Row],[msr_id]],tblMeasure[msr_id],tblMeasure[primary_dimensions])</f>
        <v>user satisfaction</v>
      </c>
      <c r="K344" s="22" t="str">
        <f>_xlfn.XLOOKUP(tblRequirementMeasureXref[[#This Row],[msr_id]],tblMeasure[msr_id],tblMeasure[msr_min_geo_resolution])</f>
        <v>LA</v>
      </c>
      <c r="L344" s="22" t="str">
        <f>_xlfn.XLOOKUP(tblRequirementMeasureXref[[#This Row],[msr_id]],tblMeasure[msr_id],tblMeasure[src_name])</f>
        <v>ASCOF</v>
      </c>
    </row>
    <row r="345" spans="1:12" x14ac:dyDescent="0.15">
      <c r="A345" s="1" t="str">
        <f>_xlfn.XLOOKUP(tblRequirementMeasureXref[[#This Row],[dm_id]],tblDataRequirement[dm_id],tblDataRequirement[domain_sub_requirement])</f>
        <v>Users:Experience:Experience</v>
      </c>
      <c r="B345" s="1" t="str">
        <f>_xlfn.XLOOKUP(tblRequirementMeasureXref[[#This Row],[dm_id]],tblDataRequirement[dm_id],tblDataRequirement[dm_phase])</f>
        <v>outcome</v>
      </c>
      <c r="C345" s="1">
        <v>52</v>
      </c>
      <c r="D345" s="1">
        <v>92</v>
      </c>
      <c r="G345" s="1"/>
      <c r="H345" s="62" t="str">
        <f>_xlfn.XLOOKUP(tblRequirementMeasureXref[[#This Row],[msr_id]],tblMeasure[msr_id],tblMeasure[msr_table])</f>
        <v>3A</v>
      </c>
      <c r="I345" s="22" t="str">
        <f>_xlfn.XLOOKUP(tblRequirementMeasureXref[[#This Row],[msr_id]],tblMeasure[msr_id],tblMeasure[msr_name])</f>
        <v xml:space="preserve">Overall satisfaction of people who use services with their care and support </v>
      </c>
      <c r="J345" s="22" t="str">
        <f>_xlfn.XLOOKUP(tblRequirementMeasureXref[[#This Row],[msr_id]],tblMeasure[msr_id],tblMeasure[primary_dimensions])</f>
        <v>user satisfaction</v>
      </c>
      <c r="K345" s="22" t="str">
        <f>_xlfn.XLOOKUP(tblRequirementMeasureXref[[#This Row],[msr_id]],tblMeasure[msr_id],tblMeasure[msr_min_geo_resolution])</f>
        <v>LA</v>
      </c>
      <c r="L345" s="22" t="str">
        <f>_xlfn.XLOOKUP(tblRequirementMeasureXref[[#This Row],[msr_id]],tblMeasure[msr_id],tblMeasure[src_name])</f>
        <v>ASCOF</v>
      </c>
    </row>
    <row r="346" spans="1:12" x14ac:dyDescent="0.15">
      <c r="A346" s="1" t="str">
        <f>_xlfn.XLOOKUP(tblRequirementMeasureXref[[#This Row],[dm_id]],tblDataRequirement[dm_id],tblDataRequirement[domain_sub_requirement])</f>
        <v>Unpaid Carers:Workforce:Workforce</v>
      </c>
      <c r="B346" s="1" t="str">
        <f>_xlfn.XLOOKUP(tblRequirementMeasureXref[[#This Row],[dm_id]],tblDataRequirement[dm_id],tblDataRequirement[dm_phase])</f>
        <v>supply</v>
      </c>
      <c r="C346" s="1">
        <v>19</v>
      </c>
      <c r="D346" s="1">
        <v>93</v>
      </c>
      <c r="G346" s="1"/>
      <c r="H346" s="62" t="str">
        <f>_xlfn.XLOOKUP(tblRequirementMeasureXref[[#This Row],[msr_id]],tblMeasure[msr_id],tblMeasure[msr_table])</f>
        <v>3B</v>
      </c>
      <c r="I346" s="22" t="str">
        <f>_xlfn.XLOOKUP(tblRequirementMeasureXref[[#This Row],[msr_id]],tblMeasure[msr_id],tblMeasure[msr_name])</f>
        <v xml:space="preserve">Overall satisfaction of carers with social services </v>
      </c>
      <c r="J346" s="22" t="str">
        <f>_xlfn.XLOOKUP(tblRequirementMeasureXref[[#This Row],[msr_id]],tblMeasure[msr_id],tblMeasure[primary_dimensions])</f>
        <v>carer satisfaction, carer gender, carer age</v>
      </c>
      <c r="K346" s="22" t="str">
        <f>_xlfn.XLOOKUP(tblRequirementMeasureXref[[#This Row],[msr_id]],tblMeasure[msr_id],tblMeasure[msr_min_geo_resolution])</f>
        <v>LA</v>
      </c>
      <c r="L346" s="22" t="str">
        <f>_xlfn.XLOOKUP(tblRequirementMeasureXref[[#This Row],[msr_id]],tblMeasure[msr_id],tblMeasure[src_name])</f>
        <v>ASCOF</v>
      </c>
    </row>
    <row r="347" spans="1:12" x14ac:dyDescent="0.15">
      <c r="A347" s="1" t="str">
        <f>_xlfn.XLOOKUP(tblRequirementMeasureXref[[#This Row],[dm_id]],tblDataRequirement[dm_id],tblDataRequirement[domain_sub_requirement])</f>
        <v>Service:Quality:Unpaid Carer perception</v>
      </c>
      <c r="B347" s="1" t="str">
        <f>_xlfn.XLOOKUP(tblRequirementMeasureXref[[#This Row],[dm_id]],tblDataRequirement[dm_id],tblDataRequirement[dm_phase])</f>
        <v>outcome</v>
      </c>
      <c r="C347" s="40">
        <v>23</v>
      </c>
      <c r="D347" s="1">
        <v>93</v>
      </c>
      <c r="G347" s="1"/>
      <c r="H347" s="62" t="str">
        <f>_xlfn.XLOOKUP(tblRequirementMeasureXref[[#This Row],[msr_id]],tblMeasure[msr_id],tblMeasure[msr_table])</f>
        <v>3B</v>
      </c>
      <c r="I347" s="22" t="str">
        <f>_xlfn.XLOOKUP(tblRequirementMeasureXref[[#This Row],[msr_id]],tblMeasure[msr_id],tblMeasure[msr_name])</f>
        <v xml:space="preserve">Overall satisfaction of carers with social services </v>
      </c>
      <c r="J347" s="22" t="str">
        <f>_xlfn.XLOOKUP(tblRequirementMeasureXref[[#This Row],[msr_id]],tblMeasure[msr_id],tblMeasure[primary_dimensions])</f>
        <v>carer satisfaction, carer gender, carer age</v>
      </c>
      <c r="K347" s="22" t="str">
        <f>_xlfn.XLOOKUP(tblRequirementMeasureXref[[#This Row],[msr_id]],tblMeasure[msr_id],tblMeasure[msr_min_geo_resolution])</f>
        <v>LA</v>
      </c>
      <c r="L347" s="22" t="str">
        <f>_xlfn.XLOOKUP(tblRequirementMeasureXref[[#This Row],[msr_id]],tblMeasure[msr_id],tblMeasure[src_name])</f>
        <v>ASCOF</v>
      </c>
    </row>
    <row r="348" spans="1:12" x14ac:dyDescent="0.15">
      <c r="A348" s="1" t="str">
        <f>_xlfn.XLOOKUP(tblRequirementMeasureXref[[#This Row],[dm_id]],tblDataRequirement[dm_id],tblDataRequirement[domain_sub_requirement])</f>
        <v>Unpaid Carers:Demographics:Age</v>
      </c>
      <c r="B348" s="1" t="str">
        <f>_xlfn.XLOOKUP(tblRequirementMeasureXref[[#This Row],[dm_id]],tblDataRequirement[dm_id],tblDataRequirement[dm_phase])</f>
        <v>supply</v>
      </c>
      <c r="C348" s="1">
        <v>81</v>
      </c>
      <c r="D348" s="1">
        <v>93</v>
      </c>
      <c r="G348" s="1"/>
      <c r="H348" s="62" t="str">
        <f>_xlfn.XLOOKUP(tblRequirementMeasureXref[[#This Row],[msr_id]],tblMeasure[msr_id],tblMeasure[msr_table])</f>
        <v>3B</v>
      </c>
      <c r="I348" s="22" t="str">
        <f>_xlfn.XLOOKUP(tblRequirementMeasureXref[[#This Row],[msr_id]],tblMeasure[msr_id],tblMeasure[msr_name])</f>
        <v xml:space="preserve">Overall satisfaction of carers with social services </v>
      </c>
      <c r="J348" s="22" t="str">
        <f>_xlfn.XLOOKUP(tblRequirementMeasureXref[[#This Row],[msr_id]],tblMeasure[msr_id],tblMeasure[primary_dimensions])</f>
        <v>carer satisfaction, carer gender, carer age</v>
      </c>
      <c r="K348" s="22" t="str">
        <f>_xlfn.XLOOKUP(tblRequirementMeasureXref[[#This Row],[msr_id]],tblMeasure[msr_id],tblMeasure[msr_min_geo_resolution])</f>
        <v>LA</v>
      </c>
      <c r="L348" s="22" t="str">
        <f>_xlfn.XLOOKUP(tblRequirementMeasureXref[[#This Row],[msr_id]],tblMeasure[msr_id],tblMeasure[src_name])</f>
        <v>ASCOF</v>
      </c>
    </row>
    <row r="349" spans="1:12" x14ac:dyDescent="0.15">
      <c r="A349" s="1" t="str">
        <f>_xlfn.XLOOKUP(tblRequirementMeasureXref[[#This Row],[dm_id]],tblDataRequirement[dm_id],tblDataRequirement[domain_sub_requirement])</f>
        <v>Unpaid Carers:Demographics:Gender</v>
      </c>
      <c r="B349" s="1" t="str">
        <f>_xlfn.XLOOKUP(tblRequirementMeasureXref[[#This Row],[dm_id]],tblDataRequirement[dm_id],tblDataRequirement[dm_phase])</f>
        <v>supply</v>
      </c>
      <c r="C349" s="1">
        <v>82</v>
      </c>
      <c r="D349" s="1">
        <v>93</v>
      </c>
      <c r="G349" s="1"/>
      <c r="H349" s="62" t="str">
        <f>_xlfn.XLOOKUP(tblRequirementMeasureXref[[#This Row],[msr_id]],tblMeasure[msr_id],tblMeasure[msr_table])</f>
        <v>3B</v>
      </c>
      <c r="I349" s="22" t="str">
        <f>_xlfn.XLOOKUP(tblRequirementMeasureXref[[#This Row],[msr_id]],tblMeasure[msr_id],tblMeasure[msr_name])</f>
        <v xml:space="preserve">Overall satisfaction of carers with social services </v>
      </c>
      <c r="J349" s="22" t="str">
        <f>_xlfn.XLOOKUP(tblRequirementMeasureXref[[#This Row],[msr_id]],tblMeasure[msr_id],tblMeasure[primary_dimensions])</f>
        <v>carer satisfaction, carer gender, carer age</v>
      </c>
      <c r="K349" s="22" t="str">
        <f>_xlfn.XLOOKUP(tblRequirementMeasureXref[[#This Row],[msr_id]],tblMeasure[msr_id],tblMeasure[msr_min_geo_resolution])</f>
        <v>LA</v>
      </c>
      <c r="L349" s="22" t="str">
        <f>_xlfn.XLOOKUP(tblRequirementMeasureXref[[#This Row],[msr_id]],tblMeasure[msr_id],tblMeasure[src_name])</f>
        <v>ASCOF</v>
      </c>
    </row>
    <row r="350" spans="1:12" x14ac:dyDescent="0.15">
      <c r="A350" s="1" t="str">
        <f>_xlfn.XLOOKUP(tblRequirementMeasureXref[[#This Row],[dm_id]],tblDataRequirement[dm_id],tblDataRequirement[domain_sub_requirement])</f>
        <v>Unpaid Carers:Experience:Experience</v>
      </c>
      <c r="B350" s="1" t="str">
        <f>_xlfn.XLOOKUP(tblRequirementMeasureXref[[#This Row],[dm_id]],tblDataRequirement[dm_id],tblDataRequirement[dm_phase])</f>
        <v>outcome</v>
      </c>
      <c r="C350" s="40">
        <v>85</v>
      </c>
      <c r="D350" s="1">
        <v>93</v>
      </c>
      <c r="G350" s="1"/>
      <c r="H350" s="62" t="str">
        <f>_xlfn.XLOOKUP(tblRequirementMeasureXref[[#This Row],[msr_id]],tblMeasure[msr_id],tblMeasure[msr_table])</f>
        <v>3B</v>
      </c>
      <c r="I350" s="22" t="str">
        <f>_xlfn.XLOOKUP(tblRequirementMeasureXref[[#This Row],[msr_id]],tblMeasure[msr_id],tblMeasure[msr_name])</f>
        <v xml:space="preserve">Overall satisfaction of carers with social services </v>
      </c>
      <c r="J350" s="22" t="str">
        <f>_xlfn.XLOOKUP(tblRequirementMeasureXref[[#This Row],[msr_id]],tblMeasure[msr_id],tblMeasure[primary_dimensions])</f>
        <v>carer satisfaction, carer gender, carer age</v>
      </c>
      <c r="K350" s="22" t="str">
        <f>_xlfn.XLOOKUP(tblRequirementMeasureXref[[#This Row],[msr_id]],tblMeasure[msr_id],tblMeasure[msr_min_geo_resolution])</f>
        <v>LA</v>
      </c>
      <c r="L350" s="22" t="str">
        <f>_xlfn.XLOOKUP(tblRequirementMeasureXref[[#This Row],[msr_id]],tblMeasure[msr_id],tblMeasure[src_name])</f>
        <v>ASCOF</v>
      </c>
    </row>
    <row r="351" spans="1:12" x14ac:dyDescent="0.15">
      <c r="A351" s="1" t="str">
        <f>_xlfn.XLOOKUP(tblRequirementMeasureXref[[#This Row],[dm_id]],tblDataRequirement[dm_id],tblDataRequirement[domain_sub_requirement])</f>
        <v>Unpaid Carers:Workforce:Workforce</v>
      </c>
      <c r="B351" s="1" t="str">
        <f>_xlfn.XLOOKUP(tblRequirementMeasureXref[[#This Row],[dm_id]],tblDataRequirement[dm_id],tblDataRequirement[dm_phase])</f>
        <v>supply</v>
      </c>
      <c r="C351" s="1">
        <v>19</v>
      </c>
      <c r="D351" s="1">
        <v>94</v>
      </c>
      <c r="G351" s="1"/>
      <c r="H351" s="62" t="str">
        <f>_xlfn.XLOOKUP(tblRequirementMeasureXref[[#This Row],[msr_id]],tblMeasure[msr_id],tblMeasure[msr_table])</f>
        <v>3C</v>
      </c>
      <c r="I351" s="22" t="str">
        <f>_xlfn.XLOOKUP(tblRequirementMeasureXref[[#This Row],[msr_id]],tblMeasure[msr_id],tblMeasure[msr_name])</f>
        <v xml:space="preserve">The proportion of carers who report that they have been included or consulted in discussion about the person they care for </v>
      </c>
      <c r="J351" s="22" t="str">
        <f>_xlfn.XLOOKUP(tblRequirementMeasureXref[[#This Row],[msr_id]],tblMeasure[msr_id],tblMeasure[primary_dimensions])</f>
        <v>carer inclusion, carer gender, carer age</v>
      </c>
      <c r="K351" s="22" t="str">
        <f>_xlfn.XLOOKUP(tblRequirementMeasureXref[[#This Row],[msr_id]],tblMeasure[msr_id],tblMeasure[msr_min_geo_resolution])</f>
        <v>LA</v>
      </c>
      <c r="L351" s="22" t="str">
        <f>_xlfn.XLOOKUP(tblRequirementMeasureXref[[#This Row],[msr_id]],tblMeasure[msr_id],tblMeasure[src_name])</f>
        <v>ASCOF</v>
      </c>
    </row>
    <row r="352" spans="1:12" x14ac:dyDescent="0.15">
      <c r="A352" s="1" t="str">
        <f>_xlfn.XLOOKUP(tblRequirementMeasureXref[[#This Row],[dm_id]],tblDataRequirement[dm_id],tblDataRequirement[domain_sub_requirement])</f>
        <v>Service:Quality:Unpaid Carer perception</v>
      </c>
      <c r="B352" s="1" t="str">
        <f>_xlfn.XLOOKUP(tblRequirementMeasureXref[[#This Row],[dm_id]],tblDataRequirement[dm_id],tblDataRequirement[dm_phase])</f>
        <v>outcome</v>
      </c>
      <c r="C352" s="1">
        <v>23</v>
      </c>
      <c r="D352" s="1">
        <v>94</v>
      </c>
      <c r="G352" s="1"/>
      <c r="H352" s="62" t="str">
        <f>_xlfn.XLOOKUP(tblRequirementMeasureXref[[#This Row],[msr_id]],tblMeasure[msr_id],tblMeasure[msr_table])</f>
        <v>3C</v>
      </c>
      <c r="I352" s="22" t="str">
        <f>_xlfn.XLOOKUP(tblRequirementMeasureXref[[#This Row],[msr_id]],tblMeasure[msr_id],tblMeasure[msr_name])</f>
        <v xml:space="preserve">The proportion of carers who report that they have been included or consulted in discussion about the person they care for </v>
      </c>
      <c r="J352" s="22" t="str">
        <f>_xlfn.XLOOKUP(tblRequirementMeasureXref[[#This Row],[msr_id]],tblMeasure[msr_id],tblMeasure[primary_dimensions])</f>
        <v>carer inclusion, carer gender, carer age</v>
      </c>
      <c r="K352" s="22" t="str">
        <f>_xlfn.XLOOKUP(tblRequirementMeasureXref[[#This Row],[msr_id]],tblMeasure[msr_id],tblMeasure[msr_min_geo_resolution])</f>
        <v>LA</v>
      </c>
      <c r="L352" s="22" t="str">
        <f>_xlfn.XLOOKUP(tblRequirementMeasureXref[[#This Row],[msr_id]],tblMeasure[msr_id],tblMeasure[src_name])</f>
        <v>ASCOF</v>
      </c>
    </row>
    <row r="353" spans="1:12" x14ac:dyDescent="0.15">
      <c r="A353" s="1" t="str">
        <f>_xlfn.XLOOKUP(tblRequirementMeasureXref[[#This Row],[dm_id]],tblDataRequirement[dm_id],tblDataRequirement[domain_sub_requirement])</f>
        <v>Unpaid Carers:Demographics:Age</v>
      </c>
      <c r="B353" s="1" t="str">
        <f>_xlfn.XLOOKUP(tblRequirementMeasureXref[[#This Row],[dm_id]],tblDataRequirement[dm_id],tblDataRequirement[dm_phase])</f>
        <v>supply</v>
      </c>
      <c r="C353" s="1">
        <v>81</v>
      </c>
      <c r="D353" s="1">
        <v>94</v>
      </c>
      <c r="G353" s="1"/>
      <c r="H353" s="62" t="str">
        <f>_xlfn.XLOOKUP(tblRequirementMeasureXref[[#This Row],[msr_id]],tblMeasure[msr_id],tblMeasure[msr_table])</f>
        <v>3C</v>
      </c>
      <c r="I353" s="22" t="str">
        <f>_xlfn.XLOOKUP(tblRequirementMeasureXref[[#This Row],[msr_id]],tblMeasure[msr_id],tblMeasure[msr_name])</f>
        <v xml:space="preserve">The proportion of carers who report that they have been included or consulted in discussion about the person they care for </v>
      </c>
      <c r="J353" s="22" t="str">
        <f>_xlfn.XLOOKUP(tblRequirementMeasureXref[[#This Row],[msr_id]],tblMeasure[msr_id],tblMeasure[primary_dimensions])</f>
        <v>carer inclusion, carer gender, carer age</v>
      </c>
      <c r="K353" s="22" t="str">
        <f>_xlfn.XLOOKUP(tblRequirementMeasureXref[[#This Row],[msr_id]],tblMeasure[msr_id],tblMeasure[msr_min_geo_resolution])</f>
        <v>LA</v>
      </c>
      <c r="L353" s="22" t="str">
        <f>_xlfn.XLOOKUP(tblRequirementMeasureXref[[#This Row],[msr_id]],tblMeasure[msr_id],tblMeasure[src_name])</f>
        <v>ASCOF</v>
      </c>
    </row>
    <row r="354" spans="1:12" x14ac:dyDescent="0.15">
      <c r="A354" s="1" t="str">
        <f>_xlfn.XLOOKUP(tblRequirementMeasureXref[[#This Row],[dm_id]],tblDataRequirement[dm_id],tblDataRequirement[domain_sub_requirement])</f>
        <v>Unpaid Carers:Demographics:Gender</v>
      </c>
      <c r="B354" s="1" t="str">
        <f>_xlfn.XLOOKUP(tblRequirementMeasureXref[[#This Row],[dm_id]],tblDataRequirement[dm_id],tblDataRequirement[dm_phase])</f>
        <v>supply</v>
      </c>
      <c r="C354" s="1">
        <v>82</v>
      </c>
      <c r="D354" s="1">
        <v>94</v>
      </c>
      <c r="G354" s="1"/>
      <c r="H354" s="62" t="str">
        <f>_xlfn.XLOOKUP(tblRequirementMeasureXref[[#This Row],[msr_id]],tblMeasure[msr_id],tblMeasure[msr_table])</f>
        <v>3C</v>
      </c>
      <c r="I354" s="22" t="str">
        <f>_xlfn.XLOOKUP(tblRequirementMeasureXref[[#This Row],[msr_id]],tblMeasure[msr_id],tblMeasure[msr_name])</f>
        <v xml:space="preserve">The proportion of carers who report that they have been included or consulted in discussion about the person they care for </v>
      </c>
      <c r="J354" s="22" t="str">
        <f>_xlfn.XLOOKUP(tblRequirementMeasureXref[[#This Row],[msr_id]],tblMeasure[msr_id],tblMeasure[primary_dimensions])</f>
        <v>carer inclusion, carer gender, carer age</v>
      </c>
      <c r="K354" s="22" t="str">
        <f>_xlfn.XLOOKUP(tblRequirementMeasureXref[[#This Row],[msr_id]],tblMeasure[msr_id],tblMeasure[msr_min_geo_resolution])</f>
        <v>LA</v>
      </c>
      <c r="L354" s="22" t="str">
        <f>_xlfn.XLOOKUP(tblRequirementMeasureXref[[#This Row],[msr_id]],tblMeasure[msr_id],tblMeasure[src_name])</f>
        <v>ASCOF</v>
      </c>
    </row>
    <row r="355" spans="1:12" x14ac:dyDescent="0.15">
      <c r="A355" s="1" t="str">
        <f>_xlfn.XLOOKUP(tblRequirementMeasureXref[[#This Row],[dm_id]],tblDataRequirement[dm_id],tblDataRequirement[domain_sub_requirement])</f>
        <v>Users:Demographics:Age</v>
      </c>
      <c r="B355" s="1" t="str">
        <f>_xlfn.XLOOKUP(tblRequirementMeasureXref[[#This Row],[dm_id]],tblDataRequirement[dm_id],tblDataRequirement[dm_phase])</f>
        <v>demand</v>
      </c>
      <c r="C355" s="1">
        <v>51</v>
      </c>
      <c r="D355" s="1">
        <v>95</v>
      </c>
      <c r="G355" s="1"/>
      <c r="H355" s="62" t="str">
        <f>_xlfn.XLOOKUP(tblRequirementMeasureXref[[#This Row],[msr_id]],tblMeasure[msr_id],tblMeasure[msr_table])</f>
        <v>3D(1)</v>
      </c>
      <c r="I355" s="22" t="str">
        <f>_xlfn.XLOOKUP(tblRequirementMeasureXref[[#This Row],[msr_id]],tblMeasure[msr_id],tblMeasure[msr_name])</f>
        <v>The proportion of people who use services who find it easy to find information about support</v>
      </c>
      <c r="J355" s="22" t="str">
        <f>_xlfn.XLOOKUP(tblRequirementMeasureXref[[#This Row],[msr_id]],tblMeasure[msr_id],tblMeasure[primary_dimensions])</f>
        <v>information for users</v>
      </c>
      <c r="K355" s="22" t="str">
        <f>_xlfn.XLOOKUP(tblRequirementMeasureXref[[#This Row],[msr_id]],tblMeasure[msr_id],tblMeasure[msr_min_geo_resolution])</f>
        <v>LA</v>
      </c>
      <c r="L355" s="22" t="str">
        <f>_xlfn.XLOOKUP(tblRequirementMeasureXref[[#This Row],[msr_id]],tblMeasure[msr_id],tblMeasure[src_name])</f>
        <v>ASCOF</v>
      </c>
    </row>
    <row r="356" spans="1:12" x14ac:dyDescent="0.15">
      <c r="A356" s="1" t="str">
        <f>_xlfn.XLOOKUP(tblRequirementMeasureXref[[#This Row],[dm_id]],tblDataRequirement[dm_id],tblDataRequirement[domain_sub_requirement])</f>
        <v>Users:Demographics:Gender</v>
      </c>
      <c r="B356" s="1" t="str">
        <f>_xlfn.XLOOKUP(tblRequirementMeasureXref[[#This Row],[dm_id]],tblDataRequirement[dm_id],tblDataRequirement[dm_phase])</f>
        <v>demand</v>
      </c>
      <c r="C356" s="1">
        <v>62</v>
      </c>
      <c r="D356" s="1">
        <v>95</v>
      </c>
      <c r="G356" s="1"/>
      <c r="H356" s="62" t="str">
        <f>_xlfn.XLOOKUP(tblRequirementMeasureXref[[#This Row],[msr_id]],tblMeasure[msr_id],tblMeasure[msr_table])</f>
        <v>3D(1)</v>
      </c>
      <c r="I356" s="22" t="str">
        <f>_xlfn.XLOOKUP(tblRequirementMeasureXref[[#This Row],[msr_id]],tblMeasure[msr_id],tblMeasure[msr_name])</f>
        <v>The proportion of people who use services who find it easy to find information about support</v>
      </c>
      <c r="J356" s="22" t="str">
        <f>_xlfn.XLOOKUP(tblRequirementMeasureXref[[#This Row],[msr_id]],tblMeasure[msr_id],tblMeasure[primary_dimensions])</f>
        <v>information for users</v>
      </c>
      <c r="K356" s="22" t="str">
        <f>_xlfn.XLOOKUP(tblRequirementMeasureXref[[#This Row],[msr_id]],tblMeasure[msr_id],tblMeasure[msr_min_geo_resolution])</f>
        <v>LA</v>
      </c>
      <c r="L356" s="22" t="str">
        <f>_xlfn.XLOOKUP(tblRequirementMeasureXref[[#This Row],[msr_id]],tblMeasure[msr_id],tblMeasure[src_name])</f>
        <v>ASCOF</v>
      </c>
    </row>
    <row r="357" spans="1:12" x14ac:dyDescent="0.15">
      <c r="A357" s="1" t="str">
        <f>_xlfn.XLOOKUP(tblRequirementMeasureXref[[#This Row],[dm_id]],tblDataRequirement[dm_id],tblDataRequirement[domain_sub_requirement])</f>
        <v>Service:Quality:User perception</v>
      </c>
      <c r="B357" s="1" t="str">
        <f>_xlfn.XLOOKUP(tblRequirementMeasureXref[[#This Row],[dm_id]],tblDataRequirement[dm_id],tblDataRequirement[dm_phase])</f>
        <v>outcome</v>
      </c>
      <c r="C357" s="1">
        <v>25</v>
      </c>
      <c r="D357" s="1">
        <v>95</v>
      </c>
      <c r="G357" s="1"/>
      <c r="H357" s="62" t="str">
        <f>_xlfn.XLOOKUP(tblRequirementMeasureXref[[#This Row],[msr_id]],tblMeasure[msr_id],tblMeasure[msr_table])</f>
        <v>3D(1)</v>
      </c>
      <c r="I357" s="22" t="str">
        <f>_xlfn.XLOOKUP(tblRequirementMeasureXref[[#This Row],[msr_id]],tblMeasure[msr_id],tblMeasure[msr_name])</f>
        <v>The proportion of people who use services who find it easy to find information about support</v>
      </c>
      <c r="J357" s="22" t="str">
        <f>_xlfn.XLOOKUP(tblRequirementMeasureXref[[#This Row],[msr_id]],tblMeasure[msr_id],tblMeasure[primary_dimensions])</f>
        <v>information for users</v>
      </c>
      <c r="K357" s="22" t="str">
        <f>_xlfn.XLOOKUP(tblRequirementMeasureXref[[#This Row],[msr_id]],tblMeasure[msr_id],tblMeasure[msr_min_geo_resolution])</f>
        <v>LA</v>
      </c>
      <c r="L357" s="22" t="str">
        <f>_xlfn.XLOOKUP(tblRequirementMeasureXref[[#This Row],[msr_id]],tblMeasure[msr_id],tblMeasure[src_name])</f>
        <v>ASCOF</v>
      </c>
    </row>
    <row r="358" spans="1:12" x14ac:dyDescent="0.15">
      <c r="A358" s="1" t="str">
        <f>_xlfn.XLOOKUP(tblRequirementMeasureXref[[#This Row],[dm_id]],tblDataRequirement[dm_id],tblDataRequirement[domain_sub_requirement])</f>
        <v>Unpaid Carers:Workforce:Workforce</v>
      </c>
      <c r="B358" s="1" t="str">
        <f>_xlfn.XLOOKUP(tblRequirementMeasureXref[[#This Row],[dm_id]],tblDataRequirement[dm_id],tblDataRequirement[dm_phase])</f>
        <v>supply</v>
      </c>
      <c r="C358" s="1">
        <v>19</v>
      </c>
      <c r="D358" s="1">
        <v>96</v>
      </c>
      <c r="G358" s="1"/>
      <c r="H358" s="62" t="str">
        <f>_xlfn.XLOOKUP(tblRequirementMeasureXref[[#This Row],[msr_id]],tblMeasure[msr_id],tblMeasure[msr_table])</f>
        <v>3D(2)</v>
      </c>
      <c r="I358" s="22" t="str">
        <f>_xlfn.XLOOKUP(tblRequirementMeasureXref[[#This Row],[msr_id]],tblMeasure[msr_id],tblMeasure[msr_name])</f>
        <v>The proportion of carers who find it easy to find information about support</v>
      </c>
      <c r="J358" s="22" t="str">
        <f>_xlfn.XLOOKUP(tblRequirementMeasureXref[[#This Row],[msr_id]],tblMeasure[msr_id],tblMeasure[primary_dimensions])</f>
        <v>information for carers, carer gender, carer age</v>
      </c>
      <c r="K358" s="22" t="str">
        <f>_xlfn.XLOOKUP(tblRequirementMeasureXref[[#This Row],[msr_id]],tblMeasure[msr_id],tblMeasure[msr_min_geo_resolution])</f>
        <v>LA</v>
      </c>
      <c r="L358" s="22" t="str">
        <f>_xlfn.XLOOKUP(tblRequirementMeasureXref[[#This Row],[msr_id]],tblMeasure[msr_id],tblMeasure[src_name])</f>
        <v>ASCOF</v>
      </c>
    </row>
    <row r="359" spans="1:12" x14ac:dyDescent="0.15">
      <c r="A359" s="1" t="str">
        <f>_xlfn.XLOOKUP(tblRequirementMeasureXref[[#This Row],[dm_id]],tblDataRequirement[dm_id],tblDataRequirement[domain_sub_requirement])</f>
        <v>Service:Quality:Unpaid Carer perception</v>
      </c>
      <c r="B359" s="1" t="str">
        <f>_xlfn.XLOOKUP(tblRequirementMeasureXref[[#This Row],[dm_id]],tblDataRequirement[dm_id],tblDataRequirement[dm_phase])</f>
        <v>outcome</v>
      </c>
      <c r="C359" s="1">
        <v>23</v>
      </c>
      <c r="D359" s="1">
        <v>96</v>
      </c>
      <c r="G359" s="1"/>
      <c r="H359" s="62" t="str">
        <f>_xlfn.XLOOKUP(tblRequirementMeasureXref[[#This Row],[msr_id]],tblMeasure[msr_id],tblMeasure[msr_table])</f>
        <v>3D(2)</v>
      </c>
      <c r="I359" s="22" t="str">
        <f>_xlfn.XLOOKUP(tblRequirementMeasureXref[[#This Row],[msr_id]],tblMeasure[msr_id],tblMeasure[msr_name])</f>
        <v>The proportion of carers who find it easy to find information about support</v>
      </c>
      <c r="J359" s="22" t="str">
        <f>_xlfn.XLOOKUP(tblRequirementMeasureXref[[#This Row],[msr_id]],tblMeasure[msr_id],tblMeasure[primary_dimensions])</f>
        <v>information for carers, carer gender, carer age</v>
      </c>
      <c r="K359" s="22" t="str">
        <f>_xlfn.XLOOKUP(tblRequirementMeasureXref[[#This Row],[msr_id]],tblMeasure[msr_id],tblMeasure[msr_min_geo_resolution])</f>
        <v>LA</v>
      </c>
      <c r="L359" s="22" t="str">
        <f>_xlfn.XLOOKUP(tblRequirementMeasureXref[[#This Row],[msr_id]],tblMeasure[msr_id],tblMeasure[src_name])</f>
        <v>ASCOF</v>
      </c>
    </row>
    <row r="360" spans="1:12" x14ac:dyDescent="0.15">
      <c r="A360" s="1" t="str">
        <f>_xlfn.XLOOKUP(tblRequirementMeasureXref[[#This Row],[dm_id]],tblDataRequirement[dm_id],tblDataRequirement[domain_sub_requirement])</f>
        <v>Unpaid Carers:Demographics:Age</v>
      </c>
      <c r="B360" s="1" t="str">
        <f>_xlfn.XLOOKUP(tblRequirementMeasureXref[[#This Row],[dm_id]],tblDataRequirement[dm_id],tblDataRequirement[dm_phase])</f>
        <v>supply</v>
      </c>
      <c r="C360" s="1">
        <v>81</v>
      </c>
      <c r="D360" s="1">
        <v>96</v>
      </c>
      <c r="G360" s="1"/>
      <c r="H360" s="62" t="str">
        <f>_xlfn.XLOOKUP(tblRequirementMeasureXref[[#This Row],[msr_id]],tblMeasure[msr_id],tblMeasure[msr_table])</f>
        <v>3D(2)</v>
      </c>
      <c r="I360" s="22" t="str">
        <f>_xlfn.XLOOKUP(tblRequirementMeasureXref[[#This Row],[msr_id]],tblMeasure[msr_id],tblMeasure[msr_name])</f>
        <v>The proportion of carers who find it easy to find information about support</v>
      </c>
      <c r="J360" s="22" t="str">
        <f>_xlfn.XLOOKUP(tblRequirementMeasureXref[[#This Row],[msr_id]],tblMeasure[msr_id],tblMeasure[primary_dimensions])</f>
        <v>information for carers, carer gender, carer age</v>
      </c>
      <c r="K360" s="22" t="str">
        <f>_xlfn.XLOOKUP(tblRequirementMeasureXref[[#This Row],[msr_id]],tblMeasure[msr_id],tblMeasure[msr_min_geo_resolution])</f>
        <v>LA</v>
      </c>
      <c r="L360" s="22" t="str">
        <f>_xlfn.XLOOKUP(tblRequirementMeasureXref[[#This Row],[msr_id]],tblMeasure[msr_id],tblMeasure[src_name])</f>
        <v>ASCOF</v>
      </c>
    </row>
    <row r="361" spans="1:12" x14ac:dyDescent="0.15">
      <c r="A361" s="1" t="str">
        <f>_xlfn.XLOOKUP(tblRequirementMeasureXref[[#This Row],[dm_id]],tblDataRequirement[dm_id],tblDataRequirement[domain_sub_requirement])</f>
        <v>Unpaid Carers:Demographics:Gender</v>
      </c>
      <c r="B361" s="1" t="str">
        <f>_xlfn.XLOOKUP(tblRequirementMeasureXref[[#This Row],[dm_id]],tblDataRequirement[dm_id],tblDataRequirement[dm_phase])</f>
        <v>supply</v>
      </c>
      <c r="C361" s="1">
        <v>82</v>
      </c>
      <c r="D361" s="1">
        <v>96</v>
      </c>
      <c r="G361" s="1"/>
      <c r="H361" s="62" t="str">
        <f>_xlfn.XLOOKUP(tblRequirementMeasureXref[[#This Row],[msr_id]],tblMeasure[msr_id],tblMeasure[msr_table])</f>
        <v>3D(2)</v>
      </c>
      <c r="I361" s="22" t="str">
        <f>_xlfn.XLOOKUP(tblRequirementMeasureXref[[#This Row],[msr_id]],tblMeasure[msr_id],tblMeasure[msr_name])</f>
        <v>The proportion of carers who find it easy to find information about support</v>
      </c>
      <c r="J361" s="22" t="str">
        <f>_xlfn.XLOOKUP(tblRequirementMeasureXref[[#This Row],[msr_id]],tblMeasure[msr_id],tblMeasure[primary_dimensions])</f>
        <v>information for carers, carer gender, carer age</v>
      </c>
      <c r="K361" s="22" t="str">
        <f>_xlfn.XLOOKUP(tblRequirementMeasureXref[[#This Row],[msr_id]],tblMeasure[msr_id],tblMeasure[msr_min_geo_resolution])</f>
        <v>LA</v>
      </c>
      <c r="L361" s="22" t="str">
        <f>_xlfn.XLOOKUP(tblRequirementMeasureXref[[#This Row],[msr_id]],tblMeasure[msr_id],tblMeasure[src_name])</f>
        <v>ASCOF</v>
      </c>
    </row>
    <row r="362" spans="1:12" x14ac:dyDescent="0.15">
      <c r="A362" s="1" t="str">
        <f>_xlfn.XLOOKUP(tblRequirementMeasureXref[[#This Row],[dm_id]],tblDataRequirement[dm_id],tblDataRequirement[domain_sub_requirement])</f>
        <v>Users:Demographics:Age</v>
      </c>
      <c r="B362" s="1" t="str">
        <f>_xlfn.XLOOKUP(tblRequirementMeasureXref[[#This Row],[dm_id]],tblDataRequirement[dm_id],tblDataRequirement[dm_phase])</f>
        <v>demand</v>
      </c>
      <c r="C362" s="1">
        <v>51</v>
      </c>
      <c r="D362" s="1">
        <v>97</v>
      </c>
      <c r="G362" s="1"/>
      <c r="H362" s="62" t="str">
        <f>_xlfn.XLOOKUP(tblRequirementMeasureXref[[#This Row],[msr_id]],tblMeasure[msr_id],tblMeasure[msr_table])</f>
        <v>4A</v>
      </c>
      <c r="I362" s="22" t="str">
        <f>_xlfn.XLOOKUP(tblRequirementMeasureXref[[#This Row],[msr_id]],tblMeasure[msr_id],tblMeasure[msr_name])</f>
        <v xml:space="preserve">Proportion of people who use services who feel safe </v>
      </c>
      <c r="J362" s="22" t="str">
        <f>_xlfn.XLOOKUP(tblRequirementMeasureXref[[#This Row],[msr_id]],tblMeasure[msr_id],tblMeasure[primary_dimensions])</f>
        <v>users feeling safe</v>
      </c>
      <c r="K362" s="22" t="str">
        <f>_xlfn.XLOOKUP(tblRequirementMeasureXref[[#This Row],[msr_id]],tblMeasure[msr_id],tblMeasure[msr_min_geo_resolution])</f>
        <v>LA</v>
      </c>
      <c r="L362" s="22" t="str">
        <f>_xlfn.XLOOKUP(tblRequirementMeasureXref[[#This Row],[msr_id]],tblMeasure[msr_id],tblMeasure[src_name])</f>
        <v>ASCOF</v>
      </c>
    </row>
    <row r="363" spans="1:12" x14ac:dyDescent="0.15">
      <c r="A363" s="1" t="str">
        <f>_xlfn.XLOOKUP(tblRequirementMeasureXref[[#This Row],[dm_id]],tblDataRequirement[dm_id],tblDataRequirement[domain_sub_requirement])</f>
        <v>Users:Demographics:Gender</v>
      </c>
      <c r="B363" s="1" t="str">
        <f>_xlfn.XLOOKUP(tblRequirementMeasureXref[[#This Row],[dm_id]],tblDataRequirement[dm_id],tblDataRequirement[dm_phase])</f>
        <v>demand</v>
      </c>
      <c r="C363" s="1">
        <v>62</v>
      </c>
      <c r="D363" s="1">
        <v>97</v>
      </c>
      <c r="G363" s="1"/>
      <c r="H363" s="62" t="str">
        <f>_xlfn.XLOOKUP(tblRequirementMeasureXref[[#This Row],[msr_id]],tblMeasure[msr_id],tblMeasure[msr_table])</f>
        <v>4A</v>
      </c>
      <c r="I363" s="22" t="str">
        <f>_xlfn.XLOOKUP(tblRequirementMeasureXref[[#This Row],[msr_id]],tblMeasure[msr_id],tblMeasure[msr_name])</f>
        <v xml:space="preserve">Proportion of people who use services who feel safe </v>
      </c>
      <c r="J363" s="22" t="str">
        <f>_xlfn.XLOOKUP(tblRequirementMeasureXref[[#This Row],[msr_id]],tblMeasure[msr_id],tblMeasure[primary_dimensions])</f>
        <v>users feeling safe</v>
      </c>
      <c r="K363" s="22" t="str">
        <f>_xlfn.XLOOKUP(tblRequirementMeasureXref[[#This Row],[msr_id]],tblMeasure[msr_id],tblMeasure[msr_min_geo_resolution])</f>
        <v>LA</v>
      </c>
      <c r="L363" s="22" t="str">
        <f>_xlfn.XLOOKUP(tblRequirementMeasureXref[[#This Row],[msr_id]],tblMeasure[msr_id],tblMeasure[src_name])</f>
        <v>ASCOF</v>
      </c>
    </row>
    <row r="364" spans="1:12" x14ac:dyDescent="0.15">
      <c r="A364" s="1" t="str">
        <f>_xlfn.XLOOKUP(tblRequirementMeasureXref[[#This Row],[dm_id]],tblDataRequirement[dm_id],tblDataRequirement[domain_sub_requirement])</f>
        <v>Service:Quality:User perception</v>
      </c>
      <c r="B364" s="1" t="str">
        <f>_xlfn.XLOOKUP(tblRequirementMeasureXref[[#This Row],[dm_id]],tblDataRequirement[dm_id],tblDataRequirement[dm_phase])</f>
        <v>outcome</v>
      </c>
      <c r="C364" s="1">
        <v>25</v>
      </c>
      <c r="D364" s="1">
        <v>97</v>
      </c>
      <c r="G364" s="1"/>
      <c r="H364" s="62" t="str">
        <f>_xlfn.XLOOKUP(tblRequirementMeasureXref[[#This Row],[msr_id]],tblMeasure[msr_id],tblMeasure[msr_table])</f>
        <v>4A</v>
      </c>
      <c r="I364" s="22" t="str">
        <f>_xlfn.XLOOKUP(tblRequirementMeasureXref[[#This Row],[msr_id]],tblMeasure[msr_id],tblMeasure[msr_name])</f>
        <v xml:space="preserve">Proportion of people who use services who feel safe </v>
      </c>
      <c r="J364" s="22" t="str">
        <f>_xlfn.XLOOKUP(tblRequirementMeasureXref[[#This Row],[msr_id]],tblMeasure[msr_id],tblMeasure[primary_dimensions])</f>
        <v>users feeling safe</v>
      </c>
      <c r="K364" s="22" t="str">
        <f>_xlfn.XLOOKUP(tblRequirementMeasureXref[[#This Row],[msr_id]],tblMeasure[msr_id],tblMeasure[msr_min_geo_resolution])</f>
        <v>LA</v>
      </c>
      <c r="L364" s="22" t="str">
        <f>_xlfn.XLOOKUP(tblRequirementMeasureXref[[#This Row],[msr_id]],tblMeasure[msr_id],tblMeasure[src_name])</f>
        <v>ASCOF</v>
      </c>
    </row>
    <row r="365" spans="1:12" x14ac:dyDescent="0.15">
      <c r="A365" s="1" t="str">
        <f>_xlfn.XLOOKUP(tblRequirementMeasureXref[[#This Row],[dm_id]],tblDataRequirement[dm_id],tblDataRequirement[domain_sub_requirement])</f>
        <v>Users:Demographics:Age</v>
      </c>
      <c r="B365" s="1" t="str">
        <f>_xlfn.XLOOKUP(tblRequirementMeasureXref[[#This Row],[dm_id]],tblDataRequirement[dm_id],tblDataRequirement[dm_phase])</f>
        <v>demand</v>
      </c>
      <c r="C365" s="1">
        <v>51</v>
      </c>
      <c r="D365" s="1">
        <v>98</v>
      </c>
      <c r="G365" s="1"/>
      <c r="H365" s="62" t="str">
        <f>_xlfn.XLOOKUP(tblRequirementMeasureXref[[#This Row],[msr_id]],tblMeasure[msr_id],tblMeasure[msr_table])</f>
        <v>4B</v>
      </c>
      <c r="I365" s="22" t="str">
        <f>_xlfn.XLOOKUP(tblRequirementMeasureXref[[#This Row],[msr_id]],tblMeasure[msr_id],tblMeasure[msr_name])</f>
        <v xml:space="preserve">Proportion of people who use services who say that those services have made them feel safe and secure </v>
      </c>
      <c r="J365" s="22" t="str">
        <f>_xlfn.XLOOKUP(tblRequirementMeasureXref[[#This Row],[msr_id]],tblMeasure[msr_id],tblMeasure[primary_dimensions])</f>
        <v>users feeling safe due to services</v>
      </c>
      <c r="K365" s="22" t="str">
        <f>_xlfn.XLOOKUP(tblRequirementMeasureXref[[#This Row],[msr_id]],tblMeasure[msr_id],tblMeasure[msr_min_geo_resolution])</f>
        <v>LA</v>
      </c>
      <c r="L365" s="22" t="str">
        <f>_xlfn.XLOOKUP(tblRequirementMeasureXref[[#This Row],[msr_id]],tblMeasure[msr_id],tblMeasure[src_name])</f>
        <v>ASCOF</v>
      </c>
    </row>
    <row r="366" spans="1:12" x14ac:dyDescent="0.15">
      <c r="A366" s="1" t="str">
        <f>_xlfn.XLOOKUP(tblRequirementMeasureXref[[#This Row],[dm_id]],tblDataRequirement[dm_id],tblDataRequirement[domain_sub_requirement])</f>
        <v>Users:Demographics:Gender</v>
      </c>
      <c r="B366" s="1" t="str">
        <f>_xlfn.XLOOKUP(tblRequirementMeasureXref[[#This Row],[dm_id]],tblDataRequirement[dm_id],tblDataRequirement[dm_phase])</f>
        <v>demand</v>
      </c>
      <c r="C366" s="1">
        <v>62</v>
      </c>
      <c r="D366" s="1">
        <v>98</v>
      </c>
      <c r="G366" s="1"/>
      <c r="H366" s="62" t="str">
        <f>_xlfn.XLOOKUP(tblRequirementMeasureXref[[#This Row],[msr_id]],tblMeasure[msr_id],tblMeasure[msr_table])</f>
        <v>4B</v>
      </c>
      <c r="I366" s="22" t="str">
        <f>_xlfn.XLOOKUP(tblRequirementMeasureXref[[#This Row],[msr_id]],tblMeasure[msr_id],tblMeasure[msr_name])</f>
        <v xml:space="preserve">Proportion of people who use services who say that those services have made them feel safe and secure </v>
      </c>
      <c r="J366" s="22" t="str">
        <f>_xlfn.XLOOKUP(tblRequirementMeasureXref[[#This Row],[msr_id]],tblMeasure[msr_id],tblMeasure[primary_dimensions])</f>
        <v>users feeling safe due to services</v>
      </c>
      <c r="K366" s="22" t="str">
        <f>_xlfn.XLOOKUP(tblRequirementMeasureXref[[#This Row],[msr_id]],tblMeasure[msr_id],tblMeasure[msr_min_geo_resolution])</f>
        <v>LA</v>
      </c>
      <c r="L366" s="22" t="str">
        <f>_xlfn.XLOOKUP(tblRequirementMeasureXref[[#This Row],[msr_id]],tblMeasure[msr_id],tblMeasure[src_name])</f>
        <v>ASCOF</v>
      </c>
    </row>
    <row r="367" spans="1:12" x14ac:dyDescent="0.15">
      <c r="A367" s="1" t="str">
        <f>_xlfn.XLOOKUP(tblRequirementMeasureXref[[#This Row],[dm_id]],tblDataRequirement[dm_id],tblDataRequirement[domain_sub_requirement])</f>
        <v>Service:Quality:User perception</v>
      </c>
      <c r="B367" s="1" t="str">
        <f>_xlfn.XLOOKUP(tblRequirementMeasureXref[[#This Row],[dm_id]],tblDataRequirement[dm_id],tblDataRequirement[dm_phase])</f>
        <v>outcome</v>
      </c>
      <c r="C367" s="1">
        <v>25</v>
      </c>
      <c r="D367" s="1">
        <v>98</v>
      </c>
      <c r="G367" s="1"/>
      <c r="H367" s="62" t="str">
        <f>_xlfn.XLOOKUP(tblRequirementMeasureXref[[#This Row],[msr_id]],tblMeasure[msr_id],tblMeasure[msr_table])</f>
        <v>4B</v>
      </c>
      <c r="I367" s="22" t="str">
        <f>_xlfn.XLOOKUP(tblRequirementMeasureXref[[#This Row],[msr_id]],tblMeasure[msr_id],tblMeasure[msr_name])</f>
        <v xml:space="preserve">Proportion of people who use services who say that those services have made them feel safe and secure </v>
      </c>
      <c r="J367" s="22" t="str">
        <f>_xlfn.XLOOKUP(tblRequirementMeasureXref[[#This Row],[msr_id]],tblMeasure[msr_id],tblMeasure[primary_dimensions])</f>
        <v>users feeling safe due to services</v>
      </c>
      <c r="K367" s="22" t="str">
        <f>_xlfn.XLOOKUP(tblRequirementMeasureXref[[#This Row],[msr_id]],tblMeasure[msr_id],tblMeasure[msr_min_geo_resolution])</f>
        <v>LA</v>
      </c>
      <c r="L367" s="22" t="str">
        <f>_xlfn.XLOOKUP(tblRequirementMeasureXref[[#This Row],[msr_id]],tblMeasure[msr_id],tblMeasure[src_name])</f>
        <v>ASCOF</v>
      </c>
    </row>
    <row r="368" spans="1:12" x14ac:dyDescent="0.15">
      <c r="A368" s="1" t="str">
        <f>_xlfn.XLOOKUP(tblRequirementMeasureXref[[#This Row],[dm_id]],tblDataRequirement[dm_id],tblDataRequirement[domain_sub_requirement])</f>
        <v>Users:Demographics:Age</v>
      </c>
      <c r="B368" s="1" t="str">
        <f>_xlfn.XLOOKUP(tblRequirementMeasureXref[[#This Row],[dm_id]],tblDataRequirement[dm_id],tblDataRequirement[dm_phase])</f>
        <v>demand</v>
      </c>
      <c r="C368" s="1">
        <v>51</v>
      </c>
      <c r="D368" s="1">
        <v>99</v>
      </c>
      <c r="E368" s="1" t="s">
        <v>192</v>
      </c>
      <c r="G368" s="1"/>
      <c r="H368" s="62" t="str">
        <f>_xlfn.XLOOKUP(tblRequirementMeasureXref[[#This Row],[msr_id]],tblMeasure[msr_id],tblMeasure[msr_table])</f>
        <v>STS001</v>
      </c>
      <c r="I368" s="22" t="str">
        <f>_xlfn.XLOOKUP(tblRequirementMeasureXref[[#This Row],[msr_id]],tblMeasure[msr_id],tblMeasure[msr_name])</f>
        <v>Short Term Support: Numbers of requests for support received from NEW CLIENTS, broken down by the different sequels to that request</v>
      </c>
      <c r="J368" s="22" t="str">
        <f>_xlfn.XLOOKUP(tblRequirementMeasureXref[[#This Row],[msr_id]],tblMeasure[msr_id],tblMeasure[primary_dimensions])</f>
        <v>new requests, sequel, access route, repeat requests</v>
      </c>
      <c r="K368" s="22" t="str">
        <f>_xlfn.XLOOKUP(tblRequirementMeasureXref[[#This Row],[msr_id]],tblMeasure[msr_id],tblMeasure[msr_min_geo_resolution])</f>
        <v>LA</v>
      </c>
      <c r="L368" s="22" t="str">
        <f>_xlfn.XLOOKUP(tblRequirementMeasureXref[[#This Row],[msr_id]],tblMeasure[msr_id],tblMeasure[src_name])</f>
        <v>SALT</v>
      </c>
    </row>
    <row r="369" spans="1:12" x14ac:dyDescent="0.15">
      <c r="A369" s="1" t="str">
        <f>_xlfn.XLOOKUP(tblRequirementMeasureXref[[#This Row],[dm_id]],tblDataRequirement[dm_id],tblDataRequirement[domain_sub_requirement])</f>
        <v>Service:Access:Access route</v>
      </c>
      <c r="B369" s="1" t="str">
        <f>_xlfn.XLOOKUP(tblRequirementMeasureXref[[#This Row],[dm_id]],tblDataRequirement[dm_id],tblDataRequirement[dm_phase])</f>
        <v>demand</v>
      </c>
      <c r="C369" s="1">
        <v>33</v>
      </c>
      <c r="D369" s="1">
        <v>99</v>
      </c>
      <c r="E369" s="1" t="s">
        <v>192</v>
      </c>
      <c r="G369" s="1"/>
      <c r="H369" s="62" t="str">
        <f>_xlfn.XLOOKUP(tblRequirementMeasureXref[[#This Row],[msr_id]],tblMeasure[msr_id],tblMeasure[msr_table])</f>
        <v>STS001</v>
      </c>
      <c r="I369" s="22" t="str">
        <f>_xlfn.XLOOKUP(tblRequirementMeasureXref[[#This Row],[msr_id]],tblMeasure[msr_id],tblMeasure[msr_name])</f>
        <v>Short Term Support: Numbers of requests for support received from NEW CLIENTS, broken down by the different sequels to that request</v>
      </c>
      <c r="J369" s="22" t="str">
        <f>_xlfn.XLOOKUP(tblRequirementMeasureXref[[#This Row],[msr_id]],tblMeasure[msr_id],tblMeasure[primary_dimensions])</f>
        <v>new requests, sequel, access route, repeat requests</v>
      </c>
      <c r="K369" s="22" t="str">
        <f>_xlfn.XLOOKUP(tblRequirementMeasureXref[[#This Row],[msr_id]],tblMeasure[msr_id],tblMeasure[msr_min_geo_resolution])</f>
        <v>LA</v>
      </c>
      <c r="L369" s="22" t="str">
        <f>_xlfn.XLOOKUP(tblRequirementMeasureXref[[#This Row],[msr_id]],tblMeasure[msr_id],tblMeasure[src_name])</f>
        <v>SALT</v>
      </c>
    </row>
    <row r="370" spans="1:12" x14ac:dyDescent="0.15">
      <c r="A370" s="1" t="str">
        <f>_xlfn.XLOOKUP(tblRequirementMeasureXref[[#This Row],[dm_id]],tblDataRequirement[dm_id],tblDataRequirement[domain_sub_requirement])</f>
        <v>Service:Support type:Reablement / ST-MAX</v>
      </c>
      <c r="B370" s="1" t="str">
        <f>_xlfn.XLOOKUP(tblRequirementMeasureXref[[#This Row],[dm_id]],tblDataRequirement[dm_id],tblDataRequirement[dm_phase])</f>
        <v>operate</v>
      </c>
      <c r="C370" s="1">
        <v>46</v>
      </c>
      <c r="D370" s="1">
        <v>99</v>
      </c>
      <c r="E370" s="1" t="s">
        <v>192</v>
      </c>
      <c r="G370" s="1"/>
      <c r="H370" s="62" t="str">
        <f>_xlfn.XLOOKUP(tblRequirementMeasureXref[[#This Row],[msr_id]],tblMeasure[msr_id],tblMeasure[msr_table])</f>
        <v>STS001</v>
      </c>
      <c r="I370" s="22" t="str">
        <f>_xlfn.XLOOKUP(tblRequirementMeasureXref[[#This Row],[msr_id]],tblMeasure[msr_id],tblMeasure[msr_name])</f>
        <v>Short Term Support: Numbers of requests for support received from NEW CLIENTS, broken down by the different sequels to that request</v>
      </c>
      <c r="J370" s="22" t="str">
        <f>_xlfn.XLOOKUP(tblRequirementMeasureXref[[#This Row],[msr_id]],tblMeasure[msr_id],tblMeasure[primary_dimensions])</f>
        <v>new requests, sequel, access route, repeat requests</v>
      </c>
      <c r="K370" s="22" t="str">
        <f>_xlfn.XLOOKUP(tblRequirementMeasureXref[[#This Row],[msr_id]],tblMeasure[msr_id],tblMeasure[msr_min_geo_resolution])</f>
        <v>LA</v>
      </c>
      <c r="L370" s="22" t="str">
        <f>_xlfn.XLOOKUP(tblRequirementMeasureXref[[#This Row],[msr_id]],tblMeasure[msr_id],tblMeasure[src_name])</f>
        <v>SALT</v>
      </c>
    </row>
    <row r="371" spans="1:12" x14ac:dyDescent="0.15">
      <c r="A371" s="1" t="str">
        <f>_xlfn.XLOOKUP(tblRequirementMeasureXref[[#This Row],[dm_id]],tblDataRequirement[dm_id],tblDataRequirement[domain_sub_requirement])</f>
        <v>Service:Support type:Long-term</v>
      </c>
      <c r="B371" s="1" t="str">
        <f>_xlfn.XLOOKUP(tblRequirementMeasureXref[[#This Row],[dm_id]],tblDataRequirement[dm_id],tblDataRequirement[dm_phase])</f>
        <v>operate</v>
      </c>
      <c r="C371" s="1">
        <v>45</v>
      </c>
      <c r="D371" s="1">
        <v>99</v>
      </c>
      <c r="E371" s="1" t="s">
        <v>192</v>
      </c>
      <c r="G371" s="1"/>
      <c r="H371" s="62" t="str">
        <f>_xlfn.XLOOKUP(tblRequirementMeasureXref[[#This Row],[msr_id]],tblMeasure[msr_id],tblMeasure[msr_table])</f>
        <v>STS001</v>
      </c>
      <c r="I371" s="22" t="str">
        <f>_xlfn.XLOOKUP(tblRequirementMeasureXref[[#This Row],[msr_id]],tblMeasure[msr_id],tblMeasure[msr_name])</f>
        <v>Short Term Support: Numbers of requests for support received from NEW CLIENTS, broken down by the different sequels to that request</v>
      </c>
      <c r="J371" s="22" t="str">
        <f>_xlfn.XLOOKUP(tblRequirementMeasureXref[[#This Row],[msr_id]],tblMeasure[msr_id],tblMeasure[primary_dimensions])</f>
        <v>new requests, sequel, access route, repeat requests</v>
      </c>
      <c r="K371" s="22" t="str">
        <f>_xlfn.XLOOKUP(tblRequirementMeasureXref[[#This Row],[msr_id]],tblMeasure[msr_id],tblMeasure[msr_min_geo_resolution])</f>
        <v>LA</v>
      </c>
      <c r="L371" s="22" t="str">
        <f>_xlfn.XLOOKUP(tblRequirementMeasureXref[[#This Row],[msr_id]],tblMeasure[msr_id],tblMeasure[src_name])</f>
        <v>SALT</v>
      </c>
    </row>
    <row r="372" spans="1:12" x14ac:dyDescent="0.15">
      <c r="A372" s="1" t="str">
        <f>_xlfn.XLOOKUP(tblRequirementMeasureXref[[#This Row],[dm_id]],tblDataRequirement[dm_id],tblDataRequirement[domain_sub_requirement])</f>
        <v>Service:Support setting:Residential care home</v>
      </c>
      <c r="B372" s="1" t="str">
        <f>_xlfn.XLOOKUP(tblRequirementMeasureXref[[#This Row],[dm_id]],tblDataRequirement[dm_id],tblDataRequirement[dm_phase])</f>
        <v>operate</v>
      </c>
      <c r="C372" s="1">
        <v>41</v>
      </c>
      <c r="D372" s="1">
        <v>99</v>
      </c>
      <c r="E372" s="1" t="s">
        <v>192</v>
      </c>
      <c r="G372" s="1"/>
      <c r="H372" s="62" t="str">
        <f>_xlfn.XLOOKUP(tblRequirementMeasureXref[[#This Row],[msr_id]],tblMeasure[msr_id],tblMeasure[msr_table])</f>
        <v>STS001</v>
      </c>
      <c r="I372" s="22" t="str">
        <f>_xlfn.XLOOKUP(tblRequirementMeasureXref[[#This Row],[msr_id]],tblMeasure[msr_id],tblMeasure[msr_name])</f>
        <v>Short Term Support: Numbers of requests for support received from NEW CLIENTS, broken down by the different sequels to that request</v>
      </c>
      <c r="J372" s="22" t="str">
        <f>_xlfn.XLOOKUP(tblRequirementMeasureXref[[#This Row],[msr_id]],tblMeasure[msr_id],tblMeasure[primary_dimensions])</f>
        <v>new requests, sequel, access route, repeat requests</v>
      </c>
      <c r="K372" s="22" t="str">
        <f>_xlfn.XLOOKUP(tblRequirementMeasureXref[[#This Row],[msr_id]],tblMeasure[msr_id],tblMeasure[msr_min_geo_resolution])</f>
        <v>LA</v>
      </c>
      <c r="L372" s="22" t="str">
        <f>_xlfn.XLOOKUP(tblRequirementMeasureXref[[#This Row],[msr_id]],tblMeasure[msr_id],tblMeasure[src_name])</f>
        <v>SALT</v>
      </c>
    </row>
    <row r="373" spans="1:12" x14ac:dyDescent="0.15">
      <c r="A373" s="1" t="str">
        <f>_xlfn.XLOOKUP(tblRequirementMeasureXref[[#This Row],[dm_id]],tblDataRequirement[dm_id],tblDataRequirement[domain_sub_requirement])</f>
        <v>Service:Support setting:Nursing home</v>
      </c>
      <c r="B373" s="1" t="str">
        <f>_xlfn.XLOOKUP(tblRequirementMeasureXref[[#This Row],[dm_id]],tblDataRequirement[dm_id],tblDataRequirement[dm_phase])</f>
        <v>operate</v>
      </c>
      <c r="C373" s="1">
        <v>42</v>
      </c>
      <c r="D373" s="1">
        <v>99</v>
      </c>
      <c r="E373" s="1" t="s">
        <v>192</v>
      </c>
      <c r="G373" s="1"/>
      <c r="H373" s="62" t="str">
        <f>_xlfn.XLOOKUP(tblRequirementMeasureXref[[#This Row],[msr_id]],tblMeasure[msr_id],tblMeasure[msr_table])</f>
        <v>STS001</v>
      </c>
      <c r="I373" s="22" t="str">
        <f>_xlfn.XLOOKUP(tblRequirementMeasureXref[[#This Row],[msr_id]],tblMeasure[msr_id],tblMeasure[msr_name])</f>
        <v>Short Term Support: Numbers of requests for support received from NEW CLIENTS, broken down by the different sequels to that request</v>
      </c>
      <c r="J373" s="22" t="str">
        <f>_xlfn.XLOOKUP(tblRequirementMeasureXref[[#This Row],[msr_id]],tblMeasure[msr_id],tblMeasure[primary_dimensions])</f>
        <v>new requests, sequel, access route, repeat requests</v>
      </c>
      <c r="K373" s="22" t="str">
        <f>_xlfn.XLOOKUP(tblRequirementMeasureXref[[#This Row],[msr_id]],tblMeasure[msr_id],tblMeasure[msr_min_geo_resolution])</f>
        <v>LA</v>
      </c>
      <c r="L373" s="22" t="str">
        <f>_xlfn.XLOOKUP(tblRequirementMeasureXref[[#This Row],[msr_id]],tblMeasure[msr_id],tblMeasure[src_name])</f>
        <v>SALT</v>
      </c>
    </row>
    <row r="374" spans="1:12" x14ac:dyDescent="0.15">
      <c r="A374" s="1" t="str">
        <f>_xlfn.XLOOKUP(tblRequirementMeasureXref[[#This Row],[dm_id]],tblDataRequirement[dm_id],tblDataRequirement[domain_sub_requirement])</f>
        <v>Service:Support setting:Community</v>
      </c>
      <c r="B374" s="1" t="str">
        <f>_xlfn.XLOOKUP(tblRequirementMeasureXref[[#This Row],[dm_id]],tblDataRequirement[dm_id],tblDataRequirement[dm_phase])</f>
        <v>operate</v>
      </c>
      <c r="C374" s="1">
        <v>43</v>
      </c>
      <c r="D374" s="1">
        <v>99</v>
      </c>
      <c r="E374" s="1" t="s">
        <v>192</v>
      </c>
      <c r="G374" s="1"/>
      <c r="H374" s="62" t="str">
        <f>_xlfn.XLOOKUP(tblRequirementMeasureXref[[#This Row],[msr_id]],tblMeasure[msr_id],tblMeasure[msr_table])</f>
        <v>STS001</v>
      </c>
      <c r="I374" s="22" t="str">
        <f>_xlfn.XLOOKUP(tblRequirementMeasureXref[[#This Row],[msr_id]],tblMeasure[msr_id],tblMeasure[msr_name])</f>
        <v>Short Term Support: Numbers of requests for support received from NEW CLIENTS, broken down by the different sequels to that request</v>
      </c>
      <c r="J374" s="22" t="str">
        <f>_xlfn.XLOOKUP(tblRequirementMeasureXref[[#This Row],[msr_id]],tblMeasure[msr_id],tblMeasure[primary_dimensions])</f>
        <v>new requests, sequel, access route, repeat requests</v>
      </c>
      <c r="K374" s="22" t="str">
        <f>_xlfn.XLOOKUP(tblRequirementMeasureXref[[#This Row],[msr_id]],tblMeasure[msr_id],tblMeasure[msr_min_geo_resolution])</f>
        <v>LA</v>
      </c>
      <c r="L374" s="22" t="str">
        <f>_xlfn.XLOOKUP(tblRequirementMeasureXref[[#This Row],[msr_id]],tblMeasure[msr_id],tblMeasure[src_name])</f>
        <v>SALT</v>
      </c>
    </row>
    <row r="375" spans="1:12" x14ac:dyDescent="0.15">
      <c r="A375" s="1" t="str">
        <f>_xlfn.XLOOKUP(tblRequirementMeasureXref[[#This Row],[dm_id]],tblDataRequirement[dm_id],tblDataRequirement[domain_sub_requirement])</f>
        <v>Service:Access:Eligible for local authority funded care</v>
      </c>
      <c r="B375" s="1" t="str">
        <f>_xlfn.XLOOKUP(tblRequirementMeasureXref[[#This Row],[dm_id]],tblDataRequirement[dm_id],tblDataRequirement[dm_phase])</f>
        <v>demand</v>
      </c>
      <c r="C375" s="1">
        <v>28</v>
      </c>
      <c r="D375" s="1">
        <v>99</v>
      </c>
      <c r="E375" s="1" t="s">
        <v>192</v>
      </c>
      <c r="G375" s="1"/>
      <c r="H375" s="62" t="str">
        <f>_xlfn.XLOOKUP(tblRequirementMeasureXref[[#This Row],[msr_id]],tblMeasure[msr_id],tblMeasure[msr_table])</f>
        <v>STS001</v>
      </c>
      <c r="I375" s="22" t="str">
        <f>_xlfn.XLOOKUP(tblRequirementMeasureXref[[#This Row],[msr_id]],tblMeasure[msr_id],tblMeasure[msr_name])</f>
        <v>Short Term Support: Numbers of requests for support received from NEW CLIENTS, broken down by the different sequels to that request</v>
      </c>
      <c r="J375" s="22" t="str">
        <f>_xlfn.XLOOKUP(tblRequirementMeasureXref[[#This Row],[msr_id]],tblMeasure[msr_id],tblMeasure[primary_dimensions])</f>
        <v>new requests, sequel, access route, repeat requests</v>
      </c>
      <c r="K375" s="22" t="str">
        <f>_xlfn.XLOOKUP(tblRequirementMeasureXref[[#This Row],[msr_id]],tblMeasure[msr_id],tblMeasure[msr_min_geo_resolution])</f>
        <v>LA</v>
      </c>
      <c r="L375" s="22" t="str">
        <f>_xlfn.XLOOKUP(tblRequirementMeasureXref[[#This Row],[msr_id]],tblMeasure[msr_id],tblMeasure[src_name])</f>
        <v>SALT</v>
      </c>
    </row>
    <row r="376" spans="1:12" x14ac:dyDescent="0.15">
      <c r="A376" s="1" t="str">
        <f>_xlfn.XLOOKUP(tblRequirementMeasureXref[[#This Row],[dm_id]],tblDataRequirement[dm_id],tblDataRequirement[domain_sub_requirement])</f>
        <v>Service:Access:Eligible for NHS-funded care</v>
      </c>
      <c r="B376" s="1" t="str">
        <f>_xlfn.XLOOKUP(tblRequirementMeasureXref[[#This Row],[dm_id]],tblDataRequirement[dm_id],tblDataRequirement[dm_phase])</f>
        <v>demand</v>
      </c>
      <c r="C376" s="1">
        <v>30</v>
      </c>
      <c r="D376" s="1">
        <v>99</v>
      </c>
      <c r="E376" s="1" t="s">
        <v>192</v>
      </c>
      <c r="G376" s="1"/>
      <c r="H376" s="62" t="str">
        <f>_xlfn.XLOOKUP(tblRequirementMeasureXref[[#This Row],[msr_id]],tblMeasure[msr_id],tblMeasure[msr_table])</f>
        <v>STS001</v>
      </c>
      <c r="I376" s="22" t="str">
        <f>_xlfn.XLOOKUP(tblRequirementMeasureXref[[#This Row],[msr_id]],tblMeasure[msr_id],tblMeasure[msr_name])</f>
        <v>Short Term Support: Numbers of requests for support received from NEW CLIENTS, broken down by the different sequels to that request</v>
      </c>
      <c r="J376" s="22" t="str">
        <f>_xlfn.XLOOKUP(tblRequirementMeasureXref[[#This Row],[msr_id]],tblMeasure[msr_id],tblMeasure[primary_dimensions])</f>
        <v>new requests, sequel, access route, repeat requests</v>
      </c>
      <c r="K376" s="22" t="str">
        <f>_xlfn.XLOOKUP(tblRequirementMeasureXref[[#This Row],[msr_id]],tblMeasure[msr_id],tblMeasure[msr_min_geo_resolution])</f>
        <v>LA</v>
      </c>
      <c r="L376" s="22" t="str">
        <f>_xlfn.XLOOKUP(tblRequirementMeasureXref[[#This Row],[msr_id]],tblMeasure[msr_id],tblMeasure[src_name])</f>
        <v>SALT</v>
      </c>
    </row>
    <row r="377" spans="1:12" x14ac:dyDescent="0.15">
      <c r="A377" s="1" t="str">
        <f>_xlfn.XLOOKUP(tblRequirementMeasureXref[[#This Row],[dm_id]],tblDataRequirement[dm_id],tblDataRequirement[domain_sub_requirement])</f>
        <v>Service:Support type:Short-term</v>
      </c>
      <c r="B377" s="1" t="str">
        <f>_xlfn.XLOOKUP(tblRequirementMeasureXref[[#This Row],[dm_id]],tblDataRequirement[dm_id],tblDataRequirement[dm_phase])</f>
        <v>operate</v>
      </c>
      <c r="C377" s="1">
        <v>44</v>
      </c>
      <c r="D377" s="1">
        <v>99</v>
      </c>
      <c r="E377" s="1" t="s">
        <v>192</v>
      </c>
      <c r="G377" s="1"/>
      <c r="H377" s="62" t="str">
        <f>_xlfn.XLOOKUP(tblRequirementMeasureXref[[#This Row],[msr_id]],tblMeasure[msr_id],tblMeasure[msr_table])</f>
        <v>STS001</v>
      </c>
      <c r="I377" s="22" t="str">
        <f>_xlfn.XLOOKUP(tblRequirementMeasureXref[[#This Row],[msr_id]],tblMeasure[msr_id],tblMeasure[msr_name])</f>
        <v>Short Term Support: Numbers of requests for support received from NEW CLIENTS, broken down by the different sequels to that request</v>
      </c>
      <c r="J377" s="22" t="str">
        <f>_xlfn.XLOOKUP(tblRequirementMeasureXref[[#This Row],[msr_id]],tblMeasure[msr_id],tblMeasure[primary_dimensions])</f>
        <v>new requests, sequel, access route, repeat requests</v>
      </c>
      <c r="K377" s="22" t="str">
        <f>_xlfn.XLOOKUP(tblRequirementMeasureXref[[#This Row],[msr_id]],tblMeasure[msr_id],tblMeasure[msr_min_geo_resolution])</f>
        <v>LA</v>
      </c>
      <c r="L377" s="22" t="str">
        <f>_xlfn.XLOOKUP(tblRequirementMeasureXref[[#This Row],[msr_id]],tblMeasure[msr_id],tblMeasure[src_name])</f>
        <v>SALT</v>
      </c>
    </row>
    <row r="378" spans="1:12" x14ac:dyDescent="0.15">
      <c r="A378" s="1" t="str">
        <f>_xlfn.XLOOKUP(tblRequirementMeasureXref[[#This Row],[dm_id]],tblDataRequirement[dm_id],tblDataRequirement[domain_sub_requirement])</f>
        <v>Service:Access:Sequel to service</v>
      </c>
      <c r="B378" s="1" t="str">
        <f>_xlfn.XLOOKUP(tblRequirementMeasureXref[[#This Row],[dm_id]],tblDataRequirement[dm_id],tblDataRequirement[dm_phase])</f>
        <v>demand</v>
      </c>
      <c r="C378" s="1">
        <v>59</v>
      </c>
      <c r="D378" s="1">
        <v>99</v>
      </c>
      <c r="E378" s="1" t="s">
        <v>192</v>
      </c>
      <c r="G378" s="1"/>
      <c r="H378" s="62" t="str">
        <f>_xlfn.XLOOKUP(tblRequirementMeasureXref[[#This Row],[msr_id]],tblMeasure[msr_id],tblMeasure[msr_table])</f>
        <v>STS001</v>
      </c>
      <c r="I378" s="22" t="str">
        <f>_xlfn.XLOOKUP(tblRequirementMeasureXref[[#This Row],[msr_id]],tblMeasure[msr_id],tblMeasure[msr_name])</f>
        <v>Short Term Support: Numbers of requests for support received from NEW CLIENTS, broken down by the different sequels to that request</v>
      </c>
      <c r="J378" s="22" t="str">
        <f>_xlfn.XLOOKUP(tblRequirementMeasureXref[[#This Row],[msr_id]],tblMeasure[msr_id],tblMeasure[primary_dimensions])</f>
        <v>new requests, sequel, access route, repeat requests</v>
      </c>
      <c r="K378" s="22" t="str">
        <f>_xlfn.XLOOKUP(tblRequirementMeasureXref[[#This Row],[msr_id]],tblMeasure[msr_id],tblMeasure[msr_min_geo_resolution])</f>
        <v>LA</v>
      </c>
      <c r="L378" s="22" t="str">
        <f>_xlfn.XLOOKUP(tblRequirementMeasureXref[[#This Row],[msr_id]],tblMeasure[msr_id],tblMeasure[src_name])</f>
        <v>SALT</v>
      </c>
    </row>
    <row r="379" spans="1:12" x14ac:dyDescent="0.15">
      <c r="A379" s="1" t="str">
        <f>_xlfn.XLOOKUP(tblRequirementMeasureXref[[#This Row],[dm_id]],tblDataRequirement[dm_id],tblDataRequirement[domain_sub_requirement])</f>
        <v>Service:Access:Requests for local authority-funded care</v>
      </c>
      <c r="B379" s="1" t="str">
        <f>_xlfn.XLOOKUP(tblRequirementMeasureXref[[#This Row],[dm_id]],tblDataRequirement[dm_id],tblDataRequirement[dm_phase])</f>
        <v>demand</v>
      </c>
      <c r="C379" s="1">
        <v>27</v>
      </c>
      <c r="D379" s="1">
        <v>99</v>
      </c>
      <c r="E379" s="1" t="s">
        <v>192</v>
      </c>
      <c r="G379" s="1"/>
      <c r="H379" s="62" t="str">
        <f>_xlfn.XLOOKUP(tblRequirementMeasureXref[[#This Row],[msr_id]],tblMeasure[msr_id],tblMeasure[msr_table])</f>
        <v>STS001</v>
      </c>
      <c r="I379" s="22" t="str">
        <f>_xlfn.XLOOKUP(tblRequirementMeasureXref[[#This Row],[msr_id]],tblMeasure[msr_id],tblMeasure[msr_name])</f>
        <v>Short Term Support: Numbers of requests for support received from NEW CLIENTS, broken down by the different sequels to that request</v>
      </c>
      <c r="J379" s="22" t="str">
        <f>_xlfn.XLOOKUP(tblRequirementMeasureXref[[#This Row],[msr_id]],tblMeasure[msr_id],tblMeasure[primary_dimensions])</f>
        <v>new requests, sequel, access route, repeat requests</v>
      </c>
      <c r="K379" s="22" t="str">
        <f>_xlfn.XLOOKUP(tblRequirementMeasureXref[[#This Row],[msr_id]],tblMeasure[msr_id],tblMeasure[msr_min_geo_resolution])</f>
        <v>LA</v>
      </c>
      <c r="L379" s="22" t="str">
        <f>_xlfn.XLOOKUP(tblRequirementMeasureXref[[#This Row],[msr_id]],tblMeasure[msr_id],tblMeasure[src_name])</f>
        <v>SALT</v>
      </c>
    </row>
    <row r="380" spans="1:12" x14ac:dyDescent="0.15">
      <c r="A380" s="1" t="str">
        <f>_xlfn.XLOOKUP(tblRequirementMeasureXref[[#This Row],[dm_id]],tblDataRequirement[dm_id],tblDataRequirement[domain_sub_requirement])</f>
        <v>Service:Access:Requests for NHS-funded care</v>
      </c>
      <c r="B380" s="1" t="str">
        <f>_xlfn.XLOOKUP(tblRequirementMeasureXref[[#This Row],[dm_id]],tblDataRequirement[dm_id],tblDataRequirement[dm_phase])</f>
        <v>demand</v>
      </c>
      <c r="C380" s="1">
        <v>29</v>
      </c>
      <c r="D380" s="1">
        <v>99</v>
      </c>
      <c r="E380" s="1" t="s">
        <v>192</v>
      </c>
      <c r="G380" s="1"/>
      <c r="H380" s="62" t="str">
        <f>_xlfn.XLOOKUP(tblRequirementMeasureXref[[#This Row],[msr_id]],tblMeasure[msr_id],tblMeasure[msr_table])</f>
        <v>STS001</v>
      </c>
      <c r="I380" s="22" t="str">
        <f>_xlfn.XLOOKUP(tblRequirementMeasureXref[[#This Row],[msr_id]],tblMeasure[msr_id],tblMeasure[msr_name])</f>
        <v>Short Term Support: Numbers of requests for support received from NEW CLIENTS, broken down by the different sequels to that request</v>
      </c>
      <c r="J380" s="22" t="str">
        <f>_xlfn.XLOOKUP(tblRequirementMeasureXref[[#This Row],[msr_id]],tblMeasure[msr_id],tblMeasure[primary_dimensions])</f>
        <v>new requests, sequel, access route, repeat requests</v>
      </c>
      <c r="K380" s="22" t="str">
        <f>_xlfn.XLOOKUP(tblRequirementMeasureXref[[#This Row],[msr_id]],tblMeasure[msr_id],tblMeasure[msr_min_geo_resolution])</f>
        <v>LA</v>
      </c>
      <c r="L380" s="22" t="str">
        <f>_xlfn.XLOOKUP(tblRequirementMeasureXref[[#This Row],[msr_id]],tblMeasure[msr_id],tblMeasure[src_name])</f>
        <v>SALT</v>
      </c>
    </row>
    <row r="381" spans="1:12" x14ac:dyDescent="0.15">
      <c r="A381" s="1" t="str">
        <f>_xlfn.XLOOKUP(tblRequirementMeasureXref[[#This Row],[dm_id]],tblDataRequirement[dm_id],tblDataRequirement[domain_sub_requirement])</f>
        <v>Service:Integration:NHS secondary care</v>
      </c>
      <c r="B381" s="1" t="str">
        <f>_xlfn.XLOOKUP(tblRequirementMeasureXref[[#This Row],[dm_id]],tblDataRequirement[dm_id],tblDataRequirement[dm_phase])</f>
        <v>operate</v>
      </c>
      <c r="C381" s="1">
        <v>37</v>
      </c>
      <c r="D381" s="1">
        <v>99</v>
      </c>
      <c r="E381" s="1" t="s">
        <v>192</v>
      </c>
      <c r="G381" s="1"/>
      <c r="H381" s="62" t="str">
        <f>_xlfn.XLOOKUP(tblRequirementMeasureXref[[#This Row],[msr_id]],tblMeasure[msr_id],tblMeasure[msr_table])</f>
        <v>STS001</v>
      </c>
      <c r="I381" s="22" t="str">
        <f>_xlfn.XLOOKUP(tblRequirementMeasureXref[[#This Row],[msr_id]],tblMeasure[msr_id],tblMeasure[msr_name])</f>
        <v>Short Term Support: Numbers of requests for support received from NEW CLIENTS, broken down by the different sequels to that request</v>
      </c>
      <c r="J381" s="22" t="str">
        <f>_xlfn.XLOOKUP(tblRequirementMeasureXref[[#This Row],[msr_id]],tblMeasure[msr_id],tblMeasure[primary_dimensions])</f>
        <v>new requests, sequel, access route, repeat requests</v>
      </c>
      <c r="K381" s="22" t="str">
        <f>_xlfn.XLOOKUP(tblRequirementMeasureXref[[#This Row],[msr_id]],tblMeasure[msr_id],tblMeasure[msr_min_geo_resolution])</f>
        <v>LA</v>
      </c>
      <c r="L381" s="22" t="str">
        <f>_xlfn.XLOOKUP(tblRequirementMeasureXref[[#This Row],[msr_id]],tblMeasure[msr_id],tblMeasure[src_name])</f>
        <v>SALT</v>
      </c>
    </row>
    <row r="382" spans="1:12" x14ac:dyDescent="0.15">
      <c r="A382" s="1" t="str">
        <f>_xlfn.XLOOKUP(tblRequirementMeasureXref[[#This Row],[dm_id]],tblDataRequirement[dm_id],tblDataRequirement[domain_sub_requirement])</f>
        <v>Service:Access:Access route</v>
      </c>
      <c r="B382" s="1" t="str">
        <f>_xlfn.XLOOKUP(tblRequirementMeasureXref[[#This Row],[dm_id]],tblDataRequirement[dm_id],tblDataRequirement[dm_phase])</f>
        <v>demand</v>
      </c>
      <c r="C382" s="1">
        <v>33</v>
      </c>
      <c r="D382" s="1">
        <v>100</v>
      </c>
      <c r="E382" s="1" t="s">
        <v>192</v>
      </c>
      <c r="G382" s="1"/>
      <c r="H382" s="62" t="str">
        <f>_xlfn.XLOOKUP(tblRequirementMeasureXref[[#This Row],[msr_id]],tblMeasure[msr_id],tblMeasure[msr_table])</f>
        <v>STS002a</v>
      </c>
      <c r="I382"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82" s="22" t="str">
        <f>_xlfn.XLOOKUP(tblRequirementMeasureXref[[#This Row],[msr_id]],tblMeasure[msr_id],tblMeasure[primary_dimensions])</f>
        <v>new sequels to ST-max, access route, repeat requests, carer support</v>
      </c>
      <c r="K382" s="22" t="str">
        <f>_xlfn.XLOOKUP(tblRequirementMeasureXref[[#This Row],[msr_id]],tblMeasure[msr_id],tblMeasure[msr_min_geo_resolution])</f>
        <v>LA</v>
      </c>
      <c r="L382" s="22" t="str">
        <f>_xlfn.XLOOKUP(tblRequirementMeasureXref[[#This Row],[msr_id]],tblMeasure[msr_id],tblMeasure[src_name])</f>
        <v>SALT</v>
      </c>
    </row>
    <row r="383" spans="1:12" x14ac:dyDescent="0.15">
      <c r="A383" s="1" t="str">
        <f>_xlfn.XLOOKUP(tblRequirementMeasureXref[[#This Row],[dm_id]],tblDataRequirement[dm_id],tblDataRequirement[domain_sub_requirement])</f>
        <v>Service:Access:Sequel to service</v>
      </c>
      <c r="B383" s="1" t="str">
        <f>_xlfn.XLOOKUP(tblRequirementMeasureXref[[#This Row],[dm_id]],tblDataRequirement[dm_id],tblDataRequirement[dm_phase])</f>
        <v>demand</v>
      </c>
      <c r="C383" s="1">
        <v>59</v>
      </c>
      <c r="D383" s="1">
        <v>100</v>
      </c>
      <c r="E383" s="1" t="s">
        <v>192</v>
      </c>
      <c r="G383" s="1"/>
      <c r="H383" s="62" t="str">
        <f>_xlfn.XLOOKUP(tblRequirementMeasureXref[[#This Row],[msr_id]],tblMeasure[msr_id],tblMeasure[msr_table])</f>
        <v>STS002a</v>
      </c>
      <c r="I383"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83" s="22" t="str">
        <f>_xlfn.XLOOKUP(tblRequirementMeasureXref[[#This Row],[msr_id]],tblMeasure[msr_id],tblMeasure[primary_dimensions])</f>
        <v>new sequels to ST-max, access route, repeat requests, carer support</v>
      </c>
      <c r="K383" s="22" t="str">
        <f>_xlfn.XLOOKUP(tblRequirementMeasureXref[[#This Row],[msr_id]],tblMeasure[msr_id],tblMeasure[msr_min_geo_resolution])</f>
        <v>LA</v>
      </c>
      <c r="L383" s="22" t="str">
        <f>_xlfn.XLOOKUP(tblRequirementMeasureXref[[#This Row],[msr_id]],tblMeasure[msr_id],tblMeasure[src_name])</f>
        <v>SALT</v>
      </c>
    </row>
    <row r="384" spans="1:12" x14ac:dyDescent="0.15">
      <c r="A384" s="1" t="str">
        <f>_xlfn.XLOOKUP(tblRequirementMeasureXref[[#This Row],[dm_id]],tblDataRequirement[dm_id],tblDataRequirement[domain_sub_requirement])</f>
        <v>Service:Support type:Reablement / ST-MAX</v>
      </c>
      <c r="B384" s="1" t="str">
        <f>_xlfn.XLOOKUP(tblRequirementMeasureXref[[#This Row],[dm_id]],tblDataRequirement[dm_id],tblDataRequirement[dm_phase])</f>
        <v>operate</v>
      </c>
      <c r="C384" s="1">
        <v>46</v>
      </c>
      <c r="D384" s="1">
        <v>100</v>
      </c>
      <c r="E384" s="1" t="s">
        <v>192</v>
      </c>
      <c r="G384" s="1"/>
      <c r="H384" s="62" t="str">
        <f>_xlfn.XLOOKUP(tblRequirementMeasureXref[[#This Row],[msr_id]],tblMeasure[msr_id],tblMeasure[msr_table])</f>
        <v>STS002a</v>
      </c>
      <c r="I384"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84" s="22" t="str">
        <f>_xlfn.XLOOKUP(tblRequirementMeasureXref[[#This Row],[msr_id]],tblMeasure[msr_id],tblMeasure[primary_dimensions])</f>
        <v>new sequels to ST-max, access route, repeat requests, carer support</v>
      </c>
      <c r="K384" s="22" t="str">
        <f>_xlfn.XLOOKUP(tblRequirementMeasureXref[[#This Row],[msr_id]],tblMeasure[msr_id],tblMeasure[msr_min_geo_resolution])</f>
        <v>LA</v>
      </c>
      <c r="L384" s="22" t="str">
        <f>_xlfn.XLOOKUP(tblRequirementMeasureXref[[#This Row],[msr_id]],tblMeasure[msr_id],tblMeasure[src_name])</f>
        <v>SALT</v>
      </c>
    </row>
    <row r="385" spans="1:12" x14ac:dyDescent="0.15">
      <c r="A385" s="1" t="str">
        <f>_xlfn.XLOOKUP(tblRequirementMeasureXref[[#This Row],[dm_id]],tblDataRequirement[dm_id],tblDataRequirement[domain_sub_requirement])</f>
        <v>Service:Support type:Long-term</v>
      </c>
      <c r="B385" s="1" t="str">
        <f>_xlfn.XLOOKUP(tblRequirementMeasureXref[[#This Row],[dm_id]],tblDataRequirement[dm_id],tblDataRequirement[dm_phase])</f>
        <v>operate</v>
      </c>
      <c r="C385" s="1">
        <v>45</v>
      </c>
      <c r="D385" s="1">
        <v>100</v>
      </c>
      <c r="E385" s="1" t="s">
        <v>192</v>
      </c>
      <c r="G385" s="1"/>
      <c r="H385" s="62" t="str">
        <f>_xlfn.XLOOKUP(tblRequirementMeasureXref[[#This Row],[msr_id]],tblMeasure[msr_id],tblMeasure[msr_table])</f>
        <v>STS002a</v>
      </c>
      <c r="I385"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85" s="22" t="str">
        <f>_xlfn.XLOOKUP(tblRequirementMeasureXref[[#This Row],[msr_id]],tblMeasure[msr_id],tblMeasure[primary_dimensions])</f>
        <v>new sequels to ST-max, access route, repeat requests, carer support</v>
      </c>
      <c r="K385" s="22" t="str">
        <f>_xlfn.XLOOKUP(tblRequirementMeasureXref[[#This Row],[msr_id]],tblMeasure[msr_id],tblMeasure[msr_min_geo_resolution])</f>
        <v>LA</v>
      </c>
      <c r="L385" s="22" t="str">
        <f>_xlfn.XLOOKUP(tblRequirementMeasureXref[[#This Row],[msr_id]],tblMeasure[msr_id],tblMeasure[src_name])</f>
        <v>SALT</v>
      </c>
    </row>
    <row r="386" spans="1:12" x14ac:dyDescent="0.15">
      <c r="A386" s="1" t="str">
        <f>_xlfn.XLOOKUP(tblRequirementMeasureXref[[#This Row],[dm_id]],tblDataRequirement[dm_id],tblDataRequirement[domain_sub_requirement])</f>
        <v>Users:Care need:Support reason</v>
      </c>
      <c r="B386" s="1" t="str">
        <f>_xlfn.XLOOKUP(tblRequirementMeasureXref[[#This Row],[dm_id]],tblDataRequirement[dm_id],tblDataRequirement[dm_phase])</f>
        <v>demand</v>
      </c>
      <c r="C386" s="1">
        <v>56</v>
      </c>
      <c r="D386" s="1">
        <v>100</v>
      </c>
      <c r="E386" s="1" t="s">
        <v>192</v>
      </c>
      <c r="G386" s="1"/>
      <c r="H386" s="62" t="str">
        <f>_xlfn.XLOOKUP(tblRequirementMeasureXref[[#This Row],[msr_id]],tblMeasure[msr_id],tblMeasure[msr_table])</f>
        <v>STS002a</v>
      </c>
      <c r="I386"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86" s="22" t="str">
        <f>_xlfn.XLOOKUP(tblRequirementMeasureXref[[#This Row],[msr_id]],tblMeasure[msr_id],tblMeasure[primary_dimensions])</f>
        <v>new sequels to ST-max, access route, repeat requests, carer support</v>
      </c>
      <c r="K386" s="22" t="str">
        <f>_xlfn.XLOOKUP(tblRequirementMeasureXref[[#This Row],[msr_id]],tblMeasure[msr_id],tblMeasure[msr_min_geo_resolution])</f>
        <v>LA</v>
      </c>
      <c r="L386" s="22" t="str">
        <f>_xlfn.XLOOKUP(tblRequirementMeasureXref[[#This Row],[msr_id]],tblMeasure[msr_id],tblMeasure[src_name])</f>
        <v>SALT</v>
      </c>
    </row>
    <row r="387" spans="1:12" x14ac:dyDescent="0.15">
      <c r="A387" s="1" t="str">
        <f>_xlfn.XLOOKUP(tblRequirementMeasureXref[[#This Row],[dm_id]],tblDataRequirement[dm_id],tblDataRequirement[domain_sub_requirement])</f>
        <v>Users:Demographics:Age</v>
      </c>
      <c r="B387" s="1" t="str">
        <f>_xlfn.XLOOKUP(tblRequirementMeasureXref[[#This Row],[dm_id]],tblDataRequirement[dm_id],tblDataRequirement[dm_phase])</f>
        <v>demand</v>
      </c>
      <c r="C387" s="1">
        <v>51</v>
      </c>
      <c r="D387" s="1">
        <v>100</v>
      </c>
      <c r="E387" s="1" t="s">
        <v>192</v>
      </c>
      <c r="G387" s="1"/>
      <c r="H387" s="62" t="str">
        <f>_xlfn.XLOOKUP(tblRequirementMeasureXref[[#This Row],[msr_id]],tblMeasure[msr_id],tblMeasure[msr_table])</f>
        <v>STS002a</v>
      </c>
      <c r="I387"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87" s="22" t="str">
        <f>_xlfn.XLOOKUP(tblRequirementMeasureXref[[#This Row],[msr_id]],tblMeasure[msr_id],tblMeasure[primary_dimensions])</f>
        <v>new sequels to ST-max, access route, repeat requests, carer support</v>
      </c>
      <c r="K387" s="22" t="str">
        <f>_xlfn.XLOOKUP(tblRequirementMeasureXref[[#This Row],[msr_id]],tblMeasure[msr_id],tblMeasure[msr_min_geo_resolution])</f>
        <v>LA</v>
      </c>
      <c r="L387" s="22" t="str">
        <f>_xlfn.XLOOKUP(tblRequirementMeasureXref[[#This Row],[msr_id]],tblMeasure[msr_id],tblMeasure[src_name])</f>
        <v>SALT</v>
      </c>
    </row>
    <row r="388" spans="1:12" x14ac:dyDescent="0.15">
      <c r="A388" s="1" t="str">
        <f>_xlfn.XLOOKUP(tblRequirementMeasureXref[[#This Row],[dm_id]],tblDataRequirement[dm_id],tblDataRequirement[domain_sub_requirement])</f>
        <v>Unpaid Carers:Workforce:Workforce</v>
      </c>
      <c r="B388" s="1" t="str">
        <f>_xlfn.XLOOKUP(tblRequirementMeasureXref[[#This Row],[dm_id]],tblDataRequirement[dm_id],tblDataRequirement[dm_phase])</f>
        <v>supply</v>
      </c>
      <c r="C388" s="1">
        <v>19</v>
      </c>
      <c r="D388" s="1">
        <v>100</v>
      </c>
      <c r="E388" s="1" t="s">
        <v>192</v>
      </c>
      <c r="G388" s="1"/>
      <c r="H388" s="62" t="str">
        <f>_xlfn.XLOOKUP(tblRequirementMeasureXref[[#This Row],[msr_id]],tblMeasure[msr_id],tblMeasure[msr_table])</f>
        <v>STS002a</v>
      </c>
      <c r="I388"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88" s="22" t="str">
        <f>_xlfn.XLOOKUP(tblRequirementMeasureXref[[#This Row],[msr_id]],tblMeasure[msr_id],tblMeasure[primary_dimensions])</f>
        <v>new sequels to ST-max, access route, repeat requests, carer support</v>
      </c>
      <c r="K388" s="22" t="str">
        <f>_xlfn.XLOOKUP(tblRequirementMeasureXref[[#This Row],[msr_id]],tblMeasure[msr_id],tblMeasure[msr_min_geo_resolution])</f>
        <v>LA</v>
      </c>
      <c r="L388" s="22" t="str">
        <f>_xlfn.XLOOKUP(tblRequirementMeasureXref[[#This Row],[msr_id]],tblMeasure[msr_id],tblMeasure[src_name])</f>
        <v>SALT</v>
      </c>
    </row>
    <row r="389" spans="1:12" x14ac:dyDescent="0.15">
      <c r="A389" s="1" t="str">
        <f>_xlfn.XLOOKUP(tblRequirementMeasureXref[[#This Row],[dm_id]],tblDataRequirement[dm_id],tblDataRequirement[domain_sub_requirement])</f>
        <v>Users:Demographics:Ethnicity</v>
      </c>
      <c r="B389" s="1" t="str">
        <f>_xlfn.XLOOKUP(tblRequirementMeasureXref[[#This Row],[dm_id]],tblDataRequirement[dm_id],tblDataRequirement[dm_phase])</f>
        <v>demand</v>
      </c>
      <c r="C389" s="1">
        <v>73</v>
      </c>
      <c r="D389" s="1">
        <v>100</v>
      </c>
      <c r="E389" s="1" t="s">
        <v>192</v>
      </c>
      <c r="G389" s="1"/>
      <c r="H389" s="62" t="str">
        <f>_xlfn.XLOOKUP(tblRequirementMeasureXref[[#This Row],[msr_id]],tblMeasure[msr_id],tblMeasure[msr_table])</f>
        <v>STS002a</v>
      </c>
      <c r="I389"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89" s="22" t="str">
        <f>_xlfn.XLOOKUP(tblRequirementMeasureXref[[#This Row],[msr_id]],tblMeasure[msr_id],tblMeasure[primary_dimensions])</f>
        <v>new sequels to ST-max, access route, repeat requests, carer support</v>
      </c>
      <c r="K389" s="22" t="str">
        <f>_xlfn.XLOOKUP(tblRequirementMeasureXref[[#This Row],[msr_id]],tblMeasure[msr_id],tblMeasure[msr_min_geo_resolution])</f>
        <v>LA</v>
      </c>
      <c r="L389" s="22" t="str">
        <f>_xlfn.XLOOKUP(tblRequirementMeasureXref[[#This Row],[msr_id]],tblMeasure[msr_id],tblMeasure[src_name])</f>
        <v>SALT</v>
      </c>
    </row>
    <row r="390" spans="1:12" x14ac:dyDescent="0.15">
      <c r="A390" s="1" t="str">
        <f>_xlfn.XLOOKUP(tblRequirementMeasureXref[[#This Row],[dm_id]],tblDataRequirement[dm_id],tblDataRequirement[domain_sub_requirement])</f>
        <v>Service:Support setting:Residential care home</v>
      </c>
      <c r="B390" s="1" t="str">
        <f>_xlfn.XLOOKUP(tblRequirementMeasureXref[[#This Row],[dm_id]],tblDataRequirement[dm_id],tblDataRequirement[dm_phase])</f>
        <v>operate</v>
      </c>
      <c r="C390" s="1">
        <v>41</v>
      </c>
      <c r="D390" s="1">
        <v>100</v>
      </c>
      <c r="E390" s="1" t="s">
        <v>192</v>
      </c>
      <c r="G390" s="1"/>
      <c r="H390" s="62" t="str">
        <f>_xlfn.XLOOKUP(tblRequirementMeasureXref[[#This Row],[msr_id]],tblMeasure[msr_id],tblMeasure[msr_table])</f>
        <v>STS002a</v>
      </c>
      <c r="I390"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90" s="22" t="str">
        <f>_xlfn.XLOOKUP(tblRequirementMeasureXref[[#This Row],[msr_id]],tblMeasure[msr_id],tblMeasure[primary_dimensions])</f>
        <v>new sequels to ST-max, access route, repeat requests, carer support</v>
      </c>
      <c r="K390" s="22" t="str">
        <f>_xlfn.XLOOKUP(tblRequirementMeasureXref[[#This Row],[msr_id]],tblMeasure[msr_id],tblMeasure[msr_min_geo_resolution])</f>
        <v>LA</v>
      </c>
      <c r="L390" s="22" t="str">
        <f>_xlfn.XLOOKUP(tblRequirementMeasureXref[[#This Row],[msr_id]],tblMeasure[msr_id],tblMeasure[src_name])</f>
        <v>SALT</v>
      </c>
    </row>
    <row r="391" spans="1:12" x14ac:dyDescent="0.15">
      <c r="A391" s="1" t="str">
        <f>_xlfn.XLOOKUP(tblRequirementMeasureXref[[#This Row],[dm_id]],tblDataRequirement[dm_id],tblDataRequirement[domain_sub_requirement])</f>
        <v>Service:Support setting:Nursing home</v>
      </c>
      <c r="B391" s="1" t="str">
        <f>_xlfn.XLOOKUP(tblRequirementMeasureXref[[#This Row],[dm_id]],tblDataRequirement[dm_id],tblDataRequirement[dm_phase])</f>
        <v>operate</v>
      </c>
      <c r="C391" s="1">
        <v>42</v>
      </c>
      <c r="D391" s="1">
        <v>100</v>
      </c>
      <c r="E391" s="1" t="s">
        <v>192</v>
      </c>
      <c r="G391" s="1"/>
      <c r="H391" s="62" t="str">
        <f>_xlfn.XLOOKUP(tblRequirementMeasureXref[[#This Row],[msr_id]],tblMeasure[msr_id],tblMeasure[msr_table])</f>
        <v>STS002a</v>
      </c>
      <c r="I391"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91" s="22" t="str">
        <f>_xlfn.XLOOKUP(tblRequirementMeasureXref[[#This Row],[msr_id]],tblMeasure[msr_id],tblMeasure[primary_dimensions])</f>
        <v>new sequels to ST-max, access route, repeat requests, carer support</v>
      </c>
      <c r="K391" s="22" t="str">
        <f>_xlfn.XLOOKUP(tblRequirementMeasureXref[[#This Row],[msr_id]],tblMeasure[msr_id],tblMeasure[msr_min_geo_resolution])</f>
        <v>LA</v>
      </c>
      <c r="L391" s="22" t="str">
        <f>_xlfn.XLOOKUP(tblRequirementMeasureXref[[#This Row],[msr_id]],tblMeasure[msr_id],tblMeasure[src_name])</f>
        <v>SALT</v>
      </c>
    </row>
    <row r="392" spans="1:12" x14ac:dyDescent="0.15">
      <c r="A392" s="1" t="str">
        <f>_xlfn.XLOOKUP(tblRequirementMeasureXref[[#This Row],[dm_id]],tblDataRequirement[dm_id],tblDataRequirement[domain_sub_requirement])</f>
        <v>Service:Support setting:Community</v>
      </c>
      <c r="B392" s="1" t="str">
        <f>_xlfn.XLOOKUP(tblRequirementMeasureXref[[#This Row],[dm_id]],tblDataRequirement[dm_id],tblDataRequirement[dm_phase])</f>
        <v>operate</v>
      </c>
      <c r="C392" s="1">
        <v>43</v>
      </c>
      <c r="D392" s="1">
        <v>100</v>
      </c>
      <c r="E392" s="1" t="s">
        <v>192</v>
      </c>
      <c r="G392" s="1"/>
      <c r="H392" s="62" t="str">
        <f>_xlfn.XLOOKUP(tblRequirementMeasureXref[[#This Row],[msr_id]],tblMeasure[msr_id],tblMeasure[msr_table])</f>
        <v>STS002a</v>
      </c>
      <c r="I392"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92" s="22" t="str">
        <f>_xlfn.XLOOKUP(tblRequirementMeasureXref[[#This Row],[msr_id]],tblMeasure[msr_id],tblMeasure[primary_dimensions])</f>
        <v>new sequels to ST-max, access route, repeat requests, carer support</v>
      </c>
      <c r="K392" s="22" t="str">
        <f>_xlfn.XLOOKUP(tblRequirementMeasureXref[[#This Row],[msr_id]],tblMeasure[msr_id],tblMeasure[msr_min_geo_resolution])</f>
        <v>LA</v>
      </c>
      <c r="L392" s="22" t="str">
        <f>_xlfn.XLOOKUP(tblRequirementMeasureXref[[#This Row],[msr_id]],tblMeasure[msr_id],tblMeasure[src_name])</f>
        <v>SALT</v>
      </c>
    </row>
    <row r="393" spans="1:12" x14ac:dyDescent="0.15">
      <c r="A393" s="1" t="str">
        <f>_xlfn.XLOOKUP(tblRequirementMeasureXref[[#This Row],[dm_id]],tblDataRequirement[dm_id],tblDataRequirement[domain_sub_requirement])</f>
        <v>Service:Access:Eligible for local authority funded care</v>
      </c>
      <c r="B393" s="1" t="str">
        <f>_xlfn.XLOOKUP(tblRequirementMeasureXref[[#This Row],[dm_id]],tblDataRequirement[dm_id],tblDataRequirement[dm_phase])</f>
        <v>demand</v>
      </c>
      <c r="C393" s="1">
        <v>28</v>
      </c>
      <c r="D393" s="1">
        <v>100</v>
      </c>
      <c r="E393" s="1" t="s">
        <v>192</v>
      </c>
      <c r="G393" s="1"/>
      <c r="H393" s="62" t="str">
        <f>_xlfn.XLOOKUP(tblRequirementMeasureXref[[#This Row],[msr_id]],tblMeasure[msr_id],tblMeasure[msr_table])</f>
        <v>STS002a</v>
      </c>
      <c r="I393"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93" s="22" t="str">
        <f>_xlfn.XLOOKUP(tblRequirementMeasureXref[[#This Row],[msr_id]],tblMeasure[msr_id],tblMeasure[primary_dimensions])</f>
        <v>new sequels to ST-max, access route, repeat requests, carer support</v>
      </c>
      <c r="K393" s="22" t="str">
        <f>_xlfn.XLOOKUP(tblRequirementMeasureXref[[#This Row],[msr_id]],tblMeasure[msr_id],tblMeasure[msr_min_geo_resolution])</f>
        <v>LA</v>
      </c>
      <c r="L393" s="22" t="str">
        <f>_xlfn.XLOOKUP(tblRequirementMeasureXref[[#This Row],[msr_id]],tblMeasure[msr_id],tblMeasure[src_name])</f>
        <v>SALT</v>
      </c>
    </row>
    <row r="394" spans="1:12" x14ac:dyDescent="0.15">
      <c r="A394" s="1" t="str">
        <f>_xlfn.XLOOKUP(tblRequirementMeasureXref[[#This Row],[dm_id]],tblDataRequirement[dm_id],tblDataRequirement[domain_sub_requirement])</f>
        <v>Service:Access:Eligible for NHS-funded care</v>
      </c>
      <c r="B394" s="1" t="str">
        <f>_xlfn.XLOOKUP(tblRequirementMeasureXref[[#This Row],[dm_id]],tblDataRequirement[dm_id],tblDataRequirement[dm_phase])</f>
        <v>demand</v>
      </c>
      <c r="C394" s="1">
        <v>30</v>
      </c>
      <c r="D394" s="1">
        <v>100</v>
      </c>
      <c r="E394" s="1" t="s">
        <v>192</v>
      </c>
      <c r="G394" s="1"/>
      <c r="H394" s="62" t="str">
        <f>_xlfn.XLOOKUP(tblRequirementMeasureXref[[#This Row],[msr_id]],tblMeasure[msr_id],tblMeasure[msr_table])</f>
        <v>STS002a</v>
      </c>
      <c r="I394"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94" s="22" t="str">
        <f>_xlfn.XLOOKUP(tblRequirementMeasureXref[[#This Row],[msr_id]],tblMeasure[msr_id],tblMeasure[primary_dimensions])</f>
        <v>new sequels to ST-max, access route, repeat requests, carer support</v>
      </c>
      <c r="K394" s="22" t="str">
        <f>_xlfn.XLOOKUP(tblRequirementMeasureXref[[#This Row],[msr_id]],tblMeasure[msr_id],tblMeasure[msr_min_geo_resolution])</f>
        <v>LA</v>
      </c>
      <c r="L394" s="22" t="str">
        <f>_xlfn.XLOOKUP(tblRequirementMeasureXref[[#This Row],[msr_id]],tblMeasure[msr_id],tblMeasure[src_name])</f>
        <v>SALT</v>
      </c>
    </row>
    <row r="395" spans="1:12" x14ac:dyDescent="0.15">
      <c r="A395" s="1" t="str">
        <f>_xlfn.XLOOKUP(tblRequirementMeasureXref[[#This Row],[dm_id]],tblDataRequirement[dm_id],tblDataRequirement[domain_sub_requirement])</f>
        <v>Service:Access:Requests for local authority-funded care</v>
      </c>
      <c r="B395" s="1" t="str">
        <f>_xlfn.XLOOKUP(tblRequirementMeasureXref[[#This Row],[dm_id]],tblDataRequirement[dm_id],tblDataRequirement[dm_phase])</f>
        <v>demand</v>
      </c>
      <c r="C395" s="1">
        <v>27</v>
      </c>
      <c r="D395" s="1">
        <v>100</v>
      </c>
      <c r="E395" s="1" t="s">
        <v>192</v>
      </c>
      <c r="G395" s="1"/>
      <c r="H395" s="62" t="str">
        <f>_xlfn.XLOOKUP(tblRequirementMeasureXref[[#This Row],[msr_id]],tblMeasure[msr_id],tblMeasure[msr_table])</f>
        <v>STS002a</v>
      </c>
      <c r="I395"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95" s="22" t="str">
        <f>_xlfn.XLOOKUP(tblRequirementMeasureXref[[#This Row],[msr_id]],tblMeasure[msr_id],tblMeasure[primary_dimensions])</f>
        <v>new sequels to ST-max, access route, repeat requests, carer support</v>
      </c>
      <c r="K395" s="22" t="str">
        <f>_xlfn.XLOOKUP(tblRequirementMeasureXref[[#This Row],[msr_id]],tblMeasure[msr_id],tblMeasure[msr_min_geo_resolution])</f>
        <v>LA</v>
      </c>
      <c r="L395" s="22" t="str">
        <f>_xlfn.XLOOKUP(tblRequirementMeasureXref[[#This Row],[msr_id]],tblMeasure[msr_id],tblMeasure[src_name])</f>
        <v>SALT</v>
      </c>
    </row>
    <row r="396" spans="1:12" x14ac:dyDescent="0.15">
      <c r="A396" s="1" t="str">
        <f>_xlfn.XLOOKUP(tblRequirementMeasureXref[[#This Row],[dm_id]],tblDataRequirement[dm_id],tblDataRequirement[domain_sub_requirement])</f>
        <v>Service:Access:Requests for NHS-funded care</v>
      </c>
      <c r="B396" s="1" t="str">
        <f>_xlfn.XLOOKUP(tblRequirementMeasureXref[[#This Row],[dm_id]],tblDataRequirement[dm_id],tblDataRequirement[dm_phase])</f>
        <v>demand</v>
      </c>
      <c r="C396" s="1">
        <v>29</v>
      </c>
      <c r="D396" s="1">
        <v>100</v>
      </c>
      <c r="E396" s="1" t="s">
        <v>192</v>
      </c>
      <c r="G396" s="1"/>
      <c r="H396" s="62" t="str">
        <f>_xlfn.XLOOKUP(tblRequirementMeasureXref[[#This Row],[msr_id]],tblMeasure[msr_id],tblMeasure[msr_table])</f>
        <v>STS002a</v>
      </c>
      <c r="I396"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96" s="22" t="str">
        <f>_xlfn.XLOOKUP(tblRequirementMeasureXref[[#This Row],[msr_id]],tblMeasure[msr_id],tblMeasure[primary_dimensions])</f>
        <v>new sequels to ST-max, access route, repeat requests, carer support</v>
      </c>
      <c r="K396" s="22" t="str">
        <f>_xlfn.XLOOKUP(tblRequirementMeasureXref[[#This Row],[msr_id]],tblMeasure[msr_id],tblMeasure[msr_min_geo_resolution])</f>
        <v>LA</v>
      </c>
      <c r="L396" s="22" t="str">
        <f>_xlfn.XLOOKUP(tblRequirementMeasureXref[[#This Row],[msr_id]],tblMeasure[msr_id],tblMeasure[src_name])</f>
        <v>SALT</v>
      </c>
    </row>
    <row r="397" spans="1:12" x14ac:dyDescent="0.15">
      <c r="A397" s="1" t="str">
        <f>_xlfn.XLOOKUP(tblRequirementMeasureXref[[#This Row],[dm_id]],tblDataRequirement[dm_id],tblDataRequirement[domain_sub_requirement])</f>
        <v>Service:Integration:NHS secondary care</v>
      </c>
      <c r="B397" s="1" t="str">
        <f>_xlfn.XLOOKUP(tblRequirementMeasureXref[[#This Row],[dm_id]],tblDataRequirement[dm_id],tblDataRequirement[dm_phase])</f>
        <v>operate</v>
      </c>
      <c r="C397" s="1">
        <v>37</v>
      </c>
      <c r="D397" s="1">
        <v>100</v>
      </c>
      <c r="E397" s="1" t="s">
        <v>192</v>
      </c>
      <c r="G397" s="1"/>
      <c r="H397" s="62" t="str">
        <f>_xlfn.XLOOKUP(tblRequirementMeasureXref[[#This Row],[msr_id]],tblMeasure[msr_id],tblMeasure[msr_table])</f>
        <v>STS002a</v>
      </c>
      <c r="I397" s="22" t="str">
        <f>_xlfn.XLOOKUP(tblRequirementMeasureXref[[#This Row],[msr_id]],tblMeasure[msr_id],tblMeasure[msr_name])</f>
        <v>Short Term Support: Of NEW clients where the sequel to a request for support was ‘Short Term Support to Maximise Independence’ a breakdown of what followed the period of short term support</v>
      </c>
      <c r="J397" s="22" t="str">
        <f>_xlfn.XLOOKUP(tblRequirementMeasureXref[[#This Row],[msr_id]],tblMeasure[msr_id],tblMeasure[primary_dimensions])</f>
        <v>new sequels to ST-max, access route, repeat requests, carer support</v>
      </c>
      <c r="K397" s="22" t="str">
        <f>_xlfn.XLOOKUP(tblRequirementMeasureXref[[#This Row],[msr_id]],tblMeasure[msr_id],tblMeasure[msr_min_geo_resolution])</f>
        <v>LA</v>
      </c>
      <c r="L397" s="22" t="str">
        <f>_xlfn.XLOOKUP(tblRequirementMeasureXref[[#This Row],[msr_id]],tblMeasure[msr_id],tblMeasure[src_name])</f>
        <v>SALT</v>
      </c>
    </row>
    <row r="398" spans="1:12" x14ac:dyDescent="0.15">
      <c r="A398" s="1" t="str">
        <f>_xlfn.XLOOKUP(tblRequirementMeasureXref[[#This Row],[dm_id]],tblDataRequirement[dm_id],tblDataRequirement[domain_sub_requirement])</f>
        <v>Service:Access:Access route</v>
      </c>
      <c r="B398" s="1" t="str">
        <f>_xlfn.XLOOKUP(tblRequirementMeasureXref[[#This Row],[dm_id]],tblDataRequirement[dm_id],tblDataRequirement[dm_phase])</f>
        <v>demand</v>
      </c>
      <c r="C398" s="1">
        <v>33</v>
      </c>
      <c r="D398" s="1">
        <v>101</v>
      </c>
      <c r="E398" s="1" t="s">
        <v>192</v>
      </c>
      <c r="G398" s="1"/>
      <c r="H398" s="62" t="str">
        <f>_xlfn.XLOOKUP(tblRequirementMeasureXref[[#This Row],[msr_id]],tblMeasure[msr_id],tblMeasure[msr_table])</f>
        <v>STS002b</v>
      </c>
      <c r="I398" s="22" t="str">
        <f>_xlfn.XLOOKUP(tblRequirementMeasureXref[[#This Row],[msr_id]],tblMeasure[msr_id],tblMeasure[msr_name])</f>
        <v>Short Term Support: Of EXISTING clients who have received ‘Short Term Support to Maximise Independence’ a breakdown of what followed the period of short term support</v>
      </c>
      <c r="J398" s="22" t="str">
        <f>_xlfn.XLOOKUP(tblRequirementMeasureXref[[#This Row],[msr_id]],tblMeasure[msr_id],tblMeasure[primary_dimensions])</f>
        <v>existing user sequels to ST-max, access route, repeat requests, carer support</v>
      </c>
      <c r="K398" s="22" t="str">
        <f>_xlfn.XLOOKUP(tblRequirementMeasureXref[[#This Row],[msr_id]],tblMeasure[msr_id],tblMeasure[msr_min_geo_resolution])</f>
        <v>LA</v>
      </c>
      <c r="L398" s="22" t="str">
        <f>_xlfn.XLOOKUP(tblRequirementMeasureXref[[#This Row],[msr_id]],tblMeasure[msr_id],tblMeasure[src_name])</f>
        <v>SALT</v>
      </c>
    </row>
    <row r="399" spans="1:12" x14ac:dyDescent="0.15">
      <c r="A399" s="1" t="str">
        <f>_xlfn.XLOOKUP(tblRequirementMeasureXref[[#This Row],[dm_id]],tblDataRequirement[dm_id],tblDataRequirement[domain_sub_requirement])</f>
        <v>Service:Access:Sequel to service</v>
      </c>
      <c r="B399" s="1" t="str">
        <f>_xlfn.XLOOKUP(tblRequirementMeasureXref[[#This Row],[dm_id]],tblDataRequirement[dm_id],tblDataRequirement[dm_phase])</f>
        <v>demand</v>
      </c>
      <c r="C399" s="1">
        <v>59</v>
      </c>
      <c r="D399" s="1">
        <v>101</v>
      </c>
      <c r="E399" s="1" t="s">
        <v>192</v>
      </c>
      <c r="G399" s="1"/>
      <c r="H399" s="62" t="str">
        <f>_xlfn.XLOOKUP(tblRequirementMeasureXref[[#This Row],[msr_id]],tblMeasure[msr_id],tblMeasure[msr_table])</f>
        <v>STS002b</v>
      </c>
      <c r="I399" s="22" t="str">
        <f>_xlfn.XLOOKUP(tblRequirementMeasureXref[[#This Row],[msr_id]],tblMeasure[msr_id],tblMeasure[msr_name])</f>
        <v>Short Term Support: Of EXISTING clients who have received ‘Short Term Support to Maximise Independence’ a breakdown of what followed the period of short term support</v>
      </c>
      <c r="J399" s="22" t="str">
        <f>_xlfn.XLOOKUP(tblRequirementMeasureXref[[#This Row],[msr_id]],tblMeasure[msr_id],tblMeasure[primary_dimensions])</f>
        <v>existing user sequels to ST-max, access route, repeat requests, carer support</v>
      </c>
      <c r="K399" s="22" t="str">
        <f>_xlfn.XLOOKUP(tblRequirementMeasureXref[[#This Row],[msr_id]],tblMeasure[msr_id],tblMeasure[msr_min_geo_resolution])</f>
        <v>LA</v>
      </c>
      <c r="L399" s="22" t="str">
        <f>_xlfn.XLOOKUP(tblRequirementMeasureXref[[#This Row],[msr_id]],tblMeasure[msr_id],tblMeasure[src_name])</f>
        <v>SALT</v>
      </c>
    </row>
    <row r="400" spans="1:12" x14ac:dyDescent="0.15">
      <c r="A400" s="1" t="str">
        <f>_xlfn.XLOOKUP(tblRequirementMeasureXref[[#This Row],[dm_id]],tblDataRequirement[dm_id],tblDataRequirement[domain_sub_requirement])</f>
        <v>Service:Support type:Reablement / ST-MAX</v>
      </c>
      <c r="B400" s="1" t="str">
        <f>_xlfn.XLOOKUP(tblRequirementMeasureXref[[#This Row],[dm_id]],tblDataRequirement[dm_id],tblDataRequirement[dm_phase])</f>
        <v>operate</v>
      </c>
      <c r="C400" s="1">
        <v>46</v>
      </c>
      <c r="D400" s="1">
        <v>101</v>
      </c>
      <c r="E400" s="1" t="s">
        <v>192</v>
      </c>
      <c r="G400" s="1"/>
      <c r="H400" s="62" t="str">
        <f>_xlfn.XLOOKUP(tblRequirementMeasureXref[[#This Row],[msr_id]],tblMeasure[msr_id],tblMeasure[msr_table])</f>
        <v>STS002b</v>
      </c>
      <c r="I400" s="22" t="str">
        <f>_xlfn.XLOOKUP(tblRequirementMeasureXref[[#This Row],[msr_id]],tblMeasure[msr_id],tblMeasure[msr_name])</f>
        <v>Short Term Support: Of EXISTING clients who have received ‘Short Term Support to Maximise Independence’ a breakdown of what followed the period of short term support</v>
      </c>
      <c r="J400" s="22" t="str">
        <f>_xlfn.XLOOKUP(tblRequirementMeasureXref[[#This Row],[msr_id]],tblMeasure[msr_id],tblMeasure[primary_dimensions])</f>
        <v>existing user sequels to ST-max, access route, repeat requests, carer support</v>
      </c>
      <c r="K400" s="22" t="str">
        <f>_xlfn.XLOOKUP(tblRequirementMeasureXref[[#This Row],[msr_id]],tblMeasure[msr_id],tblMeasure[msr_min_geo_resolution])</f>
        <v>LA</v>
      </c>
      <c r="L400" s="22" t="str">
        <f>_xlfn.XLOOKUP(tblRequirementMeasureXref[[#This Row],[msr_id]],tblMeasure[msr_id],tblMeasure[src_name])</f>
        <v>SALT</v>
      </c>
    </row>
    <row r="401" spans="1:12" x14ac:dyDescent="0.15">
      <c r="A401" s="1" t="str">
        <f>_xlfn.XLOOKUP(tblRequirementMeasureXref[[#This Row],[dm_id]],tblDataRequirement[dm_id],tblDataRequirement[domain_sub_requirement])</f>
        <v>Service:Support type:Long-term</v>
      </c>
      <c r="B401" s="1" t="str">
        <f>_xlfn.XLOOKUP(tblRequirementMeasureXref[[#This Row],[dm_id]],tblDataRequirement[dm_id],tblDataRequirement[dm_phase])</f>
        <v>operate</v>
      </c>
      <c r="C401" s="1">
        <v>45</v>
      </c>
      <c r="D401" s="1">
        <v>101</v>
      </c>
      <c r="E401" s="1" t="s">
        <v>192</v>
      </c>
      <c r="G401" s="1"/>
      <c r="H401" s="62" t="str">
        <f>_xlfn.XLOOKUP(tblRequirementMeasureXref[[#This Row],[msr_id]],tblMeasure[msr_id],tblMeasure[msr_table])</f>
        <v>STS002b</v>
      </c>
      <c r="I401" s="22" t="str">
        <f>_xlfn.XLOOKUP(tblRequirementMeasureXref[[#This Row],[msr_id]],tblMeasure[msr_id],tblMeasure[msr_name])</f>
        <v>Short Term Support: Of EXISTING clients who have received ‘Short Term Support to Maximise Independence’ a breakdown of what followed the period of short term support</v>
      </c>
      <c r="J401" s="22" t="str">
        <f>_xlfn.XLOOKUP(tblRequirementMeasureXref[[#This Row],[msr_id]],tblMeasure[msr_id],tblMeasure[primary_dimensions])</f>
        <v>existing user sequels to ST-max, access route, repeat requests, carer support</v>
      </c>
      <c r="K401" s="22" t="str">
        <f>_xlfn.XLOOKUP(tblRequirementMeasureXref[[#This Row],[msr_id]],tblMeasure[msr_id],tblMeasure[msr_min_geo_resolution])</f>
        <v>LA</v>
      </c>
      <c r="L401" s="22" t="str">
        <f>_xlfn.XLOOKUP(tblRequirementMeasureXref[[#This Row],[msr_id]],tblMeasure[msr_id],tblMeasure[src_name])</f>
        <v>SALT</v>
      </c>
    </row>
    <row r="402" spans="1:12" x14ac:dyDescent="0.15">
      <c r="A402" s="1" t="str">
        <f>_xlfn.XLOOKUP(tblRequirementMeasureXref[[#This Row],[dm_id]],tblDataRequirement[dm_id],tblDataRequirement[domain_sub_requirement])</f>
        <v>Users:Care need:Support reason</v>
      </c>
      <c r="B402" s="1" t="str">
        <f>_xlfn.XLOOKUP(tblRequirementMeasureXref[[#This Row],[dm_id]],tblDataRequirement[dm_id],tblDataRequirement[dm_phase])</f>
        <v>demand</v>
      </c>
      <c r="C402" s="1">
        <v>56</v>
      </c>
      <c r="D402" s="1">
        <v>101</v>
      </c>
      <c r="E402" s="1" t="s">
        <v>192</v>
      </c>
      <c r="G402" s="1"/>
      <c r="H402" s="62" t="str">
        <f>_xlfn.XLOOKUP(tblRequirementMeasureXref[[#This Row],[msr_id]],tblMeasure[msr_id],tblMeasure[msr_table])</f>
        <v>STS002b</v>
      </c>
      <c r="I402" s="22" t="str">
        <f>_xlfn.XLOOKUP(tblRequirementMeasureXref[[#This Row],[msr_id]],tblMeasure[msr_id],tblMeasure[msr_name])</f>
        <v>Short Term Support: Of EXISTING clients who have received ‘Short Term Support to Maximise Independence’ a breakdown of what followed the period of short term support</v>
      </c>
      <c r="J402" s="22" t="str">
        <f>_xlfn.XLOOKUP(tblRequirementMeasureXref[[#This Row],[msr_id]],tblMeasure[msr_id],tblMeasure[primary_dimensions])</f>
        <v>existing user sequels to ST-max, access route, repeat requests, carer support</v>
      </c>
      <c r="K402" s="22" t="str">
        <f>_xlfn.XLOOKUP(tblRequirementMeasureXref[[#This Row],[msr_id]],tblMeasure[msr_id],tblMeasure[msr_min_geo_resolution])</f>
        <v>LA</v>
      </c>
      <c r="L402" s="22" t="str">
        <f>_xlfn.XLOOKUP(tblRequirementMeasureXref[[#This Row],[msr_id]],tblMeasure[msr_id],tblMeasure[src_name])</f>
        <v>SALT</v>
      </c>
    </row>
    <row r="403" spans="1:12" x14ac:dyDescent="0.15">
      <c r="A403" s="1" t="str">
        <f>_xlfn.XLOOKUP(tblRequirementMeasureXref[[#This Row],[dm_id]],tblDataRequirement[dm_id],tblDataRequirement[domain_sub_requirement])</f>
        <v>Users:Demographics:Age</v>
      </c>
      <c r="B403" s="1" t="str">
        <f>_xlfn.XLOOKUP(tblRequirementMeasureXref[[#This Row],[dm_id]],tblDataRequirement[dm_id],tblDataRequirement[dm_phase])</f>
        <v>demand</v>
      </c>
      <c r="C403" s="1">
        <v>51</v>
      </c>
      <c r="D403" s="1">
        <v>101</v>
      </c>
      <c r="E403" s="1" t="s">
        <v>192</v>
      </c>
      <c r="G403" s="1"/>
      <c r="H403" s="62" t="str">
        <f>_xlfn.XLOOKUP(tblRequirementMeasureXref[[#This Row],[msr_id]],tblMeasure[msr_id],tblMeasure[msr_table])</f>
        <v>STS002b</v>
      </c>
      <c r="I403" s="22" t="str">
        <f>_xlfn.XLOOKUP(tblRequirementMeasureXref[[#This Row],[msr_id]],tblMeasure[msr_id],tblMeasure[msr_name])</f>
        <v>Short Term Support: Of EXISTING clients who have received ‘Short Term Support to Maximise Independence’ a breakdown of what followed the period of short term support</v>
      </c>
      <c r="J403" s="22" t="str">
        <f>_xlfn.XLOOKUP(tblRequirementMeasureXref[[#This Row],[msr_id]],tblMeasure[msr_id],tblMeasure[primary_dimensions])</f>
        <v>existing user sequels to ST-max, access route, repeat requests, carer support</v>
      </c>
      <c r="K403" s="22" t="str">
        <f>_xlfn.XLOOKUP(tblRequirementMeasureXref[[#This Row],[msr_id]],tblMeasure[msr_id],tblMeasure[msr_min_geo_resolution])</f>
        <v>LA</v>
      </c>
      <c r="L403" s="22" t="str">
        <f>_xlfn.XLOOKUP(tblRequirementMeasureXref[[#This Row],[msr_id]],tblMeasure[msr_id],tblMeasure[src_name])</f>
        <v>SALT</v>
      </c>
    </row>
    <row r="404" spans="1:12" x14ac:dyDescent="0.15">
      <c r="A404" s="1" t="str">
        <f>_xlfn.XLOOKUP(tblRequirementMeasureXref[[#This Row],[dm_id]],tblDataRequirement[dm_id],tblDataRequirement[domain_sub_requirement])</f>
        <v>Unpaid Carers:Workforce:Workforce</v>
      </c>
      <c r="B404" s="1" t="str">
        <f>_xlfn.XLOOKUP(tblRequirementMeasureXref[[#This Row],[dm_id]],tblDataRequirement[dm_id],tblDataRequirement[dm_phase])</f>
        <v>supply</v>
      </c>
      <c r="C404" s="1">
        <v>19</v>
      </c>
      <c r="D404" s="1">
        <v>101</v>
      </c>
      <c r="E404" s="1" t="s">
        <v>192</v>
      </c>
      <c r="G404" s="1"/>
      <c r="H404" s="62" t="str">
        <f>_xlfn.XLOOKUP(tblRequirementMeasureXref[[#This Row],[msr_id]],tblMeasure[msr_id],tblMeasure[msr_table])</f>
        <v>STS002b</v>
      </c>
      <c r="I404" s="22" t="str">
        <f>_xlfn.XLOOKUP(tblRequirementMeasureXref[[#This Row],[msr_id]],tblMeasure[msr_id],tblMeasure[msr_name])</f>
        <v>Short Term Support: Of EXISTING clients who have received ‘Short Term Support to Maximise Independence’ a breakdown of what followed the period of short term support</v>
      </c>
      <c r="J404" s="22" t="str">
        <f>_xlfn.XLOOKUP(tblRequirementMeasureXref[[#This Row],[msr_id]],tblMeasure[msr_id],tblMeasure[primary_dimensions])</f>
        <v>existing user sequels to ST-max, access route, repeat requests, carer support</v>
      </c>
      <c r="K404" s="22" t="str">
        <f>_xlfn.XLOOKUP(tblRequirementMeasureXref[[#This Row],[msr_id]],tblMeasure[msr_id],tblMeasure[msr_min_geo_resolution])</f>
        <v>LA</v>
      </c>
      <c r="L404" s="22" t="str">
        <f>_xlfn.XLOOKUP(tblRequirementMeasureXref[[#This Row],[msr_id]],tblMeasure[msr_id],tblMeasure[src_name])</f>
        <v>SALT</v>
      </c>
    </row>
    <row r="405" spans="1:12" x14ac:dyDescent="0.15">
      <c r="A405" s="1" t="str">
        <f>_xlfn.XLOOKUP(tblRequirementMeasureXref[[#This Row],[dm_id]],tblDataRequirement[dm_id],tblDataRequirement[domain_sub_requirement])</f>
        <v>Service:Support setting:Residential care home</v>
      </c>
      <c r="B405" s="1" t="str">
        <f>_xlfn.XLOOKUP(tblRequirementMeasureXref[[#This Row],[dm_id]],tblDataRequirement[dm_id],tblDataRequirement[dm_phase])</f>
        <v>operate</v>
      </c>
      <c r="C405" s="1">
        <v>41</v>
      </c>
      <c r="D405" s="1">
        <v>101</v>
      </c>
      <c r="E405" s="1" t="s">
        <v>192</v>
      </c>
      <c r="G405" s="1"/>
      <c r="H405" s="62" t="str">
        <f>_xlfn.XLOOKUP(tblRequirementMeasureXref[[#This Row],[msr_id]],tblMeasure[msr_id],tblMeasure[msr_table])</f>
        <v>STS002b</v>
      </c>
      <c r="I405" s="22" t="str">
        <f>_xlfn.XLOOKUP(tblRequirementMeasureXref[[#This Row],[msr_id]],tblMeasure[msr_id],tblMeasure[msr_name])</f>
        <v>Short Term Support: Of EXISTING clients who have received ‘Short Term Support to Maximise Independence’ a breakdown of what followed the period of short term support</v>
      </c>
      <c r="J405" s="22" t="str">
        <f>_xlfn.XLOOKUP(tblRequirementMeasureXref[[#This Row],[msr_id]],tblMeasure[msr_id],tblMeasure[primary_dimensions])</f>
        <v>existing user sequels to ST-max, access route, repeat requests, carer support</v>
      </c>
      <c r="K405" s="22" t="str">
        <f>_xlfn.XLOOKUP(tblRequirementMeasureXref[[#This Row],[msr_id]],tblMeasure[msr_id],tblMeasure[msr_min_geo_resolution])</f>
        <v>LA</v>
      </c>
      <c r="L405" s="22" t="str">
        <f>_xlfn.XLOOKUP(tblRequirementMeasureXref[[#This Row],[msr_id]],tblMeasure[msr_id],tblMeasure[src_name])</f>
        <v>SALT</v>
      </c>
    </row>
    <row r="406" spans="1:12" x14ac:dyDescent="0.15">
      <c r="A406" s="1" t="str">
        <f>_xlfn.XLOOKUP(tblRequirementMeasureXref[[#This Row],[dm_id]],tblDataRequirement[dm_id],tblDataRequirement[domain_sub_requirement])</f>
        <v>Service:Support setting:Nursing home</v>
      </c>
      <c r="B406" s="1" t="str">
        <f>_xlfn.XLOOKUP(tblRequirementMeasureXref[[#This Row],[dm_id]],tblDataRequirement[dm_id],tblDataRequirement[dm_phase])</f>
        <v>operate</v>
      </c>
      <c r="C406" s="1">
        <v>42</v>
      </c>
      <c r="D406" s="1">
        <v>101</v>
      </c>
      <c r="E406" s="1" t="s">
        <v>192</v>
      </c>
      <c r="G406" s="1"/>
      <c r="H406" s="62" t="str">
        <f>_xlfn.XLOOKUP(tblRequirementMeasureXref[[#This Row],[msr_id]],tblMeasure[msr_id],tblMeasure[msr_table])</f>
        <v>STS002b</v>
      </c>
      <c r="I406" s="22" t="str">
        <f>_xlfn.XLOOKUP(tblRequirementMeasureXref[[#This Row],[msr_id]],tblMeasure[msr_id],tblMeasure[msr_name])</f>
        <v>Short Term Support: Of EXISTING clients who have received ‘Short Term Support to Maximise Independence’ a breakdown of what followed the period of short term support</v>
      </c>
      <c r="J406" s="22" t="str">
        <f>_xlfn.XLOOKUP(tblRequirementMeasureXref[[#This Row],[msr_id]],tblMeasure[msr_id],tblMeasure[primary_dimensions])</f>
        <v>existing user sequels to ST-max, access route, repeat requests, carer support</v>
      </c>
      <c r="K406" s="22" t="str">
        <f>_xlfn.XLOOKUP(tblRequirementMeasureXref[[#This Row],[msr_id]],tblMeasure[msr_id],tblMeasure[msr_min_geo_resolution])</f>
        <v>LA</v>
      </c>
      <c r="L406" s="22" t="str">
        <f>_xlfn.XLOOKUP(tblRequirementMeasureXref[[#This Row],[msr_id]],tblMeasure[msr_id],tblMeasure[src_name])</f>
        <v>SALT</v>
      </c>
    </row>
    <row r="407" spans="1:12" x14ac:dyDescent="0.15">
      <c r="A407" s="1" t="str">
        <f>_xlfn.XLOOKUP(tblRequirementMeasureXref[[#This Row],[dm_id]],tblDataRequirement[dm_id],tblDataRequirement[domain_sub_requirement])</f>
        <v>Service:Support setting:Community</v>
      </c>
      <c r="B407" s="1" t="str">
        <f>_xlfn.XLOOKUP(tblRequirementMeasureXref[[#This Row],[dm_id]],tblDataRequirement[dm_id],tblDataRequirement[dm_phase])</f>
        <v>operate</v>
      </c>
      <c r="C407" s="1">
        <v>43</v>
      </c>
      <c r="D407" s="1">
        <v>101</v>
      </c>
      <c r="E407" s="1" t="s">
        <v>192</v>
      </c>
      <c r="G407" s="1"/>
      <c r="H407" s="62" t="str">
        <f>_xlfn.XLOOKUP(tblRequirementMeasureXref[[#This Row],[msr_id]],tblMeasure[msr_id],tblMeasure[msr_table])</f>
        <v>STS002b</v>
      </c>
      <c r="I407" s="22" t="str">
        <f>_xlfn.XLOOKUP(tblRequirementMeasureXref[[#This Row],[msr_id]],tblMeasure[msr_id],tblMeasure[msr_name])</f>
        <v>Short Term Support: Of EXISTING clients who have received ‘Short Term Support to Maximise Independence’ a breakdown of what followed the period of short term support</v>
      </c>
      <c r="J407" s="22" t="str">
        <f>_xlfn.XLOOKUP(tblRequirementMeasureXref[[#This Row],[msr_id]],tblMeasure[msr_id],tblMeasure[primary_dimensions])</f>
        <v>existing user sequels to ST-max, access route, repeat requests, carer support</v>
      </c>
      <c r="K407" s="22" t="str">
        <f>_xlfn.XLOOKUP(tblRequirementMeasureXref[[#This Row],[msr_id]],tblMeasure[msr_id],tblMeasure[msr_min_geo_resolution])</f>
        <v>LA</v>
      </c>
      <c r="L407" s="22" t="str">
        <f>_xlfn.XLOOKUP(tblRequirementMeasureXref[[#This Row],[msr_id]],tblMeasure[msr_id],tblMeasure[src_name])</f>
        <v>SALT</v>
      </c>
    </row>
    <row r="408" spans="1:12" x14ac:dyDescent="0.15">
      <c r="A408" s="1" t="str">
        <f>_xlfn.XLOOKUP(tblRequirementMeasureXref[[#This Row],[dm_id]],tblDataRequirement[dm_id],tblDataRequirement[domain_sub_requirement])</f>
        <v>Service:Access:Eligible for local authority funded care</v>
      </c>
      <c r="B408" s="1" t="str">
        <f>_xlfn.XLOOKUP(tblRequirementMeasureXref[[#This Row],[dm_id]],tblDataRequirement[dm_id],tblDataRequirement[dm_phase])</f>
        <v>demand</v>
      </c>
      <c r="C408" s="1">
        <v>28</v>
      </c>
      <c r="D408" s="1">
        <v>101</v>
      </c>
      <c r="E408" s="1" t="s">
        <v>192</v>
      </c>
      <c r="G408" s="1"/>
      <c r="H408" s="62" t="str">
        <f>_xlfn.XLOOKUP(tblRequirementMeasureXref[[#This Row],[msr_id]],tblMeasure[msr_id],tblMeasure[msr_table])</f>
        <v>STS002b</v>
      </c>
      <c r="I408" s="22" t="str">
        <f>_xlfn.XLOOKUP(tblRequirementMeasureXref[[#This Row],[msr_id]],tblMeasure[msr_id],tblMeasure[msr_name])</f>
        <v>Short Term Support: Of EXISTING clients who have received ‘Short Term Support to Maximise Independence’ a breakdown of what followed the period of short term support</v>
      </c>
      <c r="J408" s="22" t="str">
        <f>_xlfn.XLOOKUP(tblRequirementMeasureXref[[#This Row],[msr_id]],tblMeasure[msr_id],tblMeasure[primary_dimensions])</f>
        <v>existing user sequels to ST-max, access route, repeat requests, carer support</v>
      </c>
      <c r="K408" s="22" t="str">
        <f>_xlfn.XLOOKUP(tblRequirementMeasureXref[[#This Row],[msr_id]],tblMeasure[msr_id],tblMeasure[msr_min_geo_resolution])</f>
        <v>LA</v>
      </c>
      <c r="L408" s="22" t="str">
        <f>_xlfn.XLOOKUP(tblRequirementMeasureXref[[#This Row],[msr_id]],tblMeasure[msr_id],tblMeasure[src_name])</f>
        <v>SALT</v>
      </c>
    </row>
    <row r="409" spans="1:12" x14ac:dyDescent="0.15">
      <c r="A409" s="1" t="str">
        <f>_xlfn.XLOOKUP(tblRequirementMeasureXref[[#This Row],[dm_id]],tblDataRequirement[dm_id],tblDataRequirement[domain_sub_requirement])</f>
        <v>Service:Access:Eligible for NHS-funded care</v>
      </c>
      <c r="B409" s="1" t="str">
        <f>_xlfn.XLOOKUP(tblRequirementMeasureXref[[#This Row],[dm_id]],tblDataRequirement[dm_id],tblDataRequirement[dm_phase])</f>
        <v>demand</v>
      </c>
      <c r="C409" s="1">
        <v>30</v>
      </c>
      <c r="D409" s="1">
        <v>101</v>
      </c>
      <c r="E409" s="1" t="s">
        <v>192</v>
      </c>
      <c r="G409" s="1"/>
      <c r="H409" s="62" t="str">
        <f>_xlfn.XLOOKUP(tblRequirementMeasureXref[[#This Row],[msr_id]],tblMeasure[msr_id],tblMeasure[msr_table])</f>
        <v>STS002b</v>
      </c>
      <c r="I409" s="22" t="str">
        <f>_xlfn.XLOOKUP(tblRequirementMeasureXref[[#This Row],[msr_id]],tblMeasure[msr_id],tblMeasure[msr_name])</f>
        <v>Short Term Support: Of EXISTING clients who have received ‘Short Term Support to Maximise Independence’ a breakdown of what followed the period of short term support</v>
      </c>
      <c r="J409" s="22" t="str">
        <f>_xlfn.XLOOKUP(tblRequirementMeasureXref[[#This Row],[msr_id]],tblMeasure[msr_id],tblMeasure[primary_dimensions])</f>
        <v>existing user sequels to ST-max, access route, repeat requests, carer support</v>
      </c>
      <c r="K409" s="22" t="str">
        <f>_xlfn.XLOOKUP(tblRequirementMeasureXref[[#This Row],[msr_id]],tblMeasure[msr_id],tblMeasure[msr_min_geo_resolution])</f>
        <v>LA</v>
      </c>
      <c r="L409" s="22" t="str">
        <f>_xlfn.XLOOKUP(tblRequirementMeasureXref[[#This Row],[msr_id]],tblMeasure[msr_id],tblMeasure[src_name])</f>
        <v>SALT</v>
      </c>
    </row>
    <row r="410" spans="1:12" x14ac:dyDescent="0.15">
      <c r="A410" s="1" t="str">
        <f>_xlfn.XLOOKUP(tblRequirementMeasureXref[[#This Row],[dm_id]],tblDataRequirement[dm_id],tblDataRequirement[domain_sub_requirement])</f>
        <v>Service:Access:Requests for local authority-funded care</v>
      </c>
      <c r="B410" s="1" t="str">
        <f>_xlfn.XLOOKUP(tblRequirementMeasureXref[[#This Row],[dm_id]],tblDataRequirement[dm_id],tblDataRequirement[dm_phase])</f>
        <v>demand</v>
      </c>
      <c r="C410" s="1">
        <v>27</v>
      </c>
      <c r="D410" s="1">
        <v>101</v>
      </c>
      <c r="E410" s="1" t="s">
        <v>192</v>
      </c>
      <c r="G410" s="1"/>
      <c r="H410" s="62" t="str">
        <f>_xlfn.XLOOKUP(tblRequirementMeasureXref[[#This Row],[msr_id]],tblMeasure[msr_id],tblMeasure[msr_table])</f>
        <v>STS002b</v>
      </c>
      <c r="I410" s="22" t="str">
        <f>_xlfn.XLOOKUP(tblRequirementMeasureXref[[#This Row],[msr_id]],tblMeasure[msr_id],tblMeasure[msr_name])</f>
        <v>Short Term Support: Of EXISTING clients who have received ‘Short Term Support to Maximise Independence’ a breakdown of what followed the period of short term support</v>
      </c>
      <c r="J410" s="22" t="str">
        <f>_xlfn.XLOOKUP(tblRequirementMeasureXref[[#This Row],[msr_id]],tblMeasure[msr_id],tblMeasure[primary_dimensions])</f>
        <v>existing user sequels to ST-max, access route, repeat requests, carer support</v>
      </c>
      <c r="K410" s="22" t="str">
        <f>_xlfn.XLOOKUP(tblRequirementMeasureXref[[#This Row],[msr_id]],tblMeasure[msr_id],tblMeasure[msr_min_geo_resolution])</f>
        <v>LA</v>
      </c>
      <c r="L410" s="22" t="str">
        <f>_xlfn.XLOOKUP(tblRequirementMeasureXref[[#This Row],[msr_id]],tblMeasure[msr_id],tblMeasure[src_name])</f>
        <v>SALT</v>
      </c>
    </row>
    <row r="411" spans="1:12" x14ac:dyDescent="0.15">
      <c r="A411" s="1" t="str">
        <f>_xlfn.XLOOKUP(tblRequirementMeasureXref[[#This Row],[dm_id]],tblDataRequirement[dm_id],tblDataRequirement[domain_sub_requirement])</f>
        <v>Service:Access:Requests for NHS-funded care</v>
      </c>
      <c r="B411" s="1" t="str">
        <f>_xlfn.XLOOKUP(tblRequirementMeasureXref[[#This Row],[dm_id]],tblDataRequirement[dm_id],tblDataRequirement[dm_phase])</f>
        <v>demand</v>
      </c>
      <c r="C411" s="1">
        <v>29</v>
      </c>
      <c r="D411" s="1">
        <v>101</v>
      </c>
      <c r="E411" s="1" t="s">
        <v>192</v>
      </c>
      <c r="G411" s="1"/>
      <c r="H411" s="62" t="str">
        <f>_xlfn.XLOOKUP(tblRequirementMeasureXref[[#This Row],[msr_id]],tblMeasure[msr_id],tblMeasure[msr_table])</f>
        <v>STS002b</v>
      </c>
      <c r="I411" s="22" t="str">
        <f>_xlfn.XLOOKUP(tblRequirementMeasureXref[[#This Row],[msr_id]],tblMeasure[msr_id],tblMeasure[msr_name])</f>
        <v>Short Term Support: Of EXISTING clients who have received ‘Short Term Support to Maximise Independence’ a breakdown of what followed the period of short term support</v>
      </c>
      <c r="J411" s="22" t="str">
        <f>_xlfn.XLOOKUP(tblRequirementMeasureXref[[#This Row],[msr_id]],tblMeasure[msr_id],tblMeasure[primary_dimensions])</f>
        <v>existing user sequels to ST-max, access route, repeat requests, carer support</v>
      </c>
      <c r="K411" s="22" t="str">
        <f>_xlfn.XLOOKUP(tblRequirementMeasureXref[[#This Row],[msr_id]],tblMeasure[msr_id],tblMeasure[msr_min_geo_resolution])</f>
        <v>LA</v>
      </c>
      <c r="L411" s="22" t="str">
        <f>_xlfn.XLOOKUP(tblRequirementMeasureXref[[#This Row],[msr_id]],tblMeasure[msr_id],tblMeasure[src_name])</f>
        <v>SALT</v>
      </c>
    </row>
    <row r="412" spans="1:12" x14ac:dyDescent="0.15">
      <c r="A412" s="1" t="str">
        <f>_xlfn.XLOOKUP(tblRequirementMeasureXref[[#This Row],[dm_id]],tblDataRequirement[dm_id],tblDataRequirement[domain_sub_requirement])</f>
        <v>Service:Integration:NHS secondary care</v>
      </c>
      <c r="B412" s="1" t="str">
        <f>_xlfn.XLOOKUP(tblRequirementMeasureXref[[#This Row],[dm_id]],tblDataRequirement[dm_id],tblDataRequirement[dm_phase])</f>
        <v>operate</v>
      </c>
      <c r="C412" s="1">
        <v>37</v>
      </c>
      <c r="D412" s="1">
        <v>101</v>
      </c>
      <c r="E412" s="1" t="s">
        <v>192</v>
      </c>
      <c r="G412" s="1"/>
      <c r="H412" s="62" t="str">
        <f>_xlfn.XLOOKUP(tblRequirementMeasureXref[[#This Row],[msr_id]],tblMeasure[msr_id],tblMeasure[msr_table])</f>
        <v>STS002b</v>
      </c>
      <c r="I412" s="22" t="str">
        <f>_xlfn.XLOOKUP(tblRequirementMeasureXref[[#This Row],[msr_id]],tblMeasure[msr_id],tblMeasure[msr_name])</f>
        <v>Short Term Support: Of EXISTING clients who have received ‘Short Term Support to Maximise Independence’ a breakdown of what followed the period of short term support</v>
      </c>
      <c r="J412" s="22" t="str">
        <f>_xlfn.XLOOKUP(tblRequirementMeasureXref[[#This Row],[msr_id]],tblMeasure[msr_id],tblMeasure[primary_dimensions])</f>
        <v>existing user sequels to ST-max, access route, repeat requests, carer support</v>
      </c>
      <c r="K412" s="22" t="str">
        <f>_xlfn.XLOOKUP(tblRequirementMeasureXref[[#This Row],[msr_id]],tblMeasure[msr_id],tblMeasure[msr_min_geo_resolution])</f>
        <v>LA</v>
      </c>
      <c r="L412" s="22" t="str">
        <f>_xlfn.XLOOKUP(tblRequirementMeasureXref[[#This Row],[msr_id]],tblMeasure[msr_id],tblMeasure[src_name])</f>
        <v>SALT</v>
      </c>
    </row>
    <row r="413" spans="1:12" x14ac:dyDescent="0.15">
      <c r="A413" s="1" t="str">
        <f>_xlfn.XLOOKUP(tblRequirementMeasureXref[[#This Row],[dm_id]],tblDataRequirement[dm_id],tblDataRequirement[domain_sub_requirement])</f>
        <v>Users:Demographics:Age</v>
      </c>
      <c r="B413" s="1" t="str">
        <f>_xlfn.XLOOKUP(tblRequirementMeasureXref[[#This Row],[dm_id]],tblDataRequirement[dm_id],tblDataRequirement[dm_phase])</f>
        <v>demand</v>
      </c>
      <c r="C413" s="1">
        <v>51</v>
      </c>
      <c r="D413" s="1">
        <v>102</v>
      </c>
      <c r="E413" s="1" t="s">
        <v>192</v>
      </c>
      <c r="G413" s="1"/>
      <c r="H413" s="62" t="str">
        <f>_xlfn.XLOOKUP(tblRequirementMeasureXref[[#This Row],[msr_id]],tblMeasure[msr_id],tblMeasure[msr_table])</f>
        <v>STS004</v>
      </c>
      <c r="I413" s="22" t="str">
        <f>_xlfn.XLOOKUP(tblRequirementMeasureXref[[#This Row],[msr_id]],tblMeasure[msr_id],tblMeasure[msr_name])</f>
        <v>Short Term Support: Proportion of older people (aged 65 and over) who were still at home 91 days after discharge from hospital into reablement / rehabilitation services</v>
      </c>
      <c r="J413" s="22" t="str">
        <f>_xlfn.XLOOKUP(tblRequirementMeasureXref[[#This Row],[msr_id]],tblMeasure[msr_id],tblMeasure[primary_dimensions])</f>
        <v>reablement services, reablement stayed home</v>
      </c>
      <c r="K413" s="22" t="str">
        <f>_xlfn.XLOOKUP(tblRequirementMeasureXref[[#This Row],[msr_id]],tblMeasure[msr_id],tblMeasure[msr_min_geo_resolution])</f>
        <v>LA</v>
      </c>
      <c r="L413" s="22" t="str">
        <f>_xlfn.XLOOKUP(tblRequirementMeasureXref[[#This Row],[msr_id]],tblMeasure[msr_id],tblMeasure[src_name])</f>
        <v>SALT</v>
      </c>
    </row>
    <row r="414" spans="1:12" x14ac:dyDescent="0.15">
      <c r="A414" s="1" t="str">
        <f>_xlfn.XLOOKUP(tblRequirementMeasureXref[[#This Row],[dm_id]],tblDataRequirement[dm_id],tblDataRequirement[domain_sub_requirement])</f>
        <v>Service:Support type:Reablement / ST-MAX</v>
      </c>
      <c r="B414" s="1" t="str">
        <f>_xlfn.XLOOKUP(tblRequirementMeasureXref[[#This Row],[dm_id]],tblDataRequirement[dm_id],tblDataRequirement[dm_phase])</f>
        <v>operate</v>
      </c>
      <c r="C414" s="1">
        <v>46</v>
      </c>
      <c r="D414" s="1">
        <v>102</v>
      </c>
      <c r="E414" s="1" t="s">
        <v>192</v>
      </c>
      <c r="G414" s="1"/>
      <c r="H414" s="62" t="str">
        <f>_xlfn.XLOOKUP(tblRequirementMeasureXref[[#This Row],[msr_id]],tblMeasure[msr_id],tblMeasure[msr_table])</f>
        <v>STS004</v>
      </c>
      <c r="I414" s="22" t="str">
        <f>_xlfn.XLOOKUP(tblRequirementMeasureXref[[#This Row],[msr_id]],tblMeasure[msr_id],tblMeasure[msr_name])</f>
        <v>Short Term Support: Proportion of older people (aged 65 and over) who were still at home 91 days after discharge from hospital into reablement / rehabilitation services</v>
      </c>
      <c r="J414" s="22" t="str">
        <f>_xlfn.XLOOKUP(tblRequirementMeasureXref[[#This Row],[msr_id]],tblMeasure[msr_id],tblMeasure[primary_dimensions])</f>
        <v>reablement services, reablement stayed home</v>
      </c>
      <c r="K414" s="22" t="str">
        <f>_xlfn.XLOOKUP(tblRequirementMeasureXref[[#This Row],[msr_id]],tblMeasure[msr_id],tblMeasure[msr_min_geo_resolution])</f>
        <v>LA</v>
      </c>
      <c r="L414" s="22" t="str">
        <f>_xlfn.XLOOKUP(tblRequirementMeasureXref[[#This Row],[msr_id]],tblMeasure[msr_id],tblMeasure[src_name])</f>
        <v>SALT</v>
      </c>
    </row>
    <row r="415" spans="1:12" x14ac:dyDescent="0.15">
      <c r="A415" s="1" t="str">
        <f>_xlfn.XLOOKUP(tblRequirementMeasureXref[[#This Row],[dm_id]],tblDataRequirement[dm_id],tblDataRequirement[domain_sub_requirement])</f>
        <v>Service:Support setting:Home</v>
      </c>
      <c r="B415" s="1" t="str">
        <f>_xlfn.XLOOKUP(tblRequirementMeasureXref[[#This Row],[dm_id]],tblDataRequirement[dm_id],tblDataRequirement[dm_phase])</f>
        <v>operate</v>
      </c>
      <c r="C415" s="1">
        <v>40</v>
      </c>
      <c r="D415" s="1">
        <v>102</v>
      </c>
      <c r="E415" s="1" t="s">
        <v>192</v>
      </c>
      <c r="G415" s="1"/>
      <c r="H415" s="62" t="str">
        <f>_xlfn.XLOOKUP(tblRequirementMeasureXref[[#This Row],[msr_id]],tblMeasure[msr_id],tblMeasure[msr_table])</f>
        <v>STS004</v>
      </c>
      <c r="I415" s="22" t="str">
        <f>_xlfn.XLOOKUP(tblRequirementMeasureXref[[#This Row],[msr_id]],tblMeasure[msr_id],tblMeasure[msr_name])</f>
        <v>Short Term Support: Proportion of older people (aged 65 and over) who were still at home 91 days after discharge from hospital into reablement / rehabilitation services</v>
      </c>
      <c r="J415" s="22" t="str">
        <f>_xlfn.XLOOKUP(tblRequirementMeasureXref[[#This Row],[msr_id]],tblMeasure[msr_id],tblMeasure[primary_dimensions])</f>
        <v>reablement services, reablement stayed home</v>
      </c>
      <c r="K415" s="22" t="str">
        <f>_xlfn.XLOOKUP(tblRequirementMeasureXref[[#This Row],[msr_id]],tblMeasure[msr_id],tblMeasure[msr_min_geo_resolution])</f>
        <v>LA</v>
      </c>
      <c r="L415" s="22" t="str">
        <f>_xlfn.XLOOKUP(tblRequirementMeasureXref[[#This Row],[msr_id]],tblMeasure[msr_id],tblMeasure[src_name])</f>
        <v>SALT</v>
      </c>
    </row>
    <row r="416" spans="1:12" x14ac:dyDescent="0.15">
      <c r="A416" s="1" t="str">
        <f>_xlfn.XLOOKUP(tblRequirementMeasureXref[[#This Row],[dm_id]],tblDataRequirement[dm_id],tblDataRequirement[domain_sub_requirement])</f>
        <v>Service:Integration:NHS secondary care</v>
      </c>
      <c r="B416" s="1" t="str">
        <f>_xlfn.XLOOKUP(tblRequirementMeasureXref[[#This Row],[dm_id]],tblDataRequirement[dm_id],tblDataRequirement[dm_phase])</f>
        <v>operate</v>
      </c>
      <c r="C416" s="1">
        <v>37</v>
      </c>
      <c r="D416" s="1">
        <v>102</v>
      </c>
      <c r="E416" s="1" t="s">
        <v>192</v>
      </c>
      <c r="G416" s="1"/>
      <c r="H416" s="62" t="str">
        <f>_xlfn.XLOOKUP(tblRequirementMeasureXref[[#This Row],[msr_id]],tblMeasure[msr_id],tblMeasure[msr_table])</f>
        <v>STS004</v>
      </c>
      <c r="I416" s="22" t="str">
        <f>_xlfn.XLOOKUP(tblRequirementMeasureXref[[#This Row],[msr_id]],tblMeasure[msr_id],tblMeasure[msr_name])</f>
        <v>Short Term Support: Proportion of older people (aged 65 and over) who were still at home 91 days after discharge from hospital into reablement / rehabilitation services</v>
      </c>
      <c r="J416" s="22" t="str">
        <f>_xlfn.XLOOKUP(tblRequirementMeasureXref[[#This Row],[msr_id]],tblMeasure[msr_id],tblMeasure[primary_dimensions])</f>
        <v>reablement services, reablement stayed home</v>
      </c>
      <c r="K416" s="22" t="str">
        <f>_xlfn.XLOOKUP(tblRequirementMeasureXref[[#This Row],[msr_id]],tblMeasure[msr_id],tblMeasure[msr_min_geo_resolution])</f>
        <v>LA</v>
      </c>
      <c r="L416" s="22" t="str">
        <f>_xlfn.XLOOKUP(tblRequirementMeasureXref[[#This Row],[msr_id]],tblMeasure[msr_id],tblMeasure[src_name])</f>
        <v>SALT</v>
      </c>
    </row>
    <row r="417" spans="1:12" x14ac:dyDescent="0.15">
      <c r="A417" s="1" t="str">
        <f>_xlfn.XLOOKUP(tblRequirementMeasureXref[[#This Row],[dm_id]],tblDataRequirement[dm_id],tblDataRequirement[domain_sub_requirement])</f>
        <v>Users:Demographics:Gender</v>
      </c>
      <c r="B417" s="1" t="str">
        <f>_xlfn.XLOOKUP(tblRequirementMeasureXref[[#This Row],[dm_id]],tblDataRequirement[dm_id],tblDataRequirement[dm_phase])</f>
        <v>demand</v>
      </c>
      <c r="C417" s="1">
        <v>62</v>
      </c>
      <c r="D417" s="1">
        <v>102</v>
      </c>
      <c r="E417" s="1" t="s">
        <v>192</v>
      </c>
      <c r="G417" s="1"/>
      <c r="H417" s="62" t="str">
        <f>_xlfn.XLOOKUP(tblRequirementMeasureXref[[#This Row],[msr_id]],tblMeasure[msr_id],tblMeasure[msr_table])</f>
        <v>STS004</v>
      </c>
      <c r="I417" s="22" t="str">
        <f>_xlfn.XLOOKUP(tblRequirementMeasureXref[[#This Row],[msr_id]],tblMeasure[msr_id],tblMeasure[msr_name])</f>
        <v>Short Term Support: Proportion of older people (aged 65 and over) who were still at home 91 days after discharge from hospital into reablement / rehabilitation services</v>
      </c>
      <c r="J417" s="22" t="str">
        <f>_xlfn.XLOOKUP(tblRequirementMeasureXref[[#This Row],[msr_id]],tblMeasure[msr_id],tblMeasure[primary_dimensions])</f>
        <v>reablement services, reablement stayed home</v>
      </c>
      <c r="K417" s="22" t="str">
        <f>_xlfn.XLOOKUP(tblRequirementMeasureXref[[#This Row],[msr_id]],tblMeasure[msr_id],tblMeasure[msr_min_geo_resolution])</f>
        <v>LA</v>
      </c>
      <c r="L417" s="22" t="str">
        <f>_xlfn.XLOOKUP(tblRequirementMeasureXref[[#This Row],[msr_id]],tblMeasure[msr_id],tblMeasure[src_name])</f>
        <v>SALT</v>
      </c>
    </row>
    <row r="418" spans="1:12" x14ac:dyDescent="0.15">
      <c r="A418" s="1" t="str">
        <f>_xlfn.XLOOKUP(tblRequirementMeasureXref[[#This Row],[dm_id]],tblDataRequirement[dm_id],tblDataRequirement[domain_sub_requirement])</f>
        <v>Service:Support type:Long-term</v>
      </c>
      <c r="B418" s="1" t="str">
        <f>_xlfn.XLOOKUP(tblRequirementMeasureXref[[#This Row],[dm_id]],tblDataRequirement[dm_id],tblDataRequirement[dm_phase])</f>
        <v>operate</v>
      </c>
      <c r="C418" s="1">
        <v>45</v>
      </c>
      <c r="D418" s="1">
        <v>103</v>
      </c>
      <c r="E418" s="1" t="s">
        <v>192</v>
      </c>
      <c r="G418" s="1"/>
      <c r="H418" s="62" t="str">
        <f>_xlfn.XLOOKUP(tblRequirementMeasureXref[[#This Row],[msr_id]],tblMeasure[msr_id],tblMeasure[msr_table])</f>
        <v>LTS001a</v>
      </c>
      <c r="I418" s="22" t="str">
        <f>_xlfn.XLOOKUP(tblRequirementMeasureXref[[#This Row],[msr_id]],tblMeasure[msr_id],tblMeasure[msr_name])</f>
        <v>Long Term Support: The number of people accessing long term support during the year to 31st March</v>
      </c>
      <c r="J418" s="22" t="str">
        <f>_xlfn.XLOOKUP(tblRequirementMeasureXref[[#This Row],[msr_id]],tblMeasure[msr_id],tblMeasure[primary_dimensions])</f>
        <v>users accessing</v>
      </c>
      <c r="K418" s="22" t="str">
        <f>_xlfn.XLOOKUP(tblRequirementMeasureXref[[#This Row],[msr_id]],tblMeasure[msr_id],tblMeasure[msr_min_geo_resolution])</f>
        <v>LA</v>
      </c>
      <c r="L418" s="22" t="str">
        <f>_xlfn.XLOOKUP(tblRequirementMeasureXref[[#This Row],[msr_id]],tblMeasure[msr_id],tblMeasure[src_name])</f>
        <v>SALT</v>
      </c>
    </row>
    <row r="419" spans="1:12" x14ac:dyDescent="0.15">
      <c r="A419" s="1" t="str">
        <f>_xlfn.XLOOKUP(tblRequirementMeasureXref[[#This Row],[dm_id]],tblDataRequirement[dm_id],tblDataRequirement[domain_sub_requirement])</f>
        <v>Users:Demographics:Age</v>
      </c>
      <c r="B419" s="1" t="str">
        <f>_xlfn.XLOOKUP(tblRequirementMeasureXref[[#This Row],[dm_id]],tblDataRequirement[dm_id],tblDataRequirement[dm_phase])</f>
        <v>demand</v>
      </c>
      <c r="C419" s="1">
        <v>51</v>
      </c>
      <c r="D419" s="1">
        <v>103</v>
      </c>
      <c r="E419" s="1" t="s">
        <v>192</v>
      </c>
      <c r="G419" s="1"/>
      <c r="H419" s="62" t="str">
        <f>_xlfn.XLOOKUP(tblRequirementMeasureXref[[#This Row],[msr_id]],tblMeasure[msr_id],tblMeasure[msr_table])</f>
        <v>LTS001a</v>
      </c>
      <c r="I419" s="22" t="str">
        <f>_xlfn.XLOOKUP(tblRequirementMeasureXref[[#This Row],[msr_id]],tblMeasure[msr_id],tblMeasure[msr_name])</f>
        <v>Long Term Support: The number of people accessing long term support during the year to 31st March</v>
      </c>
      <c r="J419" s="22" t="str">
        <f>_xlfn.XLOOKUP(tblRequirementMeasureXref[[#This Row],[msr_id]],tblMeasure[msr_id],tblMeasure[primary_dimensions])</f>
        <v>users accessing</v>
      </c>
      <c r="K419" s="22" t="str">
        <f>_xlfn.XLOOKUP(tblRequirementMeasureXref[[#This Row],[msr_id]],tblMeasure[msr_id],tblMeasure[msr_min_geo_resolution])</f>
        <v>LA</v>
      </c>
      <c r="L419" s="22" t="str">
        <f>_xlfn.XLOOKUP(tblRequirementMeasureXref[[#This Row],[msr_id]],tblMeasure[msr_id],tblMeasure[src_name])</f>
        <v>SALT</v>
      </c>
    </row>
    <row r="420" spans="1:12" x14ac:dyDescent="0.15">
      <c r="A420" s="1" t="str">
        <f>_xlfn.XLOOKUP(tblRequirementMeasureXref[[#This Row],[dm_id]],tblDataRequirement[dm_id],tblDataRequirement[domain_sub_requirement])</f>
        <v>Users:Care need:Support reason</v>
      </c>
      <c r="B420" s="1" t="str">
        <f>_xlfn.XLOOKUP(tblRequirementMeasureXref[[#This Row],[dm_id]],tblDataRequirement[dm_id],tblDataRequirement[dm_phase])</f>
        <v>demand</v>
      </c>
      <c r="C420" s="1">
        <v>56</v>
      </c>
      <c r="D420" s="1">
        <v>103</v>
      </c>
      <c r="E420" s="1" t="s">
        <v>192</v>
      </c>
      <c r="G420" s="1"/>
      <c r="H420" s="62" t="str">
        <f>_xlfn.XLOOKUP(tblRequirementMeasureXref[[#This Row],[msr_id]],tblMeasure[msr_id],tblMeasure[msr_table])</f>
        <v>LTS001a</v>
      </c>
      <c r="I420" s="22" t="str">
        <f>_xlfn.XLOOKUP(tblRequirementMeasureXref[[#This Row],[msr_id]],tblMeasure[msr_id],tblMeasure[msr_name])</f>
        <v>Long Term Support: The number of people accessing long term support during the year to 31st March</v>
      </c>
      <c r="J420" s="22" t="str">
        <f>_xlfn.XLOOKUP(tblRequirementMeasureXref[[#This Row],[msr_id]],tblMeasure[msr_id],tblMeasure[primary_dimensions])</f>
        <v>users accessing</v>
      </c>
      <c r="K420" s="22" t="str">
        <f>_xlfn.XLOOKUP(tblRequirementMeasureXref[[#This Row],[msr_id]],tblMeasure[msr_id],tblMeasure[msr_min_geo_resolution])</f>
        <v>LA</v>
      </c>
      <c r="L420" s="22" t="str">
        <f>_xlfn.XLOOKUP(tblRequirementMeasureXref[[#This Row],[msr_id]],tblMeasure[msr_id],tblMeasure[src_name])</f>
        <v>SALT</v>
      </c>
    </row>
    <row r="421" spans="1:12" x14ac:dyDescent="0.15">
      <c r="A421" s="1" t="str">
        <f>_xlfn.XLOOKUP(tblRequirementMeasureXref[[#This Row],[dm_id]],tblDataRequirement[dm_id],tblDataRequirement[domain_sub_requirement])</f>
        <v>Service:Support setting:Residential care home</v>
      </c>
      <c r="B421" s="1" t="str">
        <f>_xlfn.XLOOKUP(tblRequirementMeasureXref[[#This Row],[dm_id]],tblDataRequirement[dm_id],tblDataRequirement[dm_phase])</f>
        <v>operate</v>
      </c>
      <c r="C421" s="1">
        <v>41</v>
      </c>
      <c r="D421" s="1">
        <v>103</v>
      </c>
      <c r="E421" s="1" t="s">
        <v>192</v>
      </c>
      <c r="G421" s="1"/>
      <c r="H421" s="62" t="str">
        <f>_xlfn.XLOOKUP(tblRequirementMeasureXref[[#This Row],[msr_id]],tblMeasure[msr_id],tblMeasure[msr_table])</f>
        <v>LTS001a</v>
      </c>
      <c r="I421" s="22" t="str">
        <f>_xlfn.XLOOKUP(tblRequirementMeasureXref[[#This Row],[msr_id]],tblMeasure[msr_id],tblMeasure[msr_name])</f>
        <v>Long Term Support: The number of people accessing long term support during the year to 31st March</v>
      </c>
      <c r="J421" s="22" t="str">
        <f>_xlfn.XLOOKUP(tblRequirementMeasureXref[[#This Row],[msr_id]],tblMeasure[msr_id],tblMeasure[primary_dimensions])</f>
        <v>users accessing</v>
      </c>
      <c r="K421" s="22" t="str">
        <f>_xlfn.XLOOKUP(tblRequirementMeasureXref[[#This Row],[msr_id]],tblMeasure[msr_id],tblMeasure[msr_min_geo_resolution])</f>
        <v>LA</v>
      </c>
      <c r="L421" s="22" t="str">
        <f>_xlfn.XLOOKUP(tblRequirementMeasureXref[[#This Row],[msr_id]],tblMeasure[msr_id],tblMeasure[src_name])</f>
        <v>SALT</v>
      </c>
    </row>
    <row r="422" spans="1:12" x14ac:dyDescent="0.15">
      <c r="A422" s="1" t="str">
        <f>_xlfn.XLOOKUP(tblRequirementMeasureXref[[#This Row],[dm_id]],tblDataRequirement[dm_id],tblDataRequirement[domain_sub_requirement])</f>
        <v>Service:Support setting:Nursing home</v>
      </c>
      <c r="B422" s="1" t="str">
        <f>_xlfn.XLOOKUP(tblRequirementMeasureXref[[#This Row],[dm_id]],tblDataRequirement[dm_id],tblDataRequirement[dm_phase])</f>
        <v>operate</v>
      </c>
      <c r="C422" s="1">
        <v>42</v>
      </c>
      <c r="D422" s="1">
        <v>103</v>
      </c>
      <c r="E422" s="1" t="s">
        <v>192</v>
      </c>
      <c r="G422" s="1"/>
      <c r="H422" s="62" t="str">
        <f>_xlfn.XLOOKUP(tblRequirementMeasureXref[[#This Row],[msr_id]],tblMeasure[msr_id],tblMeasure[msr_table])</f>
        <v>LTS001a</v>
      </c>
      <c r="I422" s="22" t="str">
        <f>_xlfn.XLOOKUP(tblRequirementMeasureXref[[#This Row],[msr_id]],tblMeasure[msr_id],tblMeasure[msr_name])</f>
        <v>Long Term Support: The number of people accessing long term support during the year to 31st March</v>
      </c>
      <c r="J422" s="22" t="str">
        <f>_xlfn.XLOOKUP(tblRequirementMeasureXref[[#This Row],[msr_id]],tblMeasure[msr_id],tblMeasure[primary_dimensions])</f>
        <v>users accessing</v>
      </c>
      <c r="K422" s="22" t="str">
        <f>_xlfn.XLOOKUP(tblRequirementMeasureXref[[#This Row],[msr_id]],tblMeasure[msr_id],tblMeasure[msr_min_geo_resolution])</f>
        <v>LA</v>
      </c>
      <c r="L422" s="22" t="str">
        <f>_xlfn.XLOOKUP(tblRequirementMeasureXref[[#This Row],[msr_id]],tblMeasure[msr_id],tblMeasure[src_name])</f>
        <v>SALT</v>
      </c>
    </row>
    <row r="423" spans="1:12" x14ac:dyDescent="0.15">
      <c r="A423" s="1" t="str">
        <f>_xlfn.XLOOKUP(tblRequirementMeasureXref[[#This Row],[dm_id]],tblDataRequirement[dm_id],tblDataRequirement[domain_sub_requirement])</f>
        <v>Service:Support setting:Community</v>
      </c>
      <c r="B423" s="1" t="str">
        <f>_xlfn.XLOOKUP(tblRequirementMeasureXref[[#This Row],[dm_id]],tblDataRequirement[dm_id],tblDataRequirement[dm_phase])</f>
        <v>operate</v>
      </c>
      <c r="C423" s="1">
        <v>43</v>
      </c>
      <c r="D423" s="1">
        <v>103</v>
      </c>
      <c r="E423" s="1" t="s">
        <v>192</v>
      </c>
      <c r="G423" s="1"/>
      <c r="H423" s="62" t="str">
        <f>_xlfn.XLOOKUP(tblRequirementMeasureXref[[#This Row],[msr_id]],tblMeasure[msr_id],tblMeasure[msr_table])</f>
        <v>LTS001a</v>
      </c>
      <c r="I423" s="22" t="str">
        <f>_xlfn.XLOOKUP(tblRequirementMeasureXref[[#This Row],[msr_id]],tblMeasure[msr_id],tblMeasure[msr_name])</f>
        <v>Long Term Support: The number of people accessing long term support during the year to 31st March</v>
      </c>
      <c r="J423" s="22" t="str">
        <f>_xlfn.XLOOKUP(tblRequirementMeasureXref[[#This Row],[msr_id]],tblMeasure[msr_id],tblMeasure[primary_dimensions])</f>
        <v>users accessing</v>
      </c>
      <c r="K423" s="22" t="str">
        <f>_xlfn.XLOOKUP(tblRequirementMeasureXref[[#This Row],[msr_id]],tblMeasure[msr_id],tblMeasure[msr_min_geo_resolution])</f>
        <v>LA</v>
      </c>
      <c r="L423" s="22" t="str">
        <f>_xlfn.XLOOKUP(tblRequirementMeasureXref[[#This Row],[msr_id]],tblMeasure[msr_id],tblMeasure[src_name])</f>
        <v>SALT</v>
      </c>
    </row>
    <row r="424" spans="1:12" x14ac:dyDescent="0.15">
      <c r="A424" s="1" t="str">
        <f>_xlfn.XLOOKUP(tblRequirementMeasureXref[[#This Row],[dm_id]],tblDataRequirement[dm_id],tblDataRequirement[domain_sub_requirement])</f>
        <v>Service:Care models:Self-directed support</v>
      </c>
      <c r="B424" s="1" t="str">
        <f>_xlfn.XLOOKUP(tblRequirementMeasureXref[[#This Row],[dm_id]],tblDataRequirement[dm_id],tblDataRequirement[dm_phase])</f>
        <v>operate</v>
      </c>
      <c r="C424" s="1">
        <v>70</v>
      </c>
      <c r="D424" s="1">
        <v>103</v>
      </c>
      <c r="E424" s="1" t="s">
        <v>192</v>
      </c>
      <c r="G424" s="1"/>
      <c r="H424" s="62" t="str">
        <f>_xlfn.XLOOKUP(tblRequirementMeasureXref[[#This Row],[msr_id]],tblMeasure[msr_id],tblMeasure[msr_table])</f>
        <v>LTS001a</v>
      </c>
      <c r="I424" s="22" t="str">
        <f>_xlfn.XLOOKUP(tblRequirementMeasureXref[[#This Row],[msr_id]],tblMeasure[msr_id],tblMeasure[msr_name])</f>
        <v>Long Term Support: The number of people accessing long term support during the year to 31st March</v>
      </c>
      <c r="J424" s="22" t="str">
        <f>_xlfn.XLOOKUP(tblRequirementMeasureXref[[#This Row],[msr_id]],tblMeasure[msr_id],tblMeasure[primary_dimensions])</f>
        <v>users accessing</v>
      </c>
      <c r="K424" s="22" t="str">
        <f>_xlfn.XLOOKUP(tblRequirementMeasureXref[[#This Row],[msr_id]],tblMeasure[msr_id],tblMeasure[msr_min_geo_resolution])</f>
        <v>LA</v>
      </c>
      <c r="L424" s="22" t="str">
        <f>_xlfn.XLOOKUP(tblRequirementMeasureXref[[#This Row],[msr_id]],tblMeasure[msr_id],tblMeasure[src_name])</f>
        <v>SALT</v>
      </c>
    </row>
    <row r="425" spans="1:12" x14ac:dyDescent="0.15">
      <c r="A425" s="1" t="str">
        <f>_xlfn.XLOOKUP(tblRequirementMeasureXref[[#This Row],[dm_id]],tblDataRequirement[dm_id],tblDataRequirement[domain_sub_requirement])</f>
        <v>Users:Income:Direct payments</v>
      </c>
      <c r="B425" s="1" t="str">
        <f>_xlfn.XLOOKUP(tblRequirementMeasureXref[[#This Row],[dm_id]],tblDataRequirement[dm_id],tblDataRequirement[dm_phase])</f>
        <v>supply</v>
      </c>
      <c r="C425" s="1">
        <v>71</v>
      </c>
      <c r="D425" s="1">
        <v>103</v>
      </c>
      <c r="E425" s="1" t="s">
        <v>192</v>
      </c>
      <c r="G425" s="1"/>
      <c r="H425" s="62" t="str">
        <f>_xlfn.XLOOKUP(tblRequirementMeasureXref[[#This Row],[msr_id]],tblMeasure[msr_id],tblMeasure[msr_table])</f>
        <v>LTS001a</v>
      </c>
      <c r="I425" s="22" t="str">
        <f>_xlfn.XLOOKUP(tblRequirementMeasureXref[[#This Row],[msr_id]],tblMeasure[msr_id],tblMeasure[msr_name])</f>
        <v>Long Term Support: The number of people accessing long term support during the year to 31st March</v>
      </c>
      <c r="J425" s="22" t="str">
        <f>_xlfn.XLOOKUP(tblRequirementMeasureXref[[#This Row],[msr_id]],tblMeasure[msr_id],tblMeasure[primary_dimensions])</f>
        <v>users accessing</v>
      </c>
      <c r="K425" s="22" t="str">
        <f>_xlfn.XLOOKUP(tblRequirementMeasureXref[[#This Row],[msr_id]],tblMeasure[msr_id],tblMeasure[msr_min_geo_resolution])</f>
        <v>LA</v>
      </c>
      <c r="L425" s="22" t="str">
        <f>_xlfn.XLOOKUP(tblRequirementMeasureXref[[#This Row],[msr_id]],tblMeasure[msr_id],tblMeasure[src_name])</f>
        <v>SALT</v>
      </c>
    </row>
    <row r="426" spans="1:12" x14ac:dyDescent="0.15">
      <c r="A426" s="1" t="str">
        <f>_xlfn.XLOOKUP(tblRequirementMeasureXref[[#This Row],[dm_id]],tblDataRequirement[dm_id],tblDataRequirement[domain_sub_requirement])</f>
        <v>Service:Access:Eligible for local authority funded care</v>
      </c>
      <c r="B426" s="1" t="str">
        <f>_xlfn.XLOOKUP(tblRequirementMeasureXref[[#This Row],[dm_id]],tblDataRequirement[dm_id],tblDataRequirement[dm_phase])</f>
        <v>demand</v>
      </c>
      <c r="C426" s="1">
        <v>28</v>
      </c>
      <c r="D426" s="1">
        <v>103</v>
      </c>
      <c r="E426" s="1" t="s">
        <v>192</v>
      </c>
      <c r="G426" s="1"/>
      <c r="H426" s="62" t="str">
        <f>_xlfn.XLOOKUP(tblRequirementMeasureXref[[#This Row],[msr_id]],tblMeasure[msr_id],tblMeasure[msr_table])</f>
        <v>LTS001a</v>
      </c>
      <c r="I426" s="22" t="str">
        <f>_xlfn.XLOOKUP(tblRequirementMeasureXref[[#This Row],[msr_id]],tblMeasure[msr_id],tblMeasure[msr_name])</f>
        <v>Long Term Support: The number of people accessing long term support during the year to 31st March</v>
      </c>
      <c r="J426" s="22" t="str">
        <f>_xlfn.XLOOKUP(tblRequirementMeasureXref[[#This Row],[msr_id]],tblMeasure[msr_id],tblMeasure[primary_dimensions])</f>
        <v>users accessing</v>
      </c>
      <c r="K426" s="22" t="str">
        <f>_xlfn.XLOOKUP(tblRequirementMeasureXref[[#This Row],[msr_id]],tblMeasure[msr_id],tblMeasure[msr_min_geo_resolution])</f>
        <v>LA</v>
      </c>
      <c r="L426" s="22" t="str">
        <f>_xlfn.XLOOKUP(tblRequirementMeasureXref[[#This Row],[msr_id]],tblMeasure[msr_id],tblMeasure[src_name])</f>
        <v>SALT</v>
      </c>
    </row>
    <row r="427" spans="1:12" x14ac:dyDescent="0.15">
      <c r="A427" s="1" t="str">
        <f>_xlfn.XLOOKUP(tblRequirementMeasureXref[[#This Row],[dm_id]],tblDataRequirement[dm_id],tblDataRequirement[domain_sub_requirement])</f>
        <v>Service:Support type:Long-term</v>
      </c>
      <c r="B427" s="1" t="str">
        <f>_xlfn.XLOOKUP(tblRequirementMeasureXref[[#This Row],[dm_id]],tblDataRequirement[dm_id],tblDataRequirement[dm_phase])</f>
        <v>operate</v>
      </c>
      <c r="C427" s="1">
        <v>45</v>
      </c>
      <c r="D427" s="1">
        <v>104</v>
      </c>
      <c r="E427" s="1" t="s">
        <v>192</v>
      </c>
      <c r="G427" s="1"/>
      <c r="H427" s="62" t="str">
        <f>_xlfn.XLOOKUP(tblRequirementMeasureXref[[#This Row],[msr_id]],tblMeasure[msr_id],tblMeasure[msr_table])</f>
        <v>LTS001b</v>
      </c>
      <c r="I427" s="22" t="str">
        <f>_xlfn.XLOOKUP(tblRequirementMeasureXref[[#This Row],[msr_id]],tblMeasure[msr_id],tblMeasure[msr_name])</f>
        <v>Long Term Support: Of the clients in LTS001a, the number of people accessing long term support at the year-end (31st March)</v>
      </c>
      <c r="J427" s="22" t="str">
        <f>_xlfn.XLOOKUP(tblRequirementMeasureXref[[#This Row],[msr_id]],tblMeasure[msr_id],tblMeasure[primary_dimensions])</f>
        <v>users accessing</v>
      </c>
      <c r="K427" s="22" t="str">
        <f>_xlfn.XLOOKUP(tblRequirementMeasureXref[[#This Row],[msr_id]],tblMeasure[msr_id],tblMeasure[msr_min_geo_resolution])</f>
        <v>LA</v>
      </c>
      <c r="L427" s="22" t="str">
        <f>_xlfn.XLOOKUP(tblRequirementMeasureXref[[#This Row],[msr_id]],tblMeasure[msr_id],tblMeasure[src_name])</f>
        <v>SALT</v>
      </c>
    </row>
    <row r="428" spans="1:12" x14ac:dyDescent="0.15">
      <c r="A428" s="1" t="str">
        <f>_xlfn.XLOOKUP(tblRequirementMeasureXref[[#This Row],[dm_id]],tblDataRequirement[dm_id],tblDataRequirement[domain_sub_requirement])</f>
        <v>Users:Demographics:Age</v>
      </c>
      <c r="B428" s="1" t="str">
        <f>_xlfn.XLOOKUP(tblRequirementMeasureXref[[#This Row],[dm_id]],tblDataRequirement[dm_id],tblDataRequirement[dm_phase])</f>
        <v>demand</v>
      </c>
      <c r="C428" s="1">
        <v>51</v>
      </c>
      <c r="D428" s="1">
        <v>104</v>
      </c>
      <c r="E428" s="1" t="s">
        <v>192</v>
      </c>
      <c r="G428" s="1"/>
      <c r="H428" s="62" t="str">
        <f>_xlfn.XLOOKUP(tblRequirementMeasureXref[[#This Row],[msr_id]],tblMeasure[msr_id],tblMeasure[msr_table])</f>
        <v>LTS001b</v>
      </c>
      <c r="I428" s="22" t="str">
        <f>_xlfn.XLOOKUP(tblRequirementMeasureXref[[#This Row],[msr_id]],tblMeasure[msr_id],tblMeasure[msr_name])</f>
        <v>Long Term Support: Of the clients in LTS001a, the number of people accessing long term support at the year-end (31st March)</v>
      </c>
      <c r="J428" s="22" t="str">
        <f>_xlfn.XLOOKUP(tblRequirementMeasureXref[[#This Row],[msr_id]],tblMeasure[msr_id],tblMeasure[primary_dimensions])</f>
        <v>users accessing</v>
      </c>
      <c r="K428" s="22" t="str">
        <f>_xlfn.XLOOKUP(tblRequirementMeasureXref[[#This Row],[msr_id]],tblMeasure[msr_id],tblMeasure[msr_min_geo_resolution])</f>
        <v>LA</v>
      </c>
      <c r="L428" s="22" t="str">
        <f>_xlfn.XLOOKUP(tblRequirementMeasureXref[[#This Row],[msr_id]],tblMeasure[msr_id],tblMeasure[src_name])</f>
        <v>SALT</v>
      </c>
    </row>
    <row r="429" spans="1:12" x14ac:dyDescent="0.15">
      <c r="A429" s="1" t="str">
        <f>_xlfn.XLOOKUP(tblRequirementMeasureXref[[#This Row],[dm_id]],tblDataRequirement[dm_id],tblDataRequirement[domain_sub_requirement])</f>
        <v>Users:Care need:Support reason</v>
      </c>
      <c r="B429" s="1" t="str">
        <f>_xlfn.XLOOKUP(tblRequirementMeasureXref[[#This Row],[dm_id]],tblDataRequirement[dm_id],tblDataRequirement[dm_phase])</f>
        <v>demand</v>
      </c>
      <c r="C429" s="1">
        <v>56</v>
      </c>
      <c r="D429" s="1">
        <v>104</v>
      </c>
      <c r="E429" s="1" t="s">
        <v>192</v>
      </c>
      <c r="G429" s="1"/>
      <c r="H429" s="62" t="str">
        <f>_xlfn.XLOOKUP(tblRequirementMeasureXref[[#This Row],[msr_id]],tblMeasure[msr_id],tblMeasure[msr_table])</f>
        <v>LTS001b</v>
      </c>
      <c r="I429" s="22" t="str">
        <f>_xlfn.XLOOKUP(tblRequirementMeasureXref[[#This Row],[msr_id]],tblMeasure[msr_id],tblMeasure[msr_name])</f>
        <v>Long Term Support: Of the clients in LTS001a, the number of people accessing long term support at the year-end (31st March)</v>
      </c>
      <c r="J429" s="22" t="str">
        <f>_xlfn.XLOOKUP(tblRequirementMeasureXref[[#This Row],[msr_id]],tblMeasure[msr_id],tblMeasure[primary_dimensions])</f>
        <v>users accessing</v>
      </c>
      <c r="K429" s="22" t="str">
        <f>_xlfn.XLOOKUP(tblRequirementMeasureXref[[#This Row],[msr_id]],tblMeasure[msr_id],tblMeasure[msr_min_geo_resolution])</f>
        <v>LA</v>
      </c>
      <c r="L429" s="22" t="str">
        <f>_xlfn.XLOOKUP(tblRequirementMeasureXref[[#This Row],[msr_id]],tblMeasure[msr_id],tblMeasure[src_name])</f>
        <v>SALT</v>
      </c>
    </row>
    <row r="430" spans="1:12" x14ac:dyDescent="0.15">
      <c r="A430" s="1" t="str">
        <f>_xlfn.XLOOKUP(tblRequirementMeasureXref[[#This Row],[dm_id]],tblDataRequirement[dm_id],tblDataRequirement[domain_sub_requirement])</f>
        <v>Service:Support setting:Residential care home</v>
      </c>
      <c r="B430" s="1" t="str">
        <f>_xlfn.XLOOKUP(tblRequirementMeasureXref[[#This Row],[dm_id]],tblDataRequirement[dm_id],tblDataRequirement[dm_phase])</f>
        <v>operate</v>
      </c>
      <c r="C430" s="1">
        <v>41</v>
      </c>
      <c r="D430" s="1">
        <v>104</v>
      </c>
      <c r="E430" s="1" t="s">
        <v>192</v>
      </c>
      <c r="G430" s="1"/>
      <c r="H430" s="62" t="str">
        <f>_xlfn.XLOOKUP(tblRequirementMeasureXref[[#This Row],[msr_id]],tblMeasure[msr_id],tblMeasure[msr_table])</f>
        <v>LTS001b</v>
      </c>
      <c r="I430" s="22" t="str">
        <f>_xlfn.XLOOKUP(tblRequirementMeasureXref[[#This Row],[msr_id]],tblMeasure[msr_id],tblMeasure[msr_name])</f>
        <v>Long Term Support: Of the clients in LTS001a, the number of people accessing long term support at the year-end (31st March)</v>
      </c>
      <c r="J430" s="22" t="str">
        <f>_xlfn.XLOOKUP(tblRequirementMeasureXref[[#This Row],[msr_id]],tblMeasure[msr_id],tblMeasure[primary_dimensions])</f>
        <v>users accessing</v>
      </c>
      <c r="K430" s="22" t="str">
        <f>_xlfn.XLOOKUP(tblRequirementMeasureXref[[#This Row],[msr_id]],tblMeasure[msr_id],tblMeasure[msr_min_geo_resolution])</f>
        <v>LA</v>
      </c>
      <c r="L430" s="22" t="str">
        <f>_xlfn.XLOOKUP(tblRequirementMeasureXref[[#This Row],[msr_id]],tblMeasure[msr_id],tblMeasure[src_name])</f>
        <v>SALT</v>
      </c>
    </row>
    <row r="431" spans="1:12" x14ac:dyDescent="0.15">
      <c r="A431" s="1" t="str">
        <f>_xlfn.XLOOKUP(tblRequirementMeasureXref[[#This Row],[dm_id]],tblDataRequirement[dm_id],tblDataRequirement[domain_sub_requirement])</f>
        <v>Service:Support setting:Nursing home</v>
      </c>
      <c r="B431" s="1" t="str">
        <f>_xlfn.XLOOKUP(tblRequirementMeasureXref[[#This Row],[dm_id]],tblDataRequirement[dm_id],tblDataRequirement[dm_phase])</f>
        <v>operate</v>
      </c>
      <c r="C431" s="1">
        <v>42</v>
      </c>
      <c r="D431" s="1">
        <v>104</v>
      </c>
      <c r="E431" s="1" t="s">
        <v>192</v>
      </c>
      <c r="G431" s="1"/>
      <c r="H431" s="62" t="str">
        <f>_xlfn.XLOOKUP(tblRequirementMeasureXref[[#This Row],[msr_id]],tblMeasure[msr_id],tblMeasure[msr_table])</f>
        <v>LTS001b</v>
      </c>
      <c r="I431" s="22" t="str">
        <f>_xlfn.XLOOKUP(tblRequirementMeasureXref[[#This Row],[msr_id]],tblMeasure[msr_id],tblMeasure[msr_name])</f>
        <v>Long Term Support: Of the clients in LTS001a, the number of people accessing long term support at the year-end (31st March)</v>
      </c>
      <c r="J431" s="22" t="str">
        <f>_xlfn.XLOOKUP(tblRequirementMeasureXref[[#This Row],[msr_id]],tblMeasure[msr_id],tblMeasure[primary_dimensions])</f>
        <v>users accessing</v>
      </c>
      <c r="K431" s="22" t="str">
        <f>_xlfn.XLOOKUP(tblRequirementMeasureXref[[#This Row],[msr_id]],tblMeasure[msr_id],tblMeasure[msr_min_geo_resolution])</f>
        <v>LA</v>
      </c>
      <c r="L431" s="22" t="str">
        <f>_xlfn.XLOOKUP(tblRequirementMeasureXref[[#This Row],[msr_id]],tblMeasure[msr_id],tblMeasure[src_name])</f>
        <v>SALT</v>
      </c>
    </row>
    <row r="432" spans="1:12" x14ac:dyDescent="0.15">
      <c r="A432" s="1" t="str">
        <f>_xlfn.XLOOKUP(tblRequirementMeasureXref[[#This Row],[dm_id]],tblDataRequirement[dm_id],tblDataRequirement[domain_sub_requirement])</f>
        <v>Service:Support setting:Community</v>
      </c>
      <c r="B432" s="1" t="str">
        <f>_xlfn.XLOOKUP(tblRequirementMeasureXref[[#This Row],[dm_id]],tblDataRequirement[dm_id],tblDataRequirement[dm_phase])</f>
        <v>operate</v>
      </c>
      <c r="C432" s="1">
        <v>43</v>
      </c>
      <c r="D432" s="1">
        <v>104</v>
      </c>
      <c r="E432" s="1" t="s">
        <v>192</v>
      </c>
      <c r="G432" s="1"/>
      <c r="H432" s="62" t="str">
        <f>_xlfn.XLOOKUP(tblRequirementMeasureXref[[#This Row],[msr_id]],tblMeasure[msr_id],tblMeasure[msr_table])</f>
        <v>LTS001b</v>
      </c>
      <c r="I432" s="22" t="str">
        <f>_xlfn.XLOOKUP(tblRequirementMeasureXref[[#This Row],[msr_id]],tblMeasure[msr_id],tblMeasure[msr_name])</f>
        <v>Long Term Support: Of the clients in LTS001a, the number of people accessing long term support at the year-end (31st March)</v>
      </c>
      <c r="J432" s="22" t="str">
        <f>_xlfn.XLOOKUP(tblRequirementMeasureXref[[#This Row],[msr_id]],tblMeasure[msr_id],tblMeasure[primary_dimensions])</f>
        <v>users accessing</v>
      </c>
      <c r="K432" s="22" t="str">
        <f>_xlfn.XLOOKUP(tblRequirementMeasureXref[[#This Row],[msr_id]],tblMeasure[msr_id],tblMeasure[msr_min_geo_resolution])</f>
        <v>LA</v>
      </c>
      <c r="L432" s="22" t="str">
        <f>_xlfn.XLOOKUP(tblRequirementMeasureXref[[#This Row],[msr_id]],tblMeasure[msr_id],tblMeasure[src_name])</f>
        <v>SALT</v>
      </c>
    </row>
    <row r="433" spans="1:12" x14ac:dyDescent="0.15">
      <c r="A433" s="1" t="str">
        <f>_xlfn.XLOOKUP(tblRequirementMeasureXref[[#This Row],[dm_id]],tblDataRequirement[dm_id],tblDataRequirement[domain_sub_requirement])</f>
        <v>Service:Care models:Self-directed support</v>
      </c>
      <c r="B433" s="1" t="str">
        <f>_xlfn.XLOOKUP(tblRequirementMeasureXref[[#This Row],[dm_id]],tblDataRequirement[dm_id],tblDataRequirement[dm_phase])</f>
        <v>operate</v>
      </c>
      <c r="C433" s="1">
        <v>70</v>
      </c>
      <c r="D433" s="1">
        <v>104</v>
      </c>
      <c r="E433" s="1" t="s">
        <v>192</v>
      </c>
      <c r="G433" s="1"/>
      <c r="H433" s="62" t="str">
        <f>_xlfn.XLOOKUP(tblRequirementMeasureXref[[#This Row],[msr_id]],tblMeasure[msr_id],tblMeasure[msr_table])</f>
        <v>LTS001b</v>
      </c>
      <c r="I433" s="22" t="str">
        <f>_xlfn.XLOOKUP(tblRequirementMeasureXref[[#This Row],[msr_id]],tblMeasure[msr_id],tblMeasure[msr_name])</f>
        <v>Long Term Support: Of the clients in LTS001a, the number of people accessing long term support at the year-end (31st March)</v>
      </c>
      <c r="J433" s="22" t="str">
        <f>_xlfn.XLOOKUP(tblRequirementMeasureXref[[#This Row],[msr_id]],tblMeasure[msr_id],tblMeasure[primary_dimensions])</f>
        <v>users accessing</v>
      </c>
      <c r="K433" s="22" t="str">
        <f>_xlfn.XLOOKUP(tblRequirementMeasureXref[[#This Row],[msr_id]],tblMeasure[msr_id],tblMeasure[msr_min_geo_resolution])</f>
        <v>LA</v>
      </c>
      <c r="L433" s="22" t="str">
        <f>_xlfn.XLOOKUP(tblRequirementMeasureXref[[#This Row],[msr_id]],tblMeasure[msr_id],tblMeasure[src_name])</f>
        <v>SALT</v>
      </c>
    </row>
    <row r="434" spans="1:12" x14ac:dyDescent="0.15">
      <c r="A434" s="1" t="str">
        <f>_xlfn.XLOOKUP(tblRequirementMeasureXref[[#This Row],[dm_id]],tblDataRequirement[dm_id],tblDataRequirement[domain_sub_requirement])</f>
        <v>Users:Income:Direct payments</v>
      </c>
      <c r="B434" s="1" t="str">
        <f>_xlfn.XLOOKUP(tblRequirementMeasureXref[[#This Row],[dm_id]],tblDataRequirement[dm_id],tblDataRequirement[dm_phase])</f>
        <v>supply</v>
      </c>
      <c r="C434" s="1">
        <v>71</v>
      </c>
      <c r="D434" s="1">
        <v>104</v>
      </c>
      <c r="E434" s="1" t="s">
        <v>192</v>
      </c>
      <c r="G434" s="1"/>
      <c r="H434" s="62" t="str">
        <f>_xlfn.XLOOKUP(tblRequirementMeasureXref[[#This Row],[msr_id]],tblMeasure[msr_id],tblMeasure[msr_table])</f>
        <v>LTS001b</v>
      </c>
      <c r="I434" s="22" t="str">
        <f>_xlfn.XLOOKUP(tblRequirementMeasureXref[[#This Row],[msr_id]],tblMeasure[msr_id],tblMeasure[msr_name])</f>
        <v>Long Term Support: Of the clients in LTS001a, the number of people accessing long term support at the year-end (31st March)</v>
      </c>
      <c r="J434" s="22" t="str">
        <f>_xlfn.XLOOKUP(tblRequirementMeasureXref[[#This Row],[msr_id]],tblMeasure[msr_id],tblMeasure[primary_dimensions])</f>
        <v>users accessing</v>
      </c>
      <c r="K434" s="22" t="str">
        <f>_xlfn.XLOOKUP(tblRequirementMeasureXref[[#This Row],[msr_id]],tblMeasure[msr_id],tblMeasure[msr_min_geo_resolution])</f>
        <v>LA</v>
      </c>
      <c r="L434" s="22" t="str">
        <f>_xlfn.XLOOKUP(tblRequirementMeasureXref[[#This Row],[msr_id]],tblMeasure[msr_id],tblMeasure[src_name])</f>
        <v>SALT</v>
      </c>
    </row>
    <row r="435" spans="1:12" x14ac:dyDescent="0.15">
      <c r="A435" s="1" t="str">
        <f>_xlfn.XLOOKUP(tblRequirementMeasureXref[[#This Row],[dm_id]],tblDataRequirement[dm_id],tblDataRequirement[domain_sub_requirement])</f>
        <v>Service:Access:Eligible for local authority funded care</v>
      </c>
      <c r="B435" s="1" t="str">
        <f>_xlfn.XLOOKUP(tblRequirementMeasureXref[[#This Row],[dm_id]],tblDataRequirement[dm_id],tblDataRequirement[dm_phase])</f>
        <v>demand</v>
      </c>
      <c r="C435" s="1">
        <v>28</v>
      </c>
      <c r="D435" s="1">
        <v>104</v>
      </c>
      <c r="E435" s="1" t="s">
        <v>192</v>
      </c>
      <c r="G435" s="1"/>
      <c r="H435" s="62" t="str">
        <f>_xlfn.XLOOKUP(tblRequirementMeasureXref[[#This Row],[msr_id]],tblMeasure[msr_id],tblMeasure[msr_table])</f>
        <v>LTS001b</v>
      </c>
      <c r="I435" s="22" t="str">
        <f>_xlfn.XLOOKUP(tblRequirementMeasureXref[[#This Row],[msr_id]],tblMeasure[msr_id],tblMeasure[msr_name])</f>
        <v>Long Term Support: Of the clients in LTS001a, the number of people accessing long term support at the year-end (31st March)</v>
      </c>
      <c r="J435" s="22" t="str">
        <f>_xlfn.XLOOKUP(tblRequirementMeasureXref[[#This Row],[msr_id]],tblMeasure[msr_id],tblMeasure[primary_dimensions])</f>
        <v>users accessing</v>
      </c>
      <c r="K435" s="22" t="str">
        <f>_xlfn.XLOOKUP(tblRequirementMeasureXref[[#This Row],[msr_id]],tblMeasure[msr_id],tblMeasure[msr_min_geo_resolution])</f>
        <v>LA</v>
      </c>
      <c r="L435" s="22" t="str">
        <f>_xlfn.XLOOKUP(tblRequirementMeasureXref[[#This Row],[msr_id]],tblMeasure[msr_id],tblMeasure[src_name])</f>
        <v>SALT</v>
      </c>
    </row>
    <row r="436" spans="1:12" x14ac:dyDescent="0.15">
      <c r="A436" s="1" t="str">
        <f>_xlfn.XLOOKUP(tblRequirementMeasureXref[[#This Row],[dm_id]],tblDataRequirement[dm_id],tblDataRequirement[domain_sub_requirement])</f>
        <v>Unpaid Carers:Workforce:Workforce</v>
      </c>
      <c r="B436" s="1" t="str">
        <f>_xlfn.XLOOKUP(tblRequirementMeasureXref[[#This Row],[dm_id]],tblDataRequirement[dm_id],tblDataRequirement[dm_phase])</f>
        <v>supply</v>
      </c>
      <c r="C436" s="1">
        <v>19</v>
      </c>
      <c r="D436" s="1">
        <v>104</v>
      </c>
      <c r="E436" s="1" t="s">
        <v>192</v>
      </c>
      <c r="G436" s="1"/>
      <c r="H436" s="62" t="str">
        <f>_xlfn.XLOOKUP(tblRequirementMeasureXref[[#This Row],[msr_id]],tblMeasure[msr_id],tblMeasure[msr_table])</f>
        <v>LTS001b</v>
      </c>
      <c r="I436" s="22" t="str">
        <f>_xlfn.XLOOKUP(tblRequirementMeasureXref[[#This Row],[msr_id]],tblMeasure[msr_id],tblMeasure[msr_name])</f>
        <v>Long Term Support: Of the clients in LTS001a, the number of people accessing long term support at the year-end (31st March)</v>
      </c>
      <c r="J436" s="22" t="str">
        <f>_xlfn.XLOOKUP(tblRequirementMeasureXref[[#This Row],[msr_id]],tblMeasure[msr_id],tblMeasure[primary_dimensions])</f>
        <v>users accessing</v>
      </c>
      <c r="K436" s="22" t="str">
        <f>_xlfn.XLOOKUP(tblRequirementMeasureXref[[#This Row],[msr_id]],tblMeasure[msr_id],tblMeasure[msr_min_geo_resolution])</f>
        <v>LA</v>
      </c>
      <c r="L436" s="22" t="str">
        <f>_xlfn.XLOOKUP(tblRequirementMeasureXref[[#This Row],[msr_id]],tblMeasure[msr_id],tblMeasure[src_name])</f>
        <v>SALT</v>
      </c>
    </row>
    <row r="437" spans="1:12" x14ac:dyDescent="0.15">
      <c r="A437" s="1" t="str">
        <f>_xlfn.XLOOKUP(tblRequirementMeasureXref[[#This Row],[dm_id]],tblDataRequirement[dm_id],tblDataRequirement[domain_sub_requirement])</f>
        <v>Users:Demographics:Gender</v>
      </c>
      <c r="B437" s="1" t="str">
        <f>_xlfn.XLOOKUP(tblRequirementMeasureXref[[#This Row],[dm_id]],tblDataRequirement[dm_id],tblDataRequirement[dm_phase])</f>
        <v>demand</v>
      </c>
      <c r="C437" s="1">
        <v>62</v>
      </c>
      <c r="D437" s="1">
        <v>104</v>
      </c>
      <c r="E437" s="1" t="s">
        <v>192</v>
      </c>
      <c r="G437" s="1"/>
      <c r="H437" s="62" t="str">
        <f>_xlfn.XLOOKUP(tblRequirementMeasureXref[[#This Row],[msr_id]],tblMeasure[msr_id],tblMeasure[msr_table])</f>
        <v>LTS001b</v>
      </c>
      <c r="I437" s="22" t="str">
        <f>_xlfn.XLOOKUP(tblRequirementMeasureXref[[#This Row],[msr_id]],tblMeasure[msr_id],tblMeasure[msr_name])</f>
        <v>Long Term Support: Of the clients in LTS001a, the number of people accessing long term support at the year-end (31st March)</v>
      </c>
      <c r="J437" s="22" t="str">
        <f>_xlfn.XLOOKUP(tblRequirementMeasureXref[[#This Row],[msr_id]],tblMeasure[msr_id],tblMeasure[primary_dimensions])</f>
        <v>users accessing</v>
      </c>
      <c r="K437" s="22" t="str">
        <f>_xlfn.XLOOKUP(tblRequirementMeasureXref[[#This Row],[msr_id]],tblMeasure[msr_id],tblMeasure[msr_min_geo_resolution])</f>
        <v>LA</v>
      </c>
      <c r="L437" s="22" t="str">
        <f>_xlfn.XLOOKUP(tblRequirementMeasureXref[[#This Row],[msr_id]],tblMeasure[msr_id],tblMeasure[src_name])</f>
        <v>SALT</v>
      </c>
    </row>
    <row r="438" spans="1:12" x14ac:dyDescent="0.15">
      <c r="A438" s="1" t="str">
        <f>_xlfn.XLOOKUP(tblRequirementMeasureXref[[#This Row],[dm_id]],tblDataRequirement[dm_id],tblDataRequirement[domain_sub_requirement])</f>
        <v>Users:Demographics:Ethnicity</v>
      </c>
      <c r="B438" s="1" t="str">
        <f>_xlfn.XLOOKUP(tblRequirementMeasureXref[[#This Row],[dm_id]],tblDataRequirement[dm_id],tblDataRequirement[dm_phase])</f>
        <v>demand</v>
      </c>
      <c r="C438" s="1">
        <v>73</v>
      </c>
      <c r="D438" s="1">
        <v>104</v>
      </c>
      <c r="E438" s="1" t="s">
        <v>192</v>
      </c>
      <c r="G438" s="1"/>
      <c r="H438" s="62" t="str">
        <f>_xlfn.XLOOKUP(tblRequirementMeasureXref[[#This Row],[msr_id]],tblMeasure[msr_id],tblMeasure[msr_table])</f>
        <v>LTS001b</v>
      </c>
      <c r="I438" s="22" t="str">
        <f>_xlfn.XLOOKUP(tblRequirementMeasureXref[[#This Row],[msr_id]],tblMeasure[msr_id],tblMeasure[msr_name])</f>
        <v>Long Term Support: Of the clients in LTS001a, the number of people accessing long term support at the year-end (31st March)</v>
      </c>
      <c r="J438" s="22" t="str">
        <f>_xlfn.XLOOKUP(tblRequirementMeasureXref[[#This Row],[msr_id]],tblMeasure[msr_id],tblMeasure[primary_dimensions])</f>
        <v>users accessing</v>
      </c>
      <c r="K438" s="22" t="str">
        <f>_xlfn.XLOOKUP(tblRequirementMeasureXref[[#This Row],[msr_id]],tblMeasure[msr_id],tblMeasure[msr_min_geo_resolution])</f>
        <v>LA</v>
      </c>
      <c r="L438" s="22" t="str">
        <f>_xlfn.XLOOKUP(tblRequirementMeasureXref[[#This Row],[msr_id]],tblMeasure[msr_id],tblMeasure[src_name])</f>
        <v>SALT</v>
      </c>
    </row>
    <row r="439" spans="1:12" x14ac:dyDescent="0.15">
      <c r="A439" s="1" t="str">
        <f>_xlfn.XLOOKUP(tblRequirementMeasureXref[[#This Row],[dm_id]],tblDataRequirement[dm_id],tblDataRequirement[domain_sub_requirement])</f>
        <v>Service:Support type:Long-term</v>
      </c>
      <c r="B439" s="1" t="str">
        <f>_xlfn.XLOOKUP(tblRequirementMeasureXref[[#This Row],[dm_id]],tblDataRequirement[dm_id],tblDataRequirement[dm_phase])</f>
        <v>operate</v>
      </c>
      <c r="C439" s="1">
        <v>45</v>
      </c>
      <c r="D439" s="1">
        <v>105</v>
      </c>
      <c r="E439" s="1" t="s">
        <v>192</v>
      </c>
      <c r="G439" s="1"/>
      <c r="H439" s="62" t="str">
        <f>_xlfn.XLOOKUP(tblRequirementMeasureXref[[#This Row],[msr_id]],tblMeasure[msr_id],tblMeasure[msr_table])</f>
        <v>LTS001c</v>
      </c>
      <c r="I439" s="22" t="str">
        <f>_xlfn.XLOOKUP(tblRequirementMeasureXref[[#This Row],[msr_id]],tblMeasure[msr_id],tblMeasure[msr_name])</f>
        <v>Long Term Support: Of the clients in LTS001b, the number of people who have been accessing long term support for more than 12 months at the year end (31st March)</v>
      </c>
      <c r="J439" s="22" t="str">
        <f>_xlfn.XLOOKUP(tblRequirementMeasureXref[[#This Row],[msr_id]],tblMeasure[msr_id],tblMeasure[primary_dimensions])</f>
        <v>users accessing</v>
      </c>
      <c r="K439" s="22" t="str">
        <f>_xlfn.XLOOKUP(tblRequirementMeasureXref[[#This Row],[msr_id]],tblMeasure[msr_id],tblMeasure[msr_min_geo_resolution])</f>
        <v>LA</v>
      </c>
      <c r="L439" s="22" t="str">
        <f>_xlfn.XLOOKUP(tblRequirementMeasureXref[[#This Row],[msr_id]],tblMeasure[msr_id],tblMeasure[src_name])</f>
        <v>SALT</v>
      </c>
    </row>
    <row r="440" spans="1:12" x14ac:dyDescent="0.15">
      <c r="A440" s="1" t="str">
        <f>_xlfn.XLOOKUP(tblRequirementMeasureXref[[#This Row],[dm_id]],tblDataRequirement[dm_id],tblDataRequirement[domain_sub_requirement])</f>
        <v>Users:Demographics:Age</v>
      </c>
      <c r="B440" s="1" t="str">
        <f>_xlfn.XLOOKUP(tblRequirementMeasureXref[[#This Row],[dm_id]],tblDataRequirement[dm_id],tblDataRequirement[dm_phase])</f>
        <v>demand</v>
      </c>
      <c r="C440" s="1">
        <v>51</v>
      </c>
      <c r="D440" s="1">
        <v>105</v>
      </c>
      <c r="E440" s="1" t="s">
        <v>192</v>
      </c>
      <c r="G440" s="1"/>
      <c r="H440" s="62" t="str">
        <f>_xlfn.XLOOKUP(tblRequirementMeasureXref[[#This Row],[msr_id]],tblMeasure[msr_id],tblMeasure[msr_table])</f>
        <v>LTS001c</v>
      </c>
      <c r="I440" s="22" t="str">
        <f>_xlfn.XLOOKUP(tblRequirementMeasureXref[[#This Row],[msr_id]],tblMeasure[msr_id],tblMeasure[msr_name])</f>
        <v>Long Term Support: Of the clients in LTS001b, the number of people who have been accessing long term support for more than 12 months at the year end (31st March)</v>
      </c>
      <c r="J440" s="22" t="str">
        <f>_xlfn.XLOOKUP(tblRequirementMeasureXref[[#This Row],[msr_id]],tblMeasure[msr_id],tblMeasure[primary_dimensions])</f>
        <v>users accessing</v>
      </c>
      <c r="K440" s="22" t="str">
        <f>_xlfn.XLOOKUP(tblRequirementMeasureXref[[#This Row],[msr_id]],tblMeasure[msr_id],tblMeasure[msr_min_geo_resolution])</f>
        <v>LA</v>
      </c>
      <c r="L440" s="22" t="str">
        <f>_xlfn.XLOOKUP(tblRequirementMeasureXref[[#This Row],[msr_id]],tblMeasure[msr_id],tblMeasure[src_name])</f>
        <v>SALT</v>
      </c>
    </row>
    <row r="441" spans="1:12" x14ac:dyDescent="0.15">
      <c r="A441" s="1" t="str">
        <f>_xlfn.XLOOKUP(tblRequirementMeasureXref[[#This Row],[dm_id]],tblDataRequirement[dm_id],tblDataRequirement[domain_sub_requirement])</f>
        <v>Users:Care need:Support reason</v>
      </c>
      <c r="B441" s="1" t="str">
        <f>_xlfn.XLOOKUP(tblRequirementMeasureXref[[#This Row],[dm_id]],tblDataRequirement[dm_id],tblDataRequirement[dm_phase])</f>
        <v>demand</v>
      </c>
      <c r="C441" s="1">
        <v>56</v>
      </c>
      <c r="D441" s="1">
        <v>105</v>
      </c>
      <c r="E441" s="1" t="s">
        <v>192</v>
      </c>
      <c r="G441" s="1"/>
      <c r="H441" s="62" t="str">
        <f>_xlfn.XLOOKUP(tblRequirementMeasureXref[[#This Row],[msr_id]],tblMeasure[msr_id],tblMeasure[msr_table])</f>
        <v>LTS001c</v>
      </c>
      <c r="I441" s="22" t="str">
        <f>_xlfn.XLOOKUP(tblRequirementMeasureXref[[#This Row],[msr_id]],tblMeasure[msr_id],tblMeasure[msr_name])</f>
        <v>Long Term Support: Of the clients in LTS001b, the number of people who have been accessing long term support for more than 12 months at the year end (31st March)</v>
      </c>
      <c r="J441" s="22" t="str">
        <f>_xlfn.XLOOKUP(tblRequirementMeasureXref[[#This Row],[msr_id]],tblMeasure[msr_id],tblMeasure[primary_dimensions])</f>
        <v>users accessing</v>
      </c>
      <c r="K441" s="22" t="str">
        <f>_xlfn.XLOOKUP(tblRequirementMeasureXref[[#This Row],[msr_id]],tblMeasure[msr_id],tblMeasure[msr_min_geo_resolution])</f>
        <v>LA</v>
      </c>
      <c r="L441" s="22" t="str">
        <f>_xlfn.XLOOKUP(tblRequirementMeasureXref[[#This Row],[msr_id]],tblMeasure[msr_id],tblMeasure[src_name])</f>
        <v>SALT</v>
      </c>
    </row>
    <row r="442" spans="1:12" x14ac:dyDescent="0.15">
      <c r="A442" s="1" t="str">
        <f>_xlfn.XLOOKUP(tblRequirementMeasureXref[[#This Row],[dm_id]],tblDataRequirement[dm_id],tblDataRequirement[domain_sub_requirement])</f>
        <v>Service:Support setting:Residential care home</v>
      </c>
      <c r="B442" s="1" t="str">
        <f>_xlfn.XLOOKUP(tblRequirementMeasureXref[[#This Row],[dm_id]],tblDataRequirement[dm_id],tblDataRequirement[dm_phase])</f>
        <v>operate</v>
      </c>
      <c r="C442" s="1">
        <v>41</v>
      </c>
      <c r="D442" s="1">
        <v>105</v>
      </c>
      <c r="E442" s="1" t="s">
        <v>192</v>
      </c>
      <c r="G442" s="1"/>
      <c r="H442" s="62" t="str">
        <f>_xlfn.XLOOKUP(tblRequirementMeasureXref[[#This Row],[msr_id]],tblMeasure[msr_id],tblMeasure[msr_table])</f>
        <v>LTS001c</v>
      </c>
      <c r="I442" s="22" t="str">
        <f>_xlfn.XLOOKUP(tblRequirementMeasureXref[[#This Row],[msr_id]],tblMeasure[msr_id],tblMeasure[msr_name])</f>
        <v>Long Term Support: Of the clients in LTS001b, the number of people who have been accessing long term support for more than 12 months at the year end (31st March)</v>
      </c>
      <c r="J442" s="22" t="str">
        <f>_xlfn.XLOOKUP(tblRequirementMeasureXref[[#This Row],[msr_id]],tblMeasure[msr_id],tblMeasure[primary_dimensions])</f>
        <v>users accessing</v>
      </c>
      <c r="K442" s="22" t="str">
        <f>_xlfn.XLOOKUP(tblRequirementMeasureXref[[#This Row],[msr_id]],tblMeasure[msr_id],tblMeasure[msr_min_geo_resolution])</f>
        <v>LA</v>
      </c>
      <c r="L442" s="22" t="str">
        <f>_xlfn.XLOOKUP(tblRequirementMeasureXref[[#This Row],[msr_id]],tblMeasure[msr_id],tblMeasure[src_name])</f>
        <v>SALT</v>
      </c>
    </row>
    <row r="443" spans="1:12" x14ac:dyDescent="0.15">
      <c r="A443" s="1" t="str">
        <f>_xlfn.XLOOKUP(tblRequirementMeasureXref[[#This Row],[dm_id]],tblDataRequirement[dm_id],tblDataRequirement[domain_sub_requirement])</f>
        <v>Service:Support setting:Nursing home</v>
      </c>
      <c r="B443" s="1" t="str">
        <f>_xlfn.XLOOKUP(tblRequirementMeasureXref[[#This Row],[dm_id]],tblDataRequirement[dm_id],tblDataRequirement[dm_phase])</f>
        <v>operate</v>
      </c>
      <c r="C443" s="1">
        <v>42</v>
      </c>
      <c r="D443" s="1">
        <v>105</v>
      </c>
      <c r="E443" s="1" t="s">
        <v>192</v>
      </c>
      <c r="G443" s="1"/>
      <c r="H443" s="62" t="str">
        <f>_xlfn.XLOOKUP(tblRequirementMeasureXref[[#This Row],[msr_id]],tblMeasure[msr_id],tblMeasure[msr_table])</f>
        <v>LTS001c</v>
      </c>
      <c r="I443" s="22" t="str">
        <f>_xlfn.XLOOKUP(tblRequirementMeasureXref[[#This Row],[msr_id]],tblMeasure[msr_id],tblMeasure[msr_name])</f>
        <v>Long Term Support: Of the clients in LTS001b, the number of people who have been accessing long term support for more than 12 months at the year end (31st March)</v>
      </c>
      <c r="J443" s="22" t="str">
        <f>_xlfn.XLOOKUP(tblRequirementMeasureXref[[#This Row],[msr_id]],tblMeasure[msr_id],tblMeasure[primary_dimensions])</f>
        <v>users accessing</v>
      </c>
      <c r="K443" s="22" t="str">
        <f>_xlfn.XLOOKUP(tblRequirementMeasureXref[[#This Row],[msr_id]],tblMeasure[msr_id],tblMeasure[msr_min_geo_resolution])</f>
        <v>LA</v>
      </c>
      <c r="L443" s="22" t="str">
        <f>_xlfn.XLOOKUP(tblRequirementMeasureXref[[#This Row],[msr_id]],tblMeasure[msr_id],tblMeasure[src_name])</f>
        <v>SALT</v>
      </c>
    </row>
    <row r="444" spans="1:12" x14ac:dyDescent="0.15">
      <c r="A444" s="1" t="str">
        <f>_xlfn.XLOOKUP(tblRequirementMeasureXref[[#This Row],[dm_id]],tblDataRequirement[dm_id],tblDataRequirement[domain_sub_requirement])</f>
        <v>Service:Support setting:Community</v>
      </c>
      <c r="B444" s="1" t="str">
        <f>_xlfn.XLOOKUP(tblRequirementMeasureXref[[#This Row],[dm_id]],tblDataRequirement[dm_id],tblDataRequirement[dm_phase])</f>
        <v>operate</v>
      </c>
      <c r="C444" s="1">
        <v>43</v>
      </c>
      <c r="D444" s="1">
        <v>105</v>
      </c>
      <c r="E444" s="1" t="s">
        <v>192</v>
      </c>
      <c r="G444" s="1"/>
      <c r="H444" s="62" t="str">
        <f>_xlfn.XLOOKUP(tblRequirementMeasureXref[[#This Row],[msr_id]],tblMeasure[msr_id],tblMeasure[msr_table])</f>
        <v>LTS001c</v>
      </c>
      <c r="I444" s="22" t="str">
        <f>_xlfn.XLOOKUP(tblRequirementMeasureXref[[#This Row],[msr_id]],tblMeasure[msr_id],tblMeasure[msr_name])</f>
        <v>Long Term Support: Of the clients in LTS001b, the number of people who have been accessing long term support for more than 12 months at the year end (31st March)</v>
      </c>
      <c r="J444" s="22" t="str">
        <f>_xlfn.XLOOKUP(tblRequirementMeasureXref[[#This Row],[msr_id]],tblMeasure[msr_id],tblMeasure[primary_dimensions])</f>
        <v>users accessing</v>
      </c>
      <c r="K444" s="22" t="str">
        <f>_xlfn.XLOOKUP(tblRequirementMeasureXref[[#This Row],[msr_id]],tblMeasure[msr_id],tblMeasure[msr_min_geo_resolution])</f>
        <v>LA</v>
      </c>
      <c r="L444" s="22" t="str">
        <f>_xlfn.XLOOKUP(tblRequirementMeasureXref[[#This Row],[msr_id]],tblMeasure[msr_id],tblMeasure[src_name])</f>
        <v>SALT</v>
      </c>
    </row>
    <row r="445" spans="1:12" x14ac:dyDescent="0.15">
      <c r="A445" s="1" t="str">
        <f>_xlfn.XLOOKUP(tblRequirementMeasureXref[[#This Row],[dm_id]],tblDataRequirement[dm_id],tblDataRequirement[domain_sub_requirement])</f>
        <v>Service:Care models:Self-directed support</v>
      </c>
      <c r="B445" s="1" t="str">
        <f>_xlfn.XLOOKUP(tblRequirementMeasureXref[[#This Row],[dm_id]],tblDataRequirement[dm_id],tblDataRequirement[dm_phase])</f>
        <v>operate</v>
      </c>
      <c r="C445" s="1">
        <v>70</v>
      </c>
      <c r="D445" s="1">
        <v>105</v>
      </c>
      <c r="E445" s="1" t="s">
        <v>192</v>
      </c>
      <c r="G445" s="1"/>
      <c r="H445" s="62" t="str">
        <f>_xlfn.XLOOKUP(tblRequirementMeasureXref[[#This Row],[msr_id]],tblMeasure[msr_id],tblMeasure[msr_table])</f>
        <v>LTS001c</v>
      </c>
      <c r="I445" s="22" t="str">
        <f>_xlfn.XLOOKUP(tblRequirementMeasureXref[[#This Row],[msr_id]],tblMeasure[msr_id],tblMeasure[msr_name])</f>
        <v>Long Term Support: Of the clients in LTS001b, the number of people who have been accessing long term support for more than 12 months at the year end (31st March)</v>
      </c>
      <c r="J445" s="22" t="str">
        <f>_xlfn.XLOOKUP(tblRequirementMeasureXref[[#This Row],[msr_id]],tblMeasure[msr_id],tblMeasure[primary_dimensions])</f>
        <v>users accessing</v>
      </c>
      <c r="K445" s="22" t="str">
        <f>_xlfn.XLOOKUP(tblRequirementMeasureXref[[#This Row],[msr_id]],tblMeasure[msr_id],tblMeasure[msr_min_geo_resolution])</f>
        <v>LA</v>
      </c>
      <c r="L445" s="22" t="str">
        <f>_xlfn.XLOOKUP(tblRequirementMeasureXref[[#This Row],[msr_id]],tblMeasure[msr_id],tblMeasure[src_name])</f>
        <v>SALT</v>
      </c>
    </row>
    <row r="446" spans="1:12" x14ac:dyDescent="0.15">
      <c r="A446" s="1" t="str">
        <f>_xlfn.XLOOKUP(tblRequirementMeasureXref[[#This Row],[dm_id]],tblDataRequirement[dm_id],tblDataRequirement[domain_sub_requirement])</f>
        <v>Users:Income:Direct payments</v>
      </c>
      <c r="B446" s="1" t="str">
        <f>_xlfn.XLOOKUP(tblRequirementMeasureXref[[#This Row],[dm_id]],tblDataRequirement[dm_id],tblDataRequirement[dm_phase])</f>
        <v>supply</v>
      </c>
      <c r="C446" s="1">
        <v>71</v>
      </c>
      <c r="D446" s="1">
        <v>105</v>
      </c>
      <c r="E446" s="1" t="s">
        <v>192</v>
      </c>
      <c r="G446" s="1"/>
      <c r="H446" s="62" t="str">
        <f>_xlfn.XLOOKUP(tblRequirementMeasureXref[[#This Row],[msr_id]],tblMeasure[msr_id],tblMeasure[msr_table])</f>
        <v>LTS001c</v>
      </c>
      <c r="I446" s="22" t="str">
        <f>_xlfn.XLOOKUP(tblRequirementMeasureXref[[#This Row],[msr_id]],tblMeasure[msr_id],tblMeasure[msr_name])</f>
        <v>Long Term Support: Of the clients in LTS001b, the number of people who have been accessing long term support for more than 12 months at the year end (31st March)</v>
      </c>
      <c r="J446" s="22" t="str">
        <f>_xlfn.XLOOKUP(tblRequirementMeasureXref[[#This Row],[msr_id]],tblMeasure[msr_id],tblMeasure[primary_dimensions])</f>
        <v>users accessing</v>
      </c>
      <c r="K446" s="22" t="str">
        <f>_xlfn.XLOOKUP(tblRequirementMeasureXref[[#This Row],[msr_id]],tblMeasure[msr_id],tblMeasure[msr_min_geo_resolution])</f>
        <v>LA</v>
      </c>
      <c r="L446" s="22" t="str">
        <f>_xlfn.XLOOKUP(tblRequirementMeasureXref[[#This Row],[msr_id]],tblMeasure[msr_id],tblMeasure[src_name])</f>
        <v>SALT</v>
      </c>
    </row>
    <row r="447" spans="1:12" x14ac:dyDescent="0.15">
      <c r="A447" s="1" t="str">
        <f>_xlfn.XLOOKUP(tblRequirementMeasureXref[[#This Row],[dm_id]],tblDataRequirement[dm_id],tblDataRequirement[domain_sub_requirement])</f>
        <v>Service:Access:Eligible for local authority funded care</v>
      </c>
      <c r="B447" s="1" t="str">
        <f>_xlfn.XLOOKUP(tblRequirementMeasureXref[[#This Row],[dm_id]],tblDataRequirement[dm_id],tblDataRequirement[dm_phase])</f>
        <v>demand</v>
      </c>
      <c r="C447" s="1">
        <v>28</v>
      </c>
      <c r="D447" s="1">
        <v>105</v>
      </c>
      <c r="E447" s="1" t="s">
        <v>192</v>
      </c>
      <c r="G447" s="1"/>
      <c r="H447" s="62" t="str">
        <f>_xlfn.XLOOKUP(tblRequirementMeasureXref[[#This Row],[msr_id]],tblMeasure[msr_id],tblMeasure[msr_table])</f>
        <v>LTS001c</v>
      </c>
      <c r="I447" s="22" t="str">
        <f>_xlfn.XLOOKUP(tblRequirementMeasureXref[[#This Row],[msr_id]],tblMeasure[msr_id],tblMeasure[msr_name])</f>
        <v>Long Term Support: Of the clients in LTS001b, the number of people who have been accessing long term support for more than 12 months at the year end (31st March)</v>
      </c>
      <c r="J447" s="22" t="str">
        <f>_xlfn.XLOOKUP(tblRequirementMeasureXref[[#This Row],[msr_id]],tblMeasure[msr_id],tblMeasure[primary_dimensions])</f>
        <v>users accessing</v>
      </c>
      <c r="K447" s="22" t="str">
        <f>_xlfn.XLOOKUP(tblRequirementMeasureXref[[#This Row],[msr_id]],tblMeasure[msr_id],tblMeasure[msr_min_geo_resolution])</f>
        <v>LA</v>
      </c>
      <c r="L447" s="22" t="str">
        <f>_xlfn.XLOOKUP(tblRequirementMeasureXref[[#This Row],[msr_id]],tblMeasure[msr_id],tblMeasure[src_name])</f>
        <v>SALT</v>
      </c>
    </row>
    <row r="448" spans="1:12" x14ac:dyDescent="0.15">
      <c r="A448" s="1" t="str">
        <f>_xlfn.XLOOKUP(tblRequirementMeasureXref[[#This Row],[dm_id]],tblDataRequirement[dm_id],tblDataRequirement[domain_sub_requirement])</f>
        <v>Service:Access:Not eligible for local authority funded care</v>
      </c>
      <c r="B448" s="1" t="str">
        <f>_xlfn.XLOOKUP(tblRequirementMeasureXref[[#This Row],[dm_id]],tblDataRequirement[dm_id],tblDataRequirement[dm_phase])</f>
        <v>demand</v>
      </c>
      <c r="C448" s="1">
        <v>57</v>
      </c>
      <c r="D448" s="1">
        <v>105</v>
      </c>
      <c r="E448" s="1" t="s">
        <v>192</v>
      </c>
      <c r="G448" s="1"/>
      <c r="H448" s="62" t="str">
        <f>_xlfn.XLOOKUP(tblRequirementMeasureXref[[#This Row],[msr_id]],tblMeasure[msr_id],tblMeasure[msr_table])</f>
        <v>LTS001c</v>
      </c>
      <c r="I448" s="22" t="str">
        <f>_xlfn.XLOOKUP(tblRequirementMeasureXref[[#This Row],[msr_id]],tblMeasure[msr_id],tblMeasure[msr_name])</f>
        <v>Long Term Support: Of the clients in LTS001b, the number of people who have been accessing long term support for more than 12 months at the year end (31st March)</v>
      </c>
      <c r="J448" s="22" t="str">
        <f>_xlfn.XLOOKUP(tblRequirementMeasureXref[[#This Row],[msr_id]],tblMeasure[msr_id],tblMeasure[primary_dimensions])</f>
        <v>users accessing</v>
      </c>
      <c r="K448" s="22" t="str">
        <f>_xlfn.XLOOKUP(tblRequirementMeasureXref[[#This Row],[msr_id]],tblMeasure[msr_id],tblMeasure[msr_min_geo_resolution])</f>
        <v>LA</v>
      </c>
      <c r="L448" s="22" t="str">
        <f>_xlfn.XLOOKUP(tblRequirementMeasureXref[[#This Row],[msr_id]],tblMeasure[msr_id],tblMeasure[src_name])</f>
        <v>SALT</v>
      </c>
    </row>
    <row r="449" spans="1:12" x14ac:dyDescent="0.15">
      <c r="A449" s="1" t="str">
        <f>_xlfn.XLOOKUP(tblRequirementMeasureXref[[#This Row],[dm_id]],tblDataRequirement[dm_id],tblDataRequirement[domain_sub_requirement])</f>
        <v>Users:Expenditure:Self-funders</v>
      </c>
      <c r="B449" s="1" t="str">
        <f>_xlfn.XLOOKUP(tblRequirementMeasureXref[[#This Row],[dm_id]],tblDataRequirement[dm_id],tblDataRequirement[dm_phase])</f>
        <v>supply</v>
      </c>
      <c r="C449" s="1">
        <v>5</v>
      </c>
      <c r="D449" s="1">
        <v>105</v>
      </c>
      <c r="E449" s="1" t="s">
        <v>192</v>
      </c>
      <c r="G449" s="1"/>
      <c r="H449" s="62" t="str">
        <f>_xlfn.XLOOKUP(tblRequirementMeasureXref[[#This Row],[msr_id]],tblMeasure[msr_id],tblMeasure[msr_table])</f>
        <v>LTS001c</v>
      </c>
      <c r="I449" s="22" t="str">
        <f>_xlfn.XLOOKUP(tblRequirementMeasureXref[[#This Row],[msr_id]],tblMeasure[msr_id],tblMeasure[msr_name])</f>
        <v>Long Term Support: Of the clients in LTS001b, the number of people who have been accessing long term support for more than 12 months at the year end (31st March)</v>
      </c>
      <c r="J449" s="22" t="str">
        <f>_xlfn.XLOOKUP(tblRequirementMeasureXref[[#This Row],[msr_id]],tblMeasure[msr_id],tblMeasure[primary_dimensions])</f>
        <v>users accessing</v>
      </c>
      <c r="K449" s="22" t="str">
        <f>_xlfn.XLOOKUP(tblRequirementMeasureXref[[#This Row],[msr_id]],tblMeasure[msr_id],tblMeasure[msr_min_geo_resolution])</f>
        <v>LA</v>
      </c>
      <c r="L449" s="22" t="str">
        <f>_xlfn.XLOOKUP(tblRequirementMeasureXref[[#This Row],[msr_id]],tblMeasure[msr_id],tblMeasure[src_name])</f>
        <v>SALT</v>
      </c>
    </row>
    <row r="450" spans="1:12" x14ac:dyDescent="0.15">
      <c r="A450" s="1" t="str">
        <f>_xlfn.XLOOKUP(tblRequirementMeasureXref[[#This Row],[dm_id]],tblDataRequirement[dm_id],tblDataRequirement[domain_sub_requirement])</f>
        <v>Service:Support type:Long-term</v>
      </c>
      <c r="B450" s="1" t="str">
        <f>_xlfn.XLOOKUP(tblRequirementMeasureXref[[#This Row],[dm_id]],tblDataRequirement[dm_id],tblDataRequirement[dm_phase])</f>
        <v>operate</v>
      </c>
      <c r="C450" s="1">
        <v>45</v>
      </c>
      <c r="D450" s="1">
        <v>106</v>
      </c>
      <c r="E450" s="1" t="s">
        <v>192</v>
      </c>
      <c r="G450" s="1"/>
      <c r="H450" s="62" t="str">
        <f>_xlfn.XLOOKUP(tblRequirementMeasureXref[[#This Row],[msr_id]],tblMeasure[msr_id],tblMeasure[msr_table])</f>
        <v>LTS002a</v>
      </c>
      <c r="I450"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0" s="22" t="str">
        <f>_xlfn.XLOOKUP(tblRequirementMeasureXref[[#This Row],[msr_id]],tblMeasure[msr_id],tblMeasure[primary_dimensions])</f>
        <v>reviews, sequels</v>
      </c>
      <c r="K450" s="22" t="str">
        <f>_xlfn.XLOOKUP(tblRequirementMeasureXref[[#This Row],[msr_id]],tblMeasure[msr_id],tblMeasure[msr_min_geo_resolution])</f>
        <v>LA</v>
      </c>
      <c r="L450" s="22" t="str">
        <f>_xlfn.XLOOKUP(tblRequirementMeasureXref[[#This Row],[msr_id]],tblMeasure[msr_id],tblMeasure[src_name])</f>
        <v>SALT</v>
      </c>
    </row>
    <row r="451" spans="1:12" x14ac:dyDescent="0.15">
      <c r="A451" s="1" t="str">
        <f>_xlfn.XLOOKUP(tblRequirementMeasureXref[[#This Row],[dm_id]],tblDataRequirement[dm_id],tblDataRequirement[domain_sub_requirement])</f>
        <v>Service:Access:Eligible for local authority funded care</v>
      </c>
      <c r="B451" s="1" t="str">
        <f>_xlfn.XLOOKUP(tblRequirementMeasureXref[[#This Row],[dm_id]],tblDataRequirement[dm_id],tblDataRequirement[dm_phase])</f>
        <v>demand</v>
      </c>
      <c r="C451" s="1">
        <v>28</v>
      </c>
      <c r="D451" s="1">
        <v>106</v>
      </c>
      <c r="E451" s="1" t="s">
        <v>192</v>
      </c>
      <c r="G451" s="1"/>
      <c r="H451" s="62" t="str">
        <f>_xlfn.XLOOKUP(tblRequirementMeasureXref[[#This Row],[msr_id]],tblMeasure[msr_id],tblMeasure[msr_table])</f>
        <v>LTS002a</v>
      </c>
      <c r="I451"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1" s="22" t="str">
        <f>_xlfn.XLOOKUP(tblRequirementMeasureXref[[#This Row],[msr_id]],tblMeasure[msr_id],tblMeasure[primary_dimensions])</f>
        <v>reviews, sequels</v>
      </c>
      <c r="K451" s="22" t="str">
        <f>_xlfn.XLOOKUP(tblRequirementMeasureXref[[#This Row],[msr_id]],tblMeasure[msr_id],tblMeasure[msr_min_geo_resolution])</f>
        <v>LA</v>
      </c>
      <c r="L451" s="22" t="str">
        <f>_xlfn.XLOOKUP(tblRequirementMeasureXref[[#This Row],[msr_id]],tblMeasure[msr_id],tblMeasure[src_name])</f>
        <v>SALT</v>
      </c>
    </row>
    <row r="452" spans="1:12" x14ac:dyDescent="0.15">
      <c r="A452" s="1" t="str">
        <f>_xlfn.XLOOKUP(tblRequirementMeasureXref[[#This Row],[dm_id]],tblDataRequirement[dm_id],tblDataRequirement[domain_sub_requirement])</f>
        <v>Service:Support type:Reablement / ST-MAX</v>
      </c>
      <c r="B452" s="1" t="str">
        <f>_xlfn.XLOOKUP(tblRequirementMeasureXref[[#This Row],[dm_id]],tblDataRequirement[dm_id],tblDataRequirement[dm_phase])</f>
        <v>operate</v>
      </c>
      <c r="C452" s="1">
        <v>46</v>
      </c>
      <c r="D452" s="1">
        <v>106</v>
      </c>
      <c r="E452" s="1" t="s">
        <v>192</v>
      </c>
      <c r="G452" s="1"/>
      <c r="H452" s="62" t="str">
        <f>_xlfn.XLOOKUP(tblRequirementMeasureXref[[#This Row],[msr_id]],tblMeasure[msr_id],tblMeasure[msr_table])</f>
        <v>LTS002a</v>
      </c>
      <c r="I452"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2" s="22" t="str">
        <f>_xlfn.XLOOKUP(tblRequirementMeasureXref[[#This Row],[msr_id]],tblMeasure[msr_id],tblMeasure[primary_dimensions])</f>
        <v>reviews, sequels</v>
      </c>
      <c r="K452" s="22" t="str">
        <f>_xlfn.XLOOKUP(tblRequirementMeasureXref[[#This Row],[msr_id]],tblMeasure[msr_id],tblMeasure[msr_min_geo_resolution])</f>
        <v>LA</v>
      </c>
      <c r="L452" s="22" t="str">
        <f>_xlfn.XLOOKUP(tblRequirementMeasureXref[[#This Row],[msr_id]],tblMeasure[msr_id],tblMeasure[src_name])</f>
        <v>SALT</v>
      </c>
    </row>
    <row r="453" spans="1:12" x14ac:dyDescent="0.15">
      <c r="A453" s="1" t="str">
        <f>_xlfn.XLOOKUP(tblRequirementMeasureXref[[#This Row],[dm_id]],tblDataRequirement[dm_id],tblDataRequirement[domain_sub_requirement])</f>
        <v>Service:Support setting:Residential care home</v>
      </c>
      <c r="B453" s="1" t="str">
        <f>_xlfn.XLOOKUP(tblRequirementMeasureXref[[#This Row],[dm_id]],tblDataRequirement[dm_id],tblDataRequirement[dm_phase])</f>
        <v>operate</v>
      </c>
      <c r="C453" s="1">
        <v>41</v>
      </c>
      <c r="D453" s="1">
        <v>106</v>
      </c>
      <c r="E453" s="1" t="s">
        <v>192</v>
      </c>
      <c r="G453" s="1"/>
      <c r="H453" s="62" t="str">
        <f>_xlfn.XLOOKUP(tblRequirementMeasureXref[[#This Row],[msr_id]],tblMeasure[msr_id],tblMeasure[msr_table])</f>
        <v>LTS002a</v>
      </c>
      <c r="I453"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3" s="22" t="str">
        <f>_xlfn.XLOOKUP(tblRequirementMeasureXref[[#This Row],[msr_id]],tblMeasure[msr_id],tblMeasure[primary_dimensions])</f>
        <v>reviews, sequels</v>
      </c>
      <c r="K453" s="22" t="str">
        <f>_xlfn.XLOOKUP(tblRequirementMeasureXref[[#This Row],[msr_id]],tblMeasure[msr_id],tblMeasure[msr_min_geo_resolution])</f>
        <v>LA</v>
      </c>
      <c r="L453" s="22" t="str">
        <f>_xlfn.XLOOKUP(tblRequirementMeasureXref[[#This Row],[msr_id]],tblMeasure[msr_id],tblMeasure[src_name])</f>
        <v>SALT</v>
      </c>
    </row>
    <row r="454" spans="1:12" x14ac:dyDescent="0.15">
      <c r="A454" s="1" t="str">
        <f>_xlfn.XLOOKUP(tblRequirementMeasureXref[[#This Row],[dm_id]],tblDataRequirement[dm_id],tblDataRequirement[domain_sub_requirement])</f>
        <v>Service:Support setting:Nursing home</v>
      </c>
      <c r="B454" s="1" t="str">
        <f>_xlfn.XLOOKUP(tblRequirementMeasureXref[[#This Row],[dm_id]],tblDataRequirement[dm_id],tblDataRequirement[dm_phase])</f>
        <v>operate</v>
      </c>
      <c r="C454" s="1">
        <v>42</v>
      </c>
      <c r="D454" s="1">
        <v>106</v>
      </c>
      <c r="E454" s="1" t="s">
        <v>192</v>
      </c>
      <c r="G454" s="1"/>
      <c r="H454" s="62" t="str">
        <f>_xlfn.XLOOKUP(tblRequirementMeasureXref[[#This Row],[msr_id]],tblMeasure[msr_id],tblMeasure[msr_table])</f>
        <v>LTS002a</v>
      </c>
      <c r="I454"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4" s="22" t="str">
        <f>_xlfn.XLOOKUP(tblRequirementMeasureXref[[#This Row],[msr_id]],tblMeasure[msr_id],tblMeasure[primary_dimensions])</f>
        <v>reviews, sequels</v>
      </c>
      <c r="K454" s="22" t="str">
        <f>_xlfn.XLOOKUP(tblRequirementMeasureXref[[#This Row],[msr_id]],tblMeasure[msr_id],tblMeasure[msr_min_geo_resolution])</f>
        <v>LA</v>
      </c>
      <c r="L454" s="22" t="str">
        <f>_xlfn.XLOOKUP(tblRequirementMeasureXref[[#This Row],[msr_id]],tblMeasure[msr_id],tblMeasure[src_name])</f>
        <v>SALT</v>
      </c>
    </row>
    <row r="455" spans="1:12" x14ac:dyDescent="0.15">
      <c r="A455" s="1" t="str">
        <f>_xlfn.XLOOKUP(tblRequirementMeasureXref[[#This Row],[dm_id]],tblDataRequirement[dm_id],tblDataRequirement[domain_sub_requirement])</f>
        <v>Service:Support setting:Community</v>
      </c>
      <c r="B455" s="1" t="str">
        <f>_xlfn.XLOOKUP(tblRequirementMeasureXref[[#This Row],[dm_id]],tblDataRequirement[dm_id],tblDataRequirement[dm_phase])</f>
        <v>operate</v>
      </c>
      <c r="C455" s="1">
        <v>43</v>
      </c>
      <c r="D455" s="1">
        <v>106</v>
      </c>
      <c r="E455" s="1" t="s">
        <v>192</v>
      </c>
      <c r="G455" s="1"/>
      <c r="H455" s="62" t="str">
        <f>_xlfn.XLOOKUP(tblRequirementMeasureXref[[#This Row],[msr_id]],tblMeasure[msr_id],tblMeasure[msr_table])</f>
        <v>LTS002a</v>
      </c>
      <c r="I455"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5" s="22" t="str">
        <f>_xlfn.XLOOKUP(tblRequirementMeasureXref[[#This Row],[msr_id]],tblMeasure[msr_id],tblMeasure[primary_dimensions])</f>
        <v>reviews, sequels</v>
      </c>
      <c r="K455" s="22" t="str">
        <f>_xlfn.XLOOKUP(tblRequirementMeasureXref[[#This Row],[msr_id]],tblMeasure[msr_id],tblMeasure[msr_min_geo_resolution])</f>
        <v>LA</v>
      </c>
      <c r="L455" s="22" t="str">
        <f>_xlfn.XLOOKUP(tblRequirementMeasureXref[[#This Row],[msr_id]],tblMeasure[msr_id],tblMeasure[src_name])</f>
        <v>SALT</v>
      </c>
    </row>
    <row r="456" spans="1:12" x14ac:dyDescent="0.15">
      <c r="A456" s="1" t="str">
        <f>_xlfn.XLOOKUP(tblRequirementMeasureXref[[#This Row],[dm_id]],tblDataRequirement[dm_id],tblDataRequirement[domain_sub_requirement])</f>
        <v>Service:Access:Sequel to service</v>
      </c>
      <c r="B456" s="1" t="str">
        <f>_xlfn.XLOOKUP(tblRequirementMeasureXref[[#This Row],[dm_id]],tblDataRequirement[dm_id],tblDataRequirement[dm_phase])</f>
        <v>demand</v>
      </c>
      <c r="C456" s="1">
        <v>59</v>
      </c>
      <c r="D456" s="1">
        <v>106</v>
      </c>
      <c r="E456" s="1" t="s">
        <v>192</v>
      </c>
      <c r="G456" s="1"/>
      <c r="H456" s="62" t="str">
        <f>_xlfn.XLOOKUP(tblRequirementMeasureXref[[#This Row],[msr_id]],tblMeasure[msr_id],tblMeasure[msr_table])</f>
        <v>LTS002a</v>
      </c>
      <c r="I456"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6" s="22" t="str">
        <f>_xlfn.XLOOKUP(tblRequirementMeasureXref[[#This Row],[msr_id]],tblMeasure[msr_id],tblMeasure[primary_dimensions])</f>
        <v>reviews, sequels</v>
      </c>
      <c r="K456" s="22" t="str">
        <f>_xlfn.XLOOKUP(tblRequirementMeasureXref[[#This Row],[msr_id]],tblMeasure[msr_id],tblMeasure[msr_min_geo_resolution])</f>
        <v>LA</v>
      </c>
      <c r="L456" s="22" t="str">
        <f>_xlfn.XLOOKUP(tblRequirementMeasureXref[[#This Row],[msr_id]],tblMeasure[msr_id],tblMeasure[src_name])</f>
        <v>SALT</v>
      </c>
    </row>
    <row r="457" spans="1:12" x14ac:dyDescent="0.15">
      <c r="A457" s="1" t="str">
        <f>_xlfn.XLOOKUP(tblRequirementMeasureXref[[#This Row],[dm_id]],tblDataRequirement[dm_id],tblDataRequirement[domain_sub_requirement])</f>
        <v>Service:Integration:NHS secondary care</v>
      </c>
      <c r="B457" s="1" t="str">
        <f>_xlfn.XLOOKUP(tblRequirementMeasureXref[[#This Row],[dm_id]],tblDataRequirement[dm_id],tblDataRequirement[dm_phase])</f>
        <v>operate</v>
      </c>
      <c r="C457" s="1">
        <v>37</v>
      </c>
      <c r="D457" s="1">
        <v>106</v>
      </c>
      <c r="E457" s="1" t="s">
        <v>192</v>
      </c>
      <c r="G457" s="1"/>
      <c r="H457" s="62" t="str">
        <f>_xlfn.XLOOKUP(tblRequirementMeasureXref[[#This Row],[msr_id]],tblMeasure[msr_id],tblMeasure[msr_table])</f>
        <v>LTS002a</v>
      </c>
      <c r="I457"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7" s="22" t="str">
        <f>_xlfn.XLOOKUP(tblRequirementMeasureXref[[#This Row],[msr_id]],tblMeasure[msr_id],tblMeasure[primary_dimensions])</f>
        <v>reviews, sequels</v>
      </c>
      <c r="K457" s="22" t="str">
        <f>_xlfn.XLOOKUP(tblRequirementMeasureXref[[#This Row],[msr_id]],tblMeasure[msr_id],tblMeasure[msr_min_geo_resolution])</f>
        <v>LA</v>
      </c>
      <c r="L457" s="22" t="str">
        <f>_xlfn.XLOOKUP(tblRequirementMeasureXref[[#This Row],[msr_id]],tblMeasure[msr_id],tblMeasure[src_name])</f>
        <v>SALT</v>
      </c>
    </row>
    <row r="458" spans="1:12" x14ac:dyDescent="0.15">
      <c r="A458" s="1" t="str">
        <f>_xlfn.XLOOKUP(tblRequirementMeasureXref[[#This Row],[dm_id]],tblDataRequirement[dm_id],tblDataRequirement[domain_sub_requirement])</f>
        <v>Service:Access:Not eligible for local authority funded care</v>
      </c>
      <c r="B458" s="1" t="str">
        <f>_xlfn.XLOOKUP(tblRequirementMeasureXref[[#This Row],[dm_id]],tblDataRequirement[dm_id],tblDataRequirement[dm_phase])</f>
        <v>demand</v>
      </c>
      <c r="C458" s="1">
        <v>57</v>
      </c>
      <c r="D458" s="1">
        <v>106</v>
      </c>
      <c r="E458" s="1" t="s">
        <v>192</v>
      </c>
      <c r="G458" s="1"/>
      <c r="H458" s="62" t="str">
        <f>_xlfn.XLOOKUP(tblRequirementMeasureXref[[#This Row],[msr_id]],tblMeasure[msr_id],tblMeasure[msr_table])</f>
        <v>LTS002a</v>
      </c>
      <c r="I458"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8" s="22" t="str">
        <f>_xlfn.XLOOKUP(tblRequirementMeasureXref[[#This Row],[msr_id]],tblMeasure[msr_id],tblMeasure[primary_dimensions])</f>
        <v>reviews, sequels</v>
      </c>
      <c r="K458" s="22" t="str">
        <f>_xlfn.XLOOKUP(tblRequirementMeasureXref[[#This Row],[msr_id]],tblMeasure[msr_id],tblMeasure[msr_min_geo_resolution])</f>
        <v>LA</v>
      </c>
      <c r="L458" s="22" t="str">
        <f>_xlfn.XLOOKUP(tblRequirementMeasureXref[[#This Row],[msr_id]],tblMeasure[msr_id],tblMeasure[src_name])</f>
        <v>SALT</v>
      </c>
    </row>
    <row r="459" spans="1:12" x14ac:dyDescent="0.15">
      <c r="A459" s="1" t="str">
        <f>_xlfn.XLOOKUP(tblRequirementMeasureXref[[#This Row],[dm_id]],tblDataRequirement[dm_id],tblDataRequirement[domain_sub_requirement])</f>
        <v>Service:Access:Reviews</v>
      </c>
      <c r="B459" s="1" t="str">
        <f>_xlfn.XLOOKUP(tblRequirementMeasureXref[[#This Row],[dm_id]],tblDataRequirement[dm_id],tblDataRequirement[dm_phase])</f>
        <v>demand</v>
      </c>
      <c r="C459" s="1">
        <v>69</v>
      </c>
      <c r="D459" s="1">
        <v>106</v>
      </c>
      <c r="E459" s="1" t="s">
        <v>192</v>
      </c>
      <c r="G459" s="1"/>
      <c r="H459" s="62" t="str">
        <f>_xlfn.XLOOKUP(tblRequirementMeasureXref[[#This Row],[msr_id]],tblMeasure[msr_id],tblMeasure[msr_table])</f>
        <v>LTS002a</v>
      </c>
      <c r="I459"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59" s="22" t="str">
        <f>_xlfn.XLOOKUP(tblRequirementMeasureXref[[#This Row],[msr_id]],tblMeasure[msr_id],tblMeasure[primary_dimensions])</f>
        <v>reviews, sequels</v>
      </c>
      <c r="K459" s="22" t="str">
        <f>_xlfn.XLOOKUP(tblRequirementMeasureXref[[#This Row],[msr_id]],tblMeasure[msr_id],tblMeasure[msr_min_geo_resolution])</f>
        <v>LA</v>
      </c>
      <c r="L459" s="22" t="str">
        <f>_xlfn.XLOOKUP(tblRequirementMeasureXref[[#This Row],[msr_id]],tblMeasure[msr_id],tblMeasure[src_name])</f>
        <v>SALT</v>
      </c>
    </row>
    <row r="460" spans="1:12" x14ac:dyDescent="0.15">
      <c r="A460" s="1" t="str">
        <f>_xlfn.XLOOKUP(tblRequirementMeasureXref[[#This Row],[dm_id]],tblDataRequirement[dm_id],tblDataRequirement[domain_sub_requirement])</f>
        <v>Users:Demographics:Age</v>
      </c>
      <c r="B460" s="1" t="str">
        <f>_xlfn.XLOOKUP(tblRequirementMeasureXref[[#This Row],[dm_id]],tblDataRequirement[dm_id],tblDataRequirement[dm_phase])</f>
        <v>demand</v>
      </c>
      <c r="C460" s="1">
        <v>51</v>
      </c>
      <c r="D460" s="1">
        <v>106</v>
      </c>
      <c r="E460" s="1" t="s">
        <v>192</v>
      </c>
      <c r="G460" s="1"/>
      <c r="H460" s="62" t="str">
        <f>_xlfn.XLOOKUP(tblRequirementMeasureXref[[#This Row],[msr_id]],tblMeasure[msr_id],tblMeasure[msr_table])</f>
        <v>LTS002a</v>
      </c>
      <c r="I460"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60" s="22" t="str">
        <f>_xlfn.XLOOKUP(tblRequirementMeasureXref[[#This Row],[msr_id]],tblMeasure[msr_id],tblMeasure[primary_dimensions])</f>
        <v>reviews, sequels</v>
      </c>
      <c r="K460" s="22" t="str">
        <f>_xlfn.XLOOKUP(tblRequirementMeasureXref[[#This Row],[msr_id]],tblMeasure[msr_id],tblMeasure[msr_min_geo_resolution])</f>
        <v>LA</v>
      </c>
      <c r="L460" s="22" t="str">
        <f>_xlfn.XLOOKUP(tblRequirementMeasureXref[[#This Row],[msr_id]],tblMeasure[msr_id],tblMeasure[src_name])</f>
        <v>SALT</v>
      </c>
    </row>
    <row r="461" spans="1:12" x14ac:dyDescent="0.15">
      <c r="A461" s="1" t="str">
        <f>_xlfn.XLOOKUP(tblRequirementMeasureXref[[#This Row],[dm_id]],tblDataRequirement[dm_id],tblDataRequirement[domain_sub_requirement])</f>
        <v>Service:Access:Sequel to service</v>
      </c>
      <c r="B461" s="1" t="str">
        <f>_xlfn.XLOOKUP(tblRequirementMeasureXref[[#This Row],[dm_id]],tblDataRequirement[dm_id],tblDataRequirement[dm_phase])</f>
        <v>demand</v>
      </c>
      <c r="C461" s="1">
        <v>59</v>
      </c>
      <c r="D461" s="1">
        <v>106</v>
      </c>
      <c r="E461" s="1" t="s">
        <v>192</v>
      </c>
      <c r="G461" s="1"/>
      <c r="H461" s="62" t="str">
        <f>_xlfn.XLOOKUP(tblRequirementMeasureXref[[#This Row],[msr_id]],tblMeasure[msr_id],tblMeasure[msr_table])</f>
        <v>LTS002a</v>
      </c>
      <c r="I461"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61" s="22" t="str">
        <f>_xlfn.XLOOKUP(tblRequirementMeasureXref[[#This Row],[msr_id]],tblMeasure[msr_id],tblMeasure[primary_dimensions])</f>
        <v>reviews, sequels</v>
      </c>
      <c r="K461" s="22" t="str">
        <f>_xlfn.XLOOKUP(tblRequirementMeasureXref[[#This Row],[msr_id]],tblMeasure[msr_id],tblMeasure[msr_min_geo_resolution])</f>
        <v>LA</v>
      </c>
      <c r="L461" s="22" t="str">
        <f>_xlfn.XLOOKUP(tblRequirementMeasureXref[[#This Row],[msr_id]],tblMeasure[msr_id],tblMeasure[src_name])</f>
        <v>SALT</v>
      </c>
    </row>
    <row r="462" spans="1:12" x14ac:dyDescent="0.15">
      <c r="A462" s="1" t="str">
        <f>_xlfn.XLOOKUP(tblRequirementMeasureXref[[#This Row],[dm_id]],tblDataRequirement[dm_id],tblDataRequirement[domain_sub_requirement])</f>
        <v>Unpaid Carers:Workforce:Workforce</v>
      </c>
      <c r="B462" s="1" t="str">
        <f>_xlfn.XLOOKUP(tblRequirementMeasureXref[[#This Row],[dm_id]],tblDataRequirement[dm_id],tblDataRequirement[dm_phase])</f>
        <v>supply</v>
      </c>
      <c r="C462" s="1">
        <v>19</v>
      </c>
      <c r="D462" s="1">
        <v>106</v>
      </c>
      <c r="E462" s="1" t="s">
        <v>192</v>
      </c>
      <c r="G462" s="1"/>
      <c r="H462" s="62" t="str">
        <f>_xlfn.XLOOKUP(tblRequirementMeasureXref[[#This Row],[msr_id]],tblMeasure[msr_id],tblMeasure[msr_table])</f>
        <v>LTS002a</v>
      </c>
      <c r="I462"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62" s="22" t="str">
        <f>_xlfn.XLOOKUP(tblRequirementMeasureXref[[#This Row],[msr_id]],tblMeasure[msr_id],tblMeasure[primary_dimensions])</f>
        <v>reviews, sequels</v>
      </c>
      <c r="K462" s="22" t="str">
        <f>_xlfn.XLOOKUP(tblRequirementMeasureXref[[#This Row],[msr_id]],tblMeasure[msr_id],tblMeasure[msr_min_geo_resolution])</f>
        <v>LA</v>
      </c>
      <c r="L462" s="22" t="str">
        <f>_xlfn.XLOOKUP(tblRequirementMeasureXref[[#This Row],[msr_id]],tblMeasure[msr_id],tblMeasure[src_name])</f>
        <v>SALT</v>
      </c>
    </row>
    <row r="463" spans="1:12" x14ac:dyDescent="0.15">
      <c r="A463" s="1" t="str">
        <f>_xlfn.XLOOKUP(tblRequirementMeasureXref[[#This Row],[dm_id]],tblDataRequirement[dm_id],tblDataRequirement[domain_sub_requirement])</f>
        <v>Service:Quality:Safety</v>
      </c>
      <c r="B463" s="1" t="str">
        <f>_xlfn.XLOOKUP(tblRequirementMeasureXref[[#This Row],[dm_id]],tblDataRequirement[dm_id],tblDataRequirement[dm_phase])</f>
        <v>outcome</v>
      </c>
      <c r="C463" s="1">
        <v>74</v>
      </c>
      <c r="D463" s="1">
        <v>106</v>
      </c>
      <c r="E463" s="1" t="s">
        <v>192</v>
      </c>
      <c r="G463" s="1"/>
      <c r="H463" s="62" t="str">
        <f>_xlfn.XLOOKUP(tblRequirementMeasureXref[[#This Row],[msr_id]],tblMeasure[msr_id],tblMeasure[msr_table])</f>
        <v>LTS002a</v>
      </c>
      <c r="I463" s="22" t="str">
        <f>_xlfn.XLOOKUP(tblRequirementMeasureXref[[#This Row],[msr_id]],tblMeasure[msr_id],tblMeasure[msr_name])</f>
        <v>Long Term Support: Those clients receiving long term support recorded in LTS001a who received an Unplanned review during the year PLUS planned reviews for those clients that led to a care home admission</v>
      </c>
      <c r="J463" s="22" t="str">
        <f>_xlfn.XLOOKUP(tblRequirementMeasureXref[[#This Row],[msr_id]],tblMeasure[msr_id],tblMeasure[primary_dimensions])</f>
        <v>reviews, sequels</v>
      </c>
      <c r="K463" s="22" t="str">
        <f>_xlfn.XLOOKUP(tblRequirementMeasureXref[[#This Row],[msr_id]],tblMeasure[msr_id],tblMeasure[msr_min_geo_resolution])</f>
        <v>LA</v>
      </c>
      <c r="L463" s="22" t="str">
        <f>_xlfn.XLOOKUP(tblRequirementMeasureXref[[#This Row],[msr_id]],tblMeasure[msr_id],tblMeasure[src_name])</f>
        <v>SALT</v>
      </c>
    </row>
    <row r="464" spans="1:12" x14ac:dyDescent="0.15">
      <c r="A464" s="1" t="str">
        <f>_xlfn.XLOOKUP(tblRequirementMeasureXref[[#This Row],[dm_id]],tblDataRequirement[dm_id],tblDataRequirement[domain_sub_requirement])</f>
        <v>Service:Support type:Long-term</v>
      </c>
      <c r="B464" s="1" t="str">
        <f>_xlfn.XLOOKUP(tblRequirementMeasureXref[[#This Row],[dm_id]],tblDataRequirement[dm_id],tblDataRequirement[dm_phase])</f>
        <v>operate</v>
      </c>
      <c r="C464" s="1">
        <v>45</v>
      </c>
      <c r="D464" s="1">
        <v>107</v>
      </c>
      <c r="E464" s="1" t="s">
        <v>192</v>
      </c>
      <c r="G464" s="1"/>
      <c r="H464" s="62" t="str">
        <f>_xlfn.XLOOKUP(tblRequirementMeasureXref[[#This Row],[msr_id]],tblMeasure[msr_id],tblMeasure[msr_table])</f>
        <v>LTS002b</v>
      </c>
      <c r="I464"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64" s="22" t="str">
        <f>_xlfn.XLOOKUP(tblRequirementMeasureXref[[#This Row],[msr_id]],tblMeasure[msr_id],tblMeasure[primary_dimensions])</f>
        <v>reviews, sequels</v>
      </c>
      <c r="K464" s="22" t="str">
        <f>_xlfn.XLOOKUP(tblRequirementMeasureXref[[#This Row],[msr_id]],tblMeasure[msr_id],tblMeasure[msr_min_geo_resolution])</f>
        <v>LA</v>
      </c>
      <c r="L464" s="22" t="str">
        <f>_xlfn.XLOOKUP(tblRequirementMeasureXref[[#This Row],[msr_id]],tblMeasure[msr_id],tblMeasure[src_name])</f>
        <v>SALT</v>
      </c>
    </row>
    <row r="465" spans="1:12" x14ac:dyDescent="0.15">
      <c r="A465" s="1" t="str">
        <f>_xlfn.XLOOKUP(tblRequirementMeasureXref[[#This Row],[dm_id]],tblDataRequirement[dm_id],tblDataRequirement[domain_sub_requirement])</f>
        <v>Service:Access:Eligible for local authority funded care</v>
      </c>
      <c r="B465" s="1" t="str">
        <f>_xlfn.XLOOKUP(tblRequirementMeasureXref[[#This Row],[dm_id]],tblDataRequirement[dm_id],tblDataRequirement[dm_phase])</f>
        <v>demand</v>
      </c>
      <c r="C465" s="1">
        <v>28</v>
      </c>
      <c r="D465" s="1">
        <v>107</v>
      </c>
      <c r="E465" s="1" t="s">
        <v>192</v>
      </c>
      <c r="G465" s="1"/>
      <c r="H465" s="62" t="str">
        <f>_xlfn.XLOOKUP(tblRequirementMeasureXref[[#This Row],[msr_id]],tblMeasure[msr_id],tblMeasure[msr_table])</f>
        <v>LTS002b</v>
      </c>
      <c r="I465"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65" s="22" t="str">
        <f>_xlfn.XLOOKUP(tblRequirementMeasureXref[[#This Row],[msr_id]],tblMeasure[msr_id],tblMeasure[primary_dimensions])</f>
        <v>reviews, sequels</v>
      </c>
      <c r="K465" s="22" t="str">
        <f>_xlfn.XLOOKUP(tblRequirementMeasureXref[[#This Row],[msr_id]],tblMeasure[msr_id],tblMeasure[msr_min_geo_resolution])</f>
        <v>LA</v>
      </c>
      <c r="L465" s="22" t="str">
        <f>_xlfn.XLOOKUP(tblRequirementMeasureXref[[#This Row],[msr_id]],tblMeasure[msr_id],tblMeasure[src_name])</f>
        <v>SALT</v>
      </c>
    </row>
    <row r="466" spans="1:12" x14ac:dyDescent="0.15">
      <c r="A466" s="1" t="str">
        <f>_xlfn.XLOOKUP(tblRequirementMeasureXref[[#This Row],[dm_id]],tblDataRequirement[dm_id],tblDataRequirement[domain_sub_requirement])</f>
        <v>Service:Support type:Reablement / ST-MAX</v>
      </c>
      <c r="B466" s="1" t="str">
        <f>_xlfn.XLOOKUP(tblRequirementMeasureXref[[#This Row],[dm_id]],tblDataRequirement[dm_id],tblDataRequirement[dm_phase])</f>
        <v>operate</v>
      </c>
      <c r="C466" s="1">
        <v>46</v>
      </c>
      <c r="D466" s="1">
        <v>107</v>
      </c>
      <c r="E466" s="1" t="s">
        <v>192</v>
      </c>
      <c r="G466" s="1"/>
      <c r="H466" s="62" t="str">
        <f>_xlfn.XLOOKUP(tblRequirementMeasureXref[[#This Row],[msr_id]],tblMeasure[msr_id],tblMeasure[msr_table])</f>
        <v>LTS002b</v>
      </c>
      <c r="I466"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66" s="22" t="str">
        <f>_xlfn.XLOOKUP(tblRequirementMeasureXref[[#This Row],[msr_id]],tblMeasure[msr_id],tblMeasure[primary_dimensions])</f>
        <v>reviews, sequels</v>
      </c>
      <c r="K466" s="22" t="str">
        <f>_xlfn.XLOOKUP(tblRequirementMeasureXref[[#This Row],[msr_id]],tblMeasure[msr_id],tblMeasure[msr_min_geo_resolution])</f>
        <v>LA</v>
      </c>
      <c r="L466" s="22" t="str">
        <f>_xlfn.XLOOKUP(tblRequirementMeasureXref[[#This Row],[msr_id]],tblMeasure[msr_id],tblMeasure[src_name])</f>
        <v>SALT</v>
      </c>
    </row>
    <row r="467" spans="1:12" x14ac:dyDescent="0.15">
      <c r="A467" s="1" t="str">
        <f>_xlfn.XLOOKUP(tblRequirementMeasureXref[[#This Row],[dm_id]],tblDataRequirement[dm_id],tblDataRequirement[domain_sub_requirement])</f>
        <v>Service:Support setting:Residential care home</v>
      </c>
      <c r="B467" s="1" t="str">
        <f>_xlfn.XLOOKUP(tblRequirementMeasureXref[[#This Row],[dm_id]],tblDataRequirement[dm_id],tblDataRequirement[dm_phase])</f>
        <v>operate</v>
      </c>
      <c r="C467" s="1">
        <v>41</v>
      </c>
      <c r="D467" s="1">
        <v>107</v>
      </c>
      <c r="E467" s="1" t="s">
        <v>192</v>
      </c>
      <c r="G467" s="1"/>
      <c r="H467" s="62" t="str">
        <f>_xlfn.XLOOKUP(tblRequirementMeasureXref[[#This Row],[msr_id]],tblMeasure[msr_id],tblMeasure[msr_table])</f>
        <v>LTS002b</v>
      </c>
      <c r="I467"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67" s="22" t="str">
        <f>_xlfn.XLOOKUP(tblRequirementMeasureXref[[#This Row],[msr_id]],tblMeasure[msr_id],tblMeasure[primary_dimensions])</f>
        <v>reviews, sequels</v>
      </c>
      <c r="K467" s="22" t="str">
        <f>_xlfn.XLOOKUP(tblRequirementMeasureXref[[#This Row],[msr_id]],tblMeasure[msr_id],tblMeasure[msr_min_geo_resolution])</f>
        <v>LA</v>
      </c>
      <c r="L467" s="22" t="str">
        <f>_xlfn.XLOOKUP(tblRequirementMeasureXref[[#This Row],[msr_id]],tblMeasure[msr_id],tblMeasure[src_name])</f>
        <v>SALT</v>
      </c>
    </row>
    <row r="468" spans="1:12" x14ac:dyDescent="0.15">
      <c r="A468" s="1" t="str">
        <f>_xlfn.XLOOKUP(tblRequirementMeasureXref[[#This Row],[dm_id]],tblDataRequirement[dm_id],tblDataRequirement[domain_sub_requirement])</f>
        <v>Service:Support setting:Nursing home</v>
      </c>
      <c r="B468" s="1" t="str">
        <f>_xlfn.XLOOKUP(tblRequirementMeasureXref[[#This Row],[dm_id]],tblDataRequirement[dm_id],tblDataRequirement[dm_phase])</f>
        <v>operate</v>
      </c>
      <c r="C468" s="1">
        <v>42</v>
      </c>
      <c r="D468" s="1">
        <v>107</v>
      </c>
      <c r="E468" s="1" t="s">
        <v>192</v>
      </c>
      <c r="G468" s="1"/>
      <c r="H468" s="62" t="str">
        <f>_xlfn.XLOOKUP(tblRequirementMeasureXref[[#This Row],[msr_id]],tblMeasure[msr_id],tblMeasure[msr_table])</f>
        <v>LTS002b</v>
      </c>
      <c r="I468"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68" s="22" t="str">
        <f>_xlfn.XLOOKUP(tblRequirementMeasureXref[[#This Row],[msr_id]],tblMeasure[msr_id],tblMeasure[primary_dimensions])</f>
        <v>reviews, sequels</v>
      </c>
      <c r="K468" s="22" t="str">
        <f>_xlfn.XLOOKUP(tblRequirementMeasureXref[[#This Row],[msr_id]],tblMeasure[msr_id],tblMeasure[msr_min_geo_resolution])</f>
        <v>LA</v>
      </c>
      <c r="L468" s="22" t="str">
        <f>_xlfn.XLOOKUP(tblRequirementMeasureXref[[#This Row],[msr_id]],tblMeasure[msr_id],tblMeasure[src_name])</f>
        <v>SALT</v>
      </c>
    </row>
    <row r="469" spans="1:12" x14ac:dyDescent="0.15">
      <c r="A469" s="1" t="str">
        <f>_xlfn.XLOOKUP(tblRequirementMeasureXref[[#This Row],[dm_id]],tblDataRequirement[dm_id],tblDataRequirement[domain_sub_requirement])</f>
        <v>Service:Support setting:Community</v>
      </c>
      <c r="B469" s="1" t="str">
        <f>_xlfn.XLOOKUP(tblRequirementMeasureXref[[#This Row],[dm_id]],tblDataRequirement[dm_id],tblDataRequirement[dm_phase])</f>
        <v>operate</v>
      </c>
      <c r="C469" s="1">
        <v>43</v>
      </c>
      <c r="D469" s="1">
        <v>107</v>
      </c>
      <c r="E469" s="1" t="s">
        <v>192</v>
      </c>
      <c r="G469" s="1"/>
      <c r="H469" s="62" t="str">
        <f>_xlfn.XLOOKUP(tblRequirementMeasureXref[[#This Row],[msr_id]],tblMeasure[msr_id],tblMeasure[msr_table])</f>
        <v>LTS002b</v>
      </c>
      <c r="I469"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69" s="22" t="str">
        <f>_xlfn.XLOOKUP(tblRequirementMeasureXref[[#This Row],[msr_id]],tblMeasure[msr_id],tblMeasure[primary_dimensions])</f>
        <v>reviews, sequels</v>
      </c>
      <c r="K469" s="22" t="str">
        <f>_xlfn.XLOOKUP(tblRequirementMeasureXref[[#This Row],[msr_id]],tblMeasure[msr_id],tblMeasure[msr_min_geo_resolution])</f>
        <v>LA</v>
      </c>
      <c r="L469" s="22" t="str">
        <f>_xlfn.XLOOKUP(tblRequirementMeasureXref[[#This Row],[msr_id]],tblMeasure[msr_id],tblMeasure[src_name])</f>
        <v>SALT</v>
      </c>
    </row>
    <row r="470" spans="1:12" x14ac:dyDescent="0.15">
      <c r="A470" s="1" t="str">
        <f>_xlfn.XLOOKUP(tblRequirementMeasureXref[[#This Row],[dm_id]],tblDataRequirement[dm_id],tblDataRequirement[domain_sub_requirement])</f>
        <v>Service:Access:Sequel to service</v>
      </c>
      <c r="B470" s="1" t="str">
        <f>_xlfn.XLOOKUP(tblRequirementMeasureXref[[#This Row],[dm_id]],tblDataRequirement[dm_id],tblDataRequirement[dm_phase])</f>
        <v>demand</v>
      </c>
      <c r="C470" s="1">
        <v>59</v>
      </c>
      <c r="D470" s="1">
        <v>107</v>
      </c>
      <c r="E470" s="1" t="s">
        <v>192</v>
      </c>
      <c r="G470" s="1"/>
      <c r="H470" s="62" t="str">
        <f>_xlfn.XLOOKUP(tblRequirementMeasureXref[[#This Row],[msr_id]],tblMeasure[msr_id],tblMeasure[msr_table])</f>
        <v>LTS002b</v>
      </c>
      <c r="I470"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70" s="22" t="str">
        <f>_xlfn.XLOOKUP(tblRequirementMeasureXref[[#This Row],[msr_id]],tblMeasure[msr_id],tblMeasure[primary_dimensions])</f>
        <v>reviews, sequels</v>
      </c>
      <c r="K470" s="22" t="str">
        <f>_xlfn.XLOOKUP(tblRequirementMeasureXref[[#This Row],[msr_id]],tblMeasure[msr_id],tblMeasure[msr_min_geo_resolution])</f>
        <v>LA</v>
      </c>
      <c r="L470" s="22" t="str">
        <f>_xlfn.XLOOKUP(tblRequirementMeasureXref[[#This Row],[msr_id]],tblMeasure[msr_id],tblMeasure[src_name])</f>
        <v>SALT</v>
      </c>
    </row>
    <row r="471" spans="1:12" x14ac:dyDescent="0.15">
      <c r="A471" s="1" t="str">
        <f>_xlfn.XLOOKUP(tblRequirementMeasureXref[[#This Row],[dm_id]],tblDataRequirement[dm_id],tblDataRequirement[domain_sub_requirement])</f>
        <v>Service:Integration:NHS secondary care</v>
      </c>
      <c r="B471" s="1" t="str">
        <f>_xlfn.XLOOKUP(tblRequirementMeasureXref[[#This Row],[dm_id]],tblDataRequirement[dm_id],tblDataRequirement[dm_phase])</f>
        <v>operate</v>
      </c>
      <c r="C471" s="1">
        <v>37</v>
      </c>
      <c r="D471" s="1">
        <v>107</v>
      </c>
      <c r="E471" s="1" t="s">
        <v>192</v>
      </c>
      <c r="G471" s="1"/>
      <c r="H471" s="62" t="str">
        <f>_xlfn.XLOOKUP(tblRequirementMeasureXref[[#This Row],[msr_id]],tblMeasure[msr_id],tblMeasure[msr_table])</f>
        <v>LTS002b</v>
      </c>
      <c r="I471"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71" s="22" t="str">
        <f>_xlfn.XLOOKUP(tblRequirementMeasureXref[[#This Row],[msr_id]],tblMeasure[msr_id],tblMeasure[primary_dimensions])</f>
        <v>reviews, sequels</v>
      </c>
      <c r="K471" s="22" t="str">
        <f>_xlfn.XLOOKUP(tblRequirementMeasureXref[[#This Row],[msr_id]],tblMeasure[msr_id],tblMeasure[msr_min_geo_resolution])</f>
        <v>LA</v>
      </c>
      <c r="L471" s="22" t="str">
        <f>_xlfn.XLOOKUP(tblRequirementMeasureXref[[#This Row],[msr_id]],tblMeasure[msr_id],tblMeasure[src_name])</f>
        <v>SALT</v>
      </c>
    </row>
    <row r="472" spans="1:12" x14ac:dyDescent="0.15">
      <c r="A472" s="1" t="str">
        <f>_xlfn.XLOOKUP(tblRequirementMeasureXref[[#This Row],[dm_id]],tblDataRequirement[dm_id],tblDataRequirement[domain_sub_requirement])</f>
        <v>Service:Access:Not eligible for local authority funded care</v>
      </c>
      <c r="B472" s="1" t="str">
        <f>_xlfn.XLOOKUP(tblRequirementMeasureXref[[#This Row],[dm_id]],tblDataRequirement[dm_id],tblDataRequirement[dm_phase])</f>
        <v>demand</v>
      </c>
      <c r="C472" s="1">
        <v>57</v>
      </c>
      <c r="D472" s="1">
        <v>107</v>
      </c>
      <c r="E472" s="1" t="s">
        <v>192</v>
      </c>
      <c r="G472" s="1"/>
      <c r="H472" s="62" t="str">
        <f>_xlfn.XLOOKUP(tblRequirementMeasureXref[[#This Row],[msr_id]],tblMeasure[msr_id],tblMeasure[msr_table])</f>
        <v>LTS002b</v>
      </c>
      <c r="I472"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72" s="22" t="str">
        <f>_xlfn.XLOOKUP(tblRequirementMeasureXref[[#This Row],[msr_id]],tblMeasure[msr_id],tblMeasure[primary_dimensions])</f>
        <v>reviews, sequels</v>
      </c>
      <c r="K472" s="22" t="str">
        <f>_xlfn.XLOOKUP(tblRequirementMeasureXref[[#This Row],[msr_id]],tblMeasure[msr_id],tblMeasure[msr_min_geo_resolution])</f>
        <v>LA</v>
      </c>
      <c r="L472" s="22" t="str">
        <f>_xlfn.XLOOKUP(tblRequirementMeasureXref[[#This Row],[msr_id]],tblMeasure[msr_id],tblMeasure[src_name])</f>
        <v>SALT</v>
      </c>
    </row>
    <row r="473" spans="1:12" x14ac:dyDescent="0.15">
      <c r="A473" s="1" t="str">
        <f>_xlfn.XLOOKUP(tblRequirementMeasureXref[[#This Row],[dm_id]],tblDataRequirement[dm_id],tblDataRequirement[domain_sub_requirement])</f>
        <v>Service:Access:Reviews</v>
      </c>
      <c r="B473" s="1" t="str">
        <f>_xlfn.XLOOKUP(tblRequirementMeasureXref[[#This Row],[dm_id]],tblDataRequirement[dm_id],tblDataRequirement[dm_phase])</f>
        <v>demand</v>
      </c>
      <c r="C473" s="1">
        <v>69</v>
      </c>
      <c r="D473" s="1">
        <v>107</v>
      </c>
      <c r="E473" s="1" t="s">
        <v>192</v>
      </c>
      <c r="G473" s="1"/>
      <c r="H473" s="62" t="str">
        <f>_xlfn.XLOOKUP(tblRequirementMeasureXref[[#This Row],[msr_id]],tblMeasure[msr_id],tblMeasure[msr_table])</f>
        <v>LTS002b</v>
      </c>
      <c r="I473"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73" s="22" t="str">
        <f>_xlfn.XLOOKUP(tblRequirementMeasureXref[[#This Row],[msr_id]],tblMeasure[msr_id],tblMeasure[primary_dimensions])</f>
        <v>reviews, sequels</v>
      </c>
      <c r="K473" s="22" t="str">
        <f>_xlfn.XLOOKUP(tblRequirementMeasureXref[[#This Row],[msr_id]],tblMeasure[msr_id],tblMeasure[msr_min_geo_resolution])</f>
        <v>LA</v>
      </c>
      <c r="L473" s="22" t="str">
        <f>_xlfn.XLOOKUP(tblRequirementMeasureXref[[#This Row],[msr_id]],tblMeasure[msr_id],tblMeasure[src_name])</f>
        <v>SALT</v>
      </c>
    </row>
    <row r="474" spans="1:12" x14ac:dyDescent="0.15">
      <c r="A474" s="1" t="str">
        <f>_xlfn.XLOOKUP(tblRequirementMeasureXref[[#This Row],[dm_id]],tblDataRequirement[dm_id],tblDataRequirement[domain_sub_requirement])</f>
        <v>Users:Demographics:Age</v>
      </c>
      <c r="B474" s="1" t="str">
        <f>_xlfn.XLOOKUP(tblRequirementMeasureXref[[#This Row],[dm_id]],tblDataRequirement[dm_id],tblDataRequirement[dm_phase])</f>
        <v>demand</v>
      </c>
      <c r="C474" s="1">
        <v>51</v>
      </c>
      <c r="D474" s="1">
        <v>107</v>
      </c>
      <c r="E474" s="1" t="s">
        <v>192</v>
      </c>
      <c r="G474" s="1"/>
      <c r="H474" s="62" t="str">
        <f>_xlfn.XLOOKUP(tblRequirementMeasureXref[[#This Row],[msr_id]],tblMeasure[msr_id],tblMeasure[msr_table])</f>
        <v>LTS002b</v>
      </c>
      <c r="I474"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74" s="22" t="str">
        <f>_xlfn.XLOOKUP(tblRequirementMeasureXref[[#This Row],[msr_id]],tblMeasure[msr_id],tblMeasure[primary_dimensions])</f>
        <v>reviews, sequels</v>
      </c>
      <c r="K474" s="22" t="str">
        <f>_xlfn.XLOOKUP(tblRequirementMeasureXref[[#This Row],[msr_id]],tblMeasure[msr_id],tblMeasure[msr_min_geo_resolution])</f>
        <v>LA</v>
      </c>
      <c r="L474" s="22" t="str">
        <f>_xlfn.XLOOKUP(tblRequirementMeasureXref[[#This Row],[msr_id]],tblMeasure[msr_id],tblMeasure[src_name])</f>
        <v>SALT</v>
      </c>
    </row>
    <row r="475" spans="1:12" x14ac:dyDescent="0.15">
      <c r="A475" s="1" t="str">
        <f>_xlfn.XLOOKUP(tblRequirementMeasureXref[[#This Row],[dm_id]],tblDataRequirement[dm_id],tblDataRequirement[domain_sub_requirement])</f>
        <v>Service:Access:Sequel to service</v>
      </c>
      <c r="B475" s="1" t="str">
        <f>_xlfn.XLOOKUP(tblRequirementMeasureXref[[#This Row],[dm_id]],tblDataRequirement[dm_id],tblDataRequirement[dm_phase])</f>
        <v>demand</v>
      </c>
      <c r="C475" s="1">
        <v>59</v>
      </c>
      <c r="D475" s="1">
        <v>107</v>
      </c>
      <c r="E475" s="1" t="s">
        <v>192</v>
      </c>
      <c r="G475" s="1"/>
      <c r="H475" s="62" t="str">
        <f>_xlfn.XLOOKUP(tblRequirementMeasureXref[[#This Row],[msr_id]],tblMeasure[msr_id],tblMeasure[msr_table])</f>
        <v>LTS002b</v>
      </c>
      <c r="I475"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75" s="22" t="str">
        <f>_xlfn.XLOOKUP(tblRequirementMeasureXref[[#This Row],[msr_id]],tblMeasure[msr_id],tblMeasure[primary_dimensions])</f>
        <v>reviews, sequels</v>
      </c>
      <c r="K475" s="22" t="str">
        <f>_xlfn.XLOOKUP(tblRequirementMeasureXref[[#This Row],[msr_id]],tblMeasure[msr_id],tblMeasure[msr_min_geo_resolution])</f>
        <v>LA</v>
      </c>
      <c r="L475" s="22" t="str">
        <f>_xlfn.XLOOKUP(tblRequirementMeasureXref[[#This Row],[msr_id]],tblMeasure[msr_id],tblMeasure[src_name])</f>
        <v>SALT</v>
      </c>
    </row>
    <row r="476" spans="1:12" x14ac:dyDescent="0.15">
      <c r="A476" s="1" t="str">
        <f>_xlfn.XLOOKUP(tblRequirementMeasureXref[[#This Row],[dm_id]],tblDataRequirement[dm_id],tblDataRequirement[domain_sub_requirement])</f>
        <v>Unpaid Carers:Workforce:Workforce</v>
      </c>
      <c r="B476" s="1" t="str">
        <f>_xlfn.XLOOKUP(tblRequirementMeasureXref[[#This Row],[dm_id]],tblDataRequirement[dm_id],tblDataRequirement[dm_phase])</f>
        <v>supply</v>
      </c>
      <c r="C476" s="1">
        <v>19</v>
      </c>
      <c r="D476" s="1">
        <v>107</v>
      </c>
      <c r="E476" s="1" t="s">
        <v>192</v>
      </c>
      <c r="G476" s="1"/>
      <c r="H476" s="62" t="str">
        <f>_xlfn.XLOOKUP(tblRequirementMeasureXref[[#This Row],[msr_id]],tblMeasure[msr_id],tblMeasure[msr_table])</f>
        <v>LTS002b</v>
      </c>
      <c r="I476"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76" s="22" t="str">
        <f>_xlfn.XLOOKUP(tblRequirementMeasureXref[[#This Row],[msr_id]],tblMeasure[msr_id],tblMeasure[primary_dimensions])</f>
        <v>reviews, sequels</v>
      </c>
      <c r="K476" s="22" t="str">
        <f>_xlfn.XLOOKUP(tblRequirementMeasureXref[[#This Row],[msr_id]],tblMeasure[msr_id],tblMeasure[msr_min_geo_resolution])</f>
        <v>LA</v>
      </c>
      <c r="L476" s="22" t="str">
        <f>_xlfn.XLOOKUP(tblRequirementMeasureXref[[#This Row],[msr_id]],tblMeasure[msr_id],tblMeasure[src_name])</f>
        <v>SALT</v>
      </c>
    </row>
    <row r="477" spans="1:12" x14ac:dyDescent="0.15">
      <c r="A477" s="1" t="str">
        <f>_xlfn.XLOOKUP(tblRequirementMeasureXref[[#This Row],[dm_id]],tblDataRequirement[dm_id],tblDataRequirement[domain_sub_requirement])</f>
        <v>Service:Quality:Safety</v>
      </c>
      <c r="B477" s="1" t="str">
        <f>_xlfn.XLOOKUP(tblRequirementMeasureXref[[#This Row],[dm_id]],tblDataRequirement[dm_id],tblDataRequirement[dm_phase])</f>
        <v>outcome</v>
      </c>
      <c r="C477" s="1">
        <v>74</v>
      </c>
      <c r="D477" s="1">
        <v>107</v>
      </c>
      <c r="E477" s="1" t="s">
        <v>192</v>
      </c>
      <c r="G477" s="1"/>
      <c r="H477" s="62" t="str">
        <f>_xlfn.XLOOKUP(tblRequirementMeasureXref[[#This Row],[msr_id]],tblMeasure[msr_id],tblMeasure[msr_table])</f>
        <v>LTS002b</v>
      </c>
      <c r="I477" s="22" t="str">
        <f>_xlfn.XLOOKUP(tblRequirementMeasureXref[[#This Row],[msr_id]],tblMeasure[msr_id],tblMeasure[msr_name])</f>
        <v>Long Term Support: Those clients receiving long term support for more than 12 months at the year-end (LTS001c), for whom an unplanned or planned review of care needs took place during the year and the sequel to that review</v>
      </c>
      <c r="J477" s="22" t="str">
        <f>_xlfn.XLOOKUP(tblRequirementMeasureXref[[#This Row],[msr_id]],tblMeasure[msr_id],tblMeasure[primary_dimensions])</f>
        <v>reviews, sequels</v>
      </c>
      <c r="K477" s="22" t="str">
        <f>_xlfn.XLOOKUP(tblRequirementMeasureXref[[#This Row],[msr_id]],tblMeasure[msr_id],tblMeasure[msr_min_geo_resolution])</f>
        <v>LA</v>
      </c>
      <c r="L477" s="22" t="str">
        <f>_xlfn.XLOOKUP(tblRequirementMeasureXref[[#This Row],[msr_id]],tblMeasure[msr_id],tblMeasure[src_name])</f>
        <v>SALT</v>
      </c>
    </row>
    <row r="478" spans="1:12" x14ac:dyDescent="0.15">
      <c r="A478" s="1" t="str">
        <f>_xlfn.XLOOKUP(tblRequirementMeasureXref[[#This Row],[dm_id]],tblDataRequirement[dm_id],tblDataRequirement[domain_sub_requirement])</f>
        <v>Unpaid Carers:Workforce:Workforce</v>
      </c>
      <c r="B478" s="1" t="str">
        <f>_xlfn.XLOOKUP(tblRequirementMeasureXref[[#This Row],[dm_id]],tblDataRequirement[dm_id],tblDataRequirement[dm_phase])</f>
        <v>supply</v>
      </c>
      <c r="C478" s="1">
        <v>19</v>
      </c>
      <c r="D478" s="1">
        <v>108</v>
      </c>
      <c r="E478" s="1" t="s">
        <v>192</v>
      </c>
      <c r="G478" s="1"/>
      <c r="H478" s="62" t="str">
        <f>_xlfn.XLOOKUP(tblRequirementMeasureXref[[#This Row],[msr_id]],tblMeasure[msr_id],tblMeasure[msr_table])</f>
        <v>LTS003</v>
      </c>
      <c r="I478" s="22" t="str">
        <f>_xlfn.XLOOKUP(tblRequirementMeasureXref[[#This Row],[msr_id]],tblMeasure[msr_id],tblMeasure[msr_name])</f>
        <v>Long Term Support: Carer Support provided during the year, broken down by the age of the carer, Primary Support Reason of the client and the type of support provided</v>
      </c>
      <c r="J478" s="22" t="str">
        <f>_xlfn.XLOOKUP(tblRequirementMeasureXref[[#This Row],[msr_id]],tblMeasure[msr_id],tblMeasure[primary_dimensions])</f>
        <v>carer support, carer age, carer support type, review method</v>
      </c>
      <c r="K478" s="22" t="str">
        <f>_xlfn.XLOOKUP(tblRequirementMeasureXref[[#This Row],[msr_id]],tblMeasure[msr_id],tblMeasure[msr_min_geo_resolution])</f>
        <v>LA</v>
      </c>
      <c r="L478" s="22" t="str">
        <f>_xlfn.XLOOKUP(tblRequirementMeasureXref[[#This Row],[msr_id]],tblMeasure[msr_id],tblMeasure[src_name])</f>
        <v>SALT</v>
      </c>
    </row>
    <row r="479" spans="1:12" x14ac:dyDescent="0.15">
      <c r="A479" s="1" t="str">
        <f>_xlfn.XLOOKUP(tblRequirementMeasureXref[[#This Row],[dm_id]],tblDataRequirement[dm_id],tblDataRequirement[domain_sub_requirement])</f>
        <v>Users:Care need:Disability/Dependence</v>
      </c>
      <c r="B479" s="1" t="str">
        <f>_xlfn.XLOOKUP(tblRequirementMeasureXref[[#This Row],[dm_id]],tblDataRequirement[dm_id],tblDataRequirement[dm_phase])</f>
        <v>demand</v>
      </c>
      <c r="C479" s="1">
        <v>61</v>
      </c>
      <c r="D479" s="1">
        <v>108</v>
      </c>
      <c r="E479" s="1" t="s">
        <v>192</v>
      </c>
      <c r="G479" s="1"/>
      <c r="H479" s="62" t="str">
        <f>_xlfn.XLOOKUP(tblRequirementMeasureXref[[#This Row],[msr_id]],tblMeasure[msr_id],tblMeasure[msr_table])</f>
        <v>LTS003</v>
      </c>
      <c r="I479" s="22" t="str">
        <f>_xlfn.XLOOKUP(tblRequirementMeasureXref[[#This Row],[msr_id]],tblMeasure[msr_id],tblMeasure[msr_name])</f>
        <v>Long Term Support: Carer Support provided during the year, broken down by the age of the carer, Primary Support Reason of the client and the type of support provided</v>
      </c>
      <c r="J479" s="22" t="str">
        <f>_xlfn.XLOOKUP(tblRequirementMeasureXref[[#This Row],[msr_id]],tblMeasure[msr_id],tblMeasure[primary_dimensions])</f>
        <v>carer support, carer age, carer support type, review method</v>
      </c>
      <c r="K479" s="22" t="str">
        <f>_xlfn.XLOOKUP(tblRequirementMeasureXref[[#This Row],[msr_id]],tblMeasure[msr_id],tblMeasure[msr_min_geo_resolution])</f>
        <v>LA</v>
      </c>
      <c r="L479" s="22" t="str">
        <f>_xlfn.XLOOKUP(tblRequirementMeasureXref[[#This Row],[msr_id]],tblMeasure[msr_id],tblMeasure[src_name])</f>
        <v>SALT</v>
      </c>
    </row>
    <row r="480" spans="1:12" x14ac:dyDescent="0.15">
      <c r="A480" s="1" t="str">
        <f>_xlfn.XLOOKUP(tblRequirementMeasureXref[[#This Row],[dm_id]],tblDataRequirement[dm_id],tblDataRequirement[domain_sub_requirement])</f>
        <v>Service:Care models:Self-directed support</v>
      </c>
      <c r="B480" s="1" t="str">
        <f>_xlfn.XLOOKUP(tblRequirementMeasureXref[[#This Row],[dm_id]],tblDataRequirement[dm_id],tblDataRequirement[dm_phase])</f>
        <v>operate</v>
      </c>
      <c r="C480" s="1">
        <v>70</v>
      </c>
      <c r="D480" s="1">
        <v>108</v>
      </c>
      <c r="E480" s="1" t="s">
        <v>192</v>
      </c>
      <c r="G480" s="1"/>
      <c r="H480" s="62" t="str">
        <f>_xlfn.XLOOKUP(tblRequirementMeasureXref[[#This Row],[msr_id]],tblMeasure[msr_id],tblMeasure[msr_table])</f>
        <v>LTS003</v>
      </c>
      <c r="I480" s="22" t="str">
        <f>_xlfn.XLOOKUP(tblRequirementMeasureXref[[#This Row],[msr_id]],tblMeasure[msr_id],tblMeasure[msr_name])</f>
        <v>Long Term Support: Carer Support provided during the year, broken down by the age of the carer, Primary Support Reason of the client and the type of support provided</v>
      </c>
      <c r="J480" s="22" t="str">
        <f>_xlfn.XLOOKUP(tblRequirementMeasureXref[[#This Row],[msr_id]],tblMeasure[msr_id],tblMeasure[primary_dimensions])</f>
        <v>carer support, carer age, carer support type, review method</v>
      </c>
      <c r="K480" s="22" t="str">
        <f>_xlfn.XLOOKUP(tblRequirementMeasureXref[[#This Row],[msr_id]],tblMeasure[msr_id],tblMeasure[msr_min_geo_resolution])</f>
        <v>LA</v>
      </c>
      <c r="L480" s="22" t="str">
        <f>_xlfn.XLOOKUP(tblRequirementMeasureXref[[#This Row],[msr_id]],tblMeasure[msr_id],tblMeasure[src_name])</f>
        <v>SALT</v>
      </c>
    </row>
    <row r="481" spans="1:12" x14ac:dyDescent="0.15">
      <c r="A481" s="1" t="str">
        <f>_xlfn.XLOOKUP(tblRequirementMeasureXref[[#This Row],[dm_id]],tblDataRequirement[dm_id],tblDataRequirement[domain_sub_requirement])</f>
        <v>Unpaid Carers:Income:Direct payments</v>
      </c>
      <c r="B481" s="1" t="str">
        <f>_xlfn.XLOOKUP(tblRequirementMeasureXref[[#This Row],[dm_id]],tblDataRequirement[dm_id],tblDataRequirement[dm_phase])</f>
        <v>supply</v>
      </c>
      <c r="C481" s="1">
        <v>90</v>
      </c>
      <c r="D481" s="1">
        <v>108</v>
      </c>
      <c r="E481" s="1" t="s">
        <v>192</v>
      </c>
      <c r="G481" s="1"/>
      <c r="H481" s="62" t="str">
        <f>_xlfn.XLOOKUP(tblRequirementMeasureXref[[#This Row],[msr_id]],tblMeasure[msr_id],tblMeasure[msr_table])</f>
        <v>LTS003</v>
      </c>
      <c r="I481" s="22" t="str">
        <f>_xlfn.XLOOKUP(tblRequirementMeasureXref[[#This Row],[msr_id]],tblMeasure[msr_id],tblMeasure[msr_name])</f>
        <v>Long Term Support: Carer Support provided during the year, broken down by the age of the carer, Primary Support Reason of the client and the type of support provided</v>
      </c>
      <c r="J481" s="22" t="str">
        <f>_xlfn.XLOOKUP(tblRequirementMeasureXref[[#This Row],[msr_id]],tblMeasure[msr_id],tblMeasure[primary_dimensions])</f>
        <v>carer support, carer age, carer support type, review method</v>
      </c>
      <c r="K481" s="22" t="str">
        <f>_xlfn.XLOOKUP(tblRequirementMeasureXref[[#This Row],[msr_id]],tblMeasure[msr_id],tblMeasure[msr_min_geo_resolution])</f>
        <v>LA</v>
      </c>
      <c r="L481" s="22" t="str">
        <f>_xlfn.XLOOKUP(tblRequirementMeasureXref[[#This Row],[msr_id]],tblMeasure[msr_id],tblMeasure[src_name])</f>
        <v>SALT</v>
      </c>
    </row>
    <row r="482" spans="1:12" x14ac:dyDescent="0.15">
      <c r="A482" s="1" t="str">
        <f>_xlfn.XLOOKUP(tblRequirementMeasureXref[[#This Row],[dm_id]],tblDataRequirement[dm_id],tblDataRequirement[domain_sub_requirement])</f>
        <v>Service:Support type:Unpaid Carer support</v>
      </c>
      <c r="B482" s="1" t="str">
        <f>_xlfn.XLOOKUP(tblRequirementMeasureXref[[#This Row],[dm_id]],tblDataRequirement[dm_id],tblDataRequirement[dm_phase])</f>
        <v>operate</v>
      </c>
      <c r="C482" s="1">
        <v>80</v>
      </c>
      <c r="D482" s="1">
        <v>108</v>
      </c>
      <c r="E482" s="1" t="s">
        <v>192</v>
      </c>
      <c r="G482" s="1"/>
      <c r="H482" s="62" t="str">
        <f>_xlfn.XLOOKUP(tblRequirementMeasureXref[[#This Row],[msr_id]],tblMeasure[msr_id],tblMeasure[msr_table])</f>
        <v>LTS003</v>
      </c>
      <c r="I482" s="22" t="str">
        <f>_xlfn.XLOOKUP(tblRequirementMeasureXref[[#This Row],[msr_id]],tblMeasure[msr_id],tblMeasure[msr_name])</f>
        <v>Long Term Support: Carer Support provided during the year, broken down by the age of the carer, Primary Support Reason of the client and the type of support provided</v>
      </c>
      <c r="J482" s="22" t="str">
        <f>_xlfn.XLOOKUP(tblRequirementMeasureXref[[#This Row],[msr_id]],tblMeasure[msr_id],tblMeasure[primary_dimensions])</f>
        <v>carer support, carer age, carer support type, review method</v>
      </c>
      <c r="K482" s="22" t="str">
        <f>_xlfn.XLOOKUP(tblRequirementMeasureXref[[#This Row],[msr_id]],tblMeasure[msr_id],tblMeasure[msr_min_geo_resolution])</f>
        <v>LA</v>
      </c>
      <c r="L482" s="22" t="str">
        <f>_xlfn.XLOOKUP(tblRequirementMeasureXref[[#This Row],[msr_id]],tblMeasure[msr_id],tblMeasure[src_name])</f>
        <v>SALT</v>
      </c>
    </row>
    <row r="483" spans="1:12" x14ac:dyDescent="0.15">
      <c r="A483" s="1" t="str">
        <f>_xlfn.XLOOKUP(tblRequirementMeasureXref[[#This Row],[dm_id]],tblDataRequirement[dm_id],tblDataRequirement[domain_sub_requirement])</f>
        <v>Service:Access:Requests for local authority-funded care</v>
      </c>
      <c r="B483" s="1" t="str">
        <f>_xlfn.XLOOKUP(tblRequirementMeasureXref[[#This Row],[dm_id]],tblDataRequirement[dm_id],tblDataRequirement[dm_phase])</f>
        <v>demand</v>
      </c>
      <c r="C483" s="1">
        <v>27</v>
      </c>
      <c r="D483" s="1">
        <v>108</v>
      </c>
      <c r="E483" s="1" t="s">
        <v>192</v>
      </c>
      <c r="G483" s="1"/>
      <c r="H483" s="62" t="str">
        <f>_xlfn.XLOOKUP(tblRequirementMeasureXref[[#This Row],[msr_id]],tblMeasure[msr_id],tblMeasure[msr_table])</f>
        <v>LTS003</v>
      </c>
      <c r="I483" s="22" t="str">
        <f>_xlfn.XLOOKUP(tblRequirementMeasureXref[[#This Row],[msr_id]],tblMeasure[msr_id],tblMeasure[msr_name])</f>
        <v>Long Term Support: Carer Support provided during the year, broken down by the age of the carer, Primary Support Reason of the client and the type of support provided</v>
      </c>
      <c r="J483" s="22" t="str">
        <f>_xlfn.XLOOKUP(tblRequirementMeasureXref[[#This Row],[msr_id]],tblMeasure[msr_id],tblMeasure[primary_dimensions])</f>
        <v>carer support, carer age, carer support type, review method</v>
      </c>
      <c r="K483" s="22" t="str">
        <f>_xlfn.XLOOKUP(tblRequirementMeasureXref[[#This Row],[msr_id]],tblMeasure[msr_id],tblMeasure[msr_min_geo_resolution])</f>
        <v>LA</v>
      </c>
      <c r="L483" s="22" t="str">
        <f>_xlfn.XLOOKUP(tblRequirementMeasureXref[[#This Row],[msr_id]],tblMeasure[msr_id],tblMeasure[src_name])</f>
        <v>SALT</v>
      </c>
    </row>
    <row r="484" spans="1:12" x14ac:dyDescent="0.15">
      <c r="A484" s="1" t="str">
        <f>_xlfn.XLOOKUP(tblRequirementMeasureXref[[#This Row],[dm_id]],tblDataRequirement[dm_id],tblDataRequirement[domain_sub_requirement])</f>
        <v>Users:Care need:Support reason</v>
      </c>
      <c r="B484" s="1" t="str">
        <f>_xlfn.XLOOKUP(tblRequirementMeasureXref[[#This Row],[dm_id]],tblDataRequirement[dm_id],tblDataRequirement[dm_phase])</f>
        <v>demand</v>
      </c>
      <c r="C484" s="1">
        <v>56</v>
      </c>
      <c r="D484" s="1">
        <v>108</v>
      </c>
      <c r="E484" s="1" t="s">
        <v>192</v>
      </c>
      <c r="G484" s="1"/>
      <c r="H484" s="62" t="str">
        <f>_xlfn.XLOOKUP(tblRequirementMeasureXref[[#This Row],[msr_id]],tblMeasure[msr_id],tblMeasure[msr_table])</f>
        <v>LTS003</v>
      </c>
      <c r="I484" s="22" t="str">
        <f>_xlfn.XLOOKUP(tblRequirementMeasureXref[[#This Row],[msr_id]],tblMeasure[msr_id],tblMeasure[msr_name])</f>
        <v>Long Term Support: Carer Support provided during the year, broken down by the age of the carer, Primary Support Reason of the client and the type of support provided</v>
      </c>
      <c r="J484" s="22" t="str">
        <f>_xlfn.XLOOKUP(tblRequirementMeasureXref[[#This Row],[msr_id]],tblMeasure[msr_id],tblMeasure[primary_dimensions])</f>
        <v>carer support, carer age, carer support type, review method</v>
      </c>
      <c r="K484" s="22" t="str">
        <f>_xlfn.XLOOKUP(tblRequirementMeasureXref[[#This Row],[msr_id]],tblMeasure[msr_id],tblMeasure[msr_min_geo_resolution])</f>
        <v>LA</v>
      </c>
      <c r="L484" s="22" t="str">
        <f>_xlfn.XLOOKUP(tblRequirementMeasureXref[[#This Row],[msr_id]],tblMeasure[msr_id],tblMeasure[src_name])</f>
        <v>SALT</v>
      </c>
    </row>
    <row r="485" spans="1:12" x14ac:dyDescent="0.15">
      <c r="A485" s="1" t="str">
        <f>_xlfn.XLOOKUP(tblRequirementMeasureXref[[#This Row],[dm_id]],tblDataRequirement[dm_id],tblDataRequirement[domain_sub_requirement])</f>
        <v>Service:Access:Reviews</v>
      </c>
      <c r="B485" s="1" t="str">
        <f>_xlfn.XLOOKUP(tblRequirementMeasureXref[[#This Row],[dm_id]],tblDataRequirement[dm_id],tblDataRequirement[dm_phase])</f>
        <v>demand</v>
      </c>
      <c r="C485" s="1">
        <v>69</v>
      </c>
      <c r="D485" s="1">
        <v>108</v>
      </c>
      <c r="E485" s="1" t="s">
        <v>192</v>
      </c>
      <c r="G485" s="1"/>
      <c r="H485" s="62" t="str">
        <f>_xlfn.XLOOKUP(tblRequirementMeasureXref[[#This Row],[msr_id]],tblMeasure[msr_id],tblMeasure[msr_table])</f>
        <v>LTS003</v>
      </c>
      <c r="I485" s="22" t="str">
        <f>_xlfn.XLOOKUP(tblRequirementMeasureXref[[#This Row],[msr_id]],tblMeasure[msr_id],tblMeasure[msr_name])</f>
        <v>Long Term Support: Carer Support provided during the year, broken down by the age of the carer, Primary Support Reason of the client and the type of support provided</v>
      </c>
      <c r="J485" s="22" t="str">
        <f>_xlfn.XLOOKUP(tblRequirementMeasureXref[[#This Row],[msr_id]],tblMeasure[msr_id],tblMeasure[primary_dimensions])</f>
        <v>carer support, carer age, carer support type, review method</v>
      </c>
      <c r="K485" s="22" t="str">
        <f>_xlfn.XLOOKUP(tblRequirementMeasureXref[[#This Row],[msr_id]],tblMeasure[msr_id],tblMeasure[msr_min_geo_resolution])</f>
        <v>LA</v>
      </c>
      <c r="L485" s="22" t="str">
        <f>_xlfn.XLOOKUP(tblRequirementMeasureXref[[#This Row],[msr_id]],tblMeasure[msr_id],tblMeasure[src_name])</f>
        <v>SALT</v>
      </c>
    </row>
    <row r="486" spans="1:12" x14ac:dyDescent="0.15">
      <c r="A486" s="1" t="str">
        <f>_xlfn.XLOOKUP(tblRequirementMeasureXref[[#This Row],[dm_id]],tblDataRequirement[dm_id],tblDataRequirement[domain_sub_requirement])</f>
        <v>Service:Support type:Long-term</v>
      </c>
      <c r="B486" s="1" t="str">
        <f>_xlfn.XLOOKUP(tblRequirementMeasureXref[[#This Row],[dm_id]],tblDataRequirement[dm_id],tblDataRequirement[dm_phase])</f>
        <v>operate</v>
      </c>
      <c r="C486" s="1">
        <v>45</v>
      </c>
      <c r="D486" s="1">
        <v>108</v>
      </c>
      <c r="E486" s="1" t="s">
        <v>192</v>
      </c>
      <c r="G486" s="1"/>
      <c r="H486" s="62" t="str">
        <f>_xlfn.XLOOKUP(tblRequirementMeasureXref[[#This Row],[msr_id]],tblMeasure[msr_id],tblMeasure[msr_table])</f>
        <v>LTS003</v>
      </c>
      <c r="I486" s="22" t="str">
        <f>_xlfn.XLOOKUP(tblRequirementMeasureXref[[#This Row],[msr_id]],tblMeasure[msr_id],tblMeasure[msr_name])</f>
        <v>Long Term Support: Carer Support provided during the year, broken down by the age of the carer, Primary Support Reason of the client and the type of support provided</v>
      </c>
      <c r="J486" s="22" t="str">
        <f>_xlfn.XLOOKUP(tblRequirementMeasureXref[[#This Row],[msr_id]],tblMeasure[msr_id],tblMeasure[primary_dimensions])</f>
        <v>carer support, carer age, carer support type, review method</v>
      </c>
      <c r="K486" s="22" t="str">
        <f>_xlfn.XLOOKUP(tblRequirementMeasureXref[[#This Row],[msr_id]],tblMeasure[msr_id],tblMeasure[msr_min_geo_resolution])</f>
        <v>LA</v>
      </c>
      <c r="L486" s="22" t="str">
        <f>_xlfn.XLOOKUP(tblRequirementMeasureXref[[#This Row],[msr_id]],tblMeasure[msr_id],tblMeasure[src_name])</f>
        <v>SALT</v>
      </c>
    </row>
    <row r="487" spans="1:12" x14ac:dyDescent="0.15">
      <c r="A487" s="1" t="str">
        <f>_xlfn.XLOOKUP(tblRequirementMeasureXref[[#This Row],[dm_id]],tblDataRequirement[dm_id],tblDataRequirement[domain_sub_requirement])</f>
        <v>Users:Care need:Support reason</v>
      </c>
      <c r="B487" s="1" t="str">
        <f>_xlfn.XLOOKUP(tblRequirementMeasureXref[[#This Row],[dm_id]],tblDataRequirement[dm_id],tblDataRequirement[dm_phase])</f>
        <v>demand</v>
      </c>
      <c r="C487" s="1">
        <v>56</v>
      </c>
      <c r="D487" s="1">
        <v>109</v>
      </c>
      <c r="E487" s="1" t="s">
        <v>192</v>
      </c>
      <c r="G487" s="1"/>
      <c r="H487" s="62" t="str">
        <f>_xlfn.XLOOKUP(tblRequirementMeasureXref[[#This Row],[msr_id]],tblMeasure[msr_id],tblMeasure[msr_table])</f>
        <v>LTS004</v>
      </c>
      <c r="I487" s="22" t="str">
        <f>_xlfn.XLOOKUP(tblRequirementMeasureXref[[#This Row],[msr_id]],tblMeasure[msr_id],tblMeasure[msr_name])</f>
        <v>Long Term Support: Accommodation and employment status of working age clients with a Primary Support Reason of Learning Disability</v>
      </c>
      <c r="J487" s="22" t="str">
        <f>_xlfn.XLOOKUP(tblRequirementMeasureXref[[#This Row],[msr_id]],tblMeasure[msr_id],tblMeasure[primary_dimensions])</f>
        <v>LD employment, LD accomodation</v>
      </c>
      <c r="K487" s="22" t="str">
        <f>_xlfn.XLOOKUP(tblRequirementMeasureXref[[#This Row],[msr_id]],tblMeasure[msr_id],tblMeasure[msr_min_geo_resolution])</f>
        <v>LA</v>
      </c>
      <c r="L487" s="22" t="str">
        <f>_xlfn.XLOOKUP(tblRequirementMeasureXref[[#This Row],[msr_id]],tblMeasure[msr_id],tblMeasure[src_name])</f>
        <v>SALT</v>
      </c>
    </row>
    <row r="488" spans="1:12" x14ac:dyDescent="0.15">
      <c r="A488" s="1" t="str">
        <f>_xlfn.XLOOKUP(tblRequirementMeasureXref[[#This Row],[dm_id]],tblDataRequirement[dm_id],tblDataRequirement[domain_sub_requirement])</f>
        <v>Users:Demographics:Socioeconomic status / employment / income</v>
      </c>
      <c r="B488" s="1" t="str">
        <f>_xlfn.XLOOKUP(tblRequirementMeasureXref[[#This Row],[dm_id]],tblDataRequirement[dm_id],tblDataRequirement[dm_phase])</f>
        <v>outcome</v>
      </c>
      <c r="C488" s="1">
        <v>105</v>
      </c>
      <c r="D488" s="1">
        <v>109</v>
      </c>
      <c r="E488" s="1" t="s">
        <v>192</v>
      </c>
      <c r="G488" s="1"/>
      <c r="H488" s="62" t="str">
        <f>_xlfn.XLOOKUP(tblRequirementMeasureXref[[#This Row],[msr_id]],tblMeasure[msr_id],tblMeasure[msr_table])</f>
        <v>LTS004</v>
      </c>
      <c r="I488" s="22" t="str">
        <f>_xlfn.XLOOKUP(tblRequirementMeasureXref[[#This Row],[msr_id]],tblMeasure[msr_id],tblMeasure[msr_name])</f>
        <v>Long Term Support: Accommodation and employment status of working age clients with a Primary Support Reason of Learning Disability</v>
      </c>
      <c r="J488" s="22" t="str">
        <f>_xlfn.XLOOKUP(tblRequirementMeasureXref[[#This Row],[msr_id]],tblMeasure[msr_id],tblMeasure[primary_dimensions])</f>
        <v>LD employment, LD accomodation</v>
      </c>
      <c r="K488" s="22" t="str">
        <f>_xlfn.XLOOKUP(tblRequirementMeasureXref[[#This Row],[msr_id]],tblMeasure[msr_id],tblMeasure[msr_min_geo_resolution])</f>
        <v>LA</v>
      </c>
      <c r="L488" s="22" t="str">
        <f>_xlfn.XLOOKUP(tblRequirementMeasureXref[[#This Row],[msr_id]],tblMeasure[msr_id],tblMeasure[src_name])</f>
        <v>SALT</v>
      </c>
    </row>
    <row r="489" spans="1:12" x14ac:dyDescent="0.15">
      <c r="A489" s="1" t="str">
        <f>_xlfn.XLOOKUP(tblRequirementMeasureXref[[#This Row],[dm_id]],tblDataRequirement[dm_id],tblDataRequirement[domain_sub_requirement])</f>
        <v>Users:Demographics:Age</v>
      </c>
      <c r="B489" s="1" t="str">
        <f>_xlfn.XLOOKUP(tblRequirementMeasureXref[[#This Row],[dm_id]],tblDataRequirement[dm_id],tblDataRequirement[dm_phase])</f>
        <v>demand</v>
      </c>
      <c r="C489" s="1">
        <v>51</v>
      </c>
      <c r="D489" s="1">
        <v>109</v>
      </c>
      <c r="E489" s="1" t="s">
        <v>192</v>
      </c>
      <c r="G489" s="1"/>
      <c r="H489" s="62" t="str">
        <f>_xlfn.XLOOKUP(tblRequirementMeasureXref[[#This Row],[msr_id]],tblMeasure[msr_id],tblMeasure[msr_table])</f>
        <v>LTS004</v>
      </c>
      <c r="I489" s="22" t="str">
        <f>_xlfn.XLOOKUP(tblRequirementMeasureXref[[#This Row],[msr_id]],tblMeasure[msr_id],tblMeasure[msr_name])</f>
        <v>Long Term Support: Accommodation and employment status of working age clients with a Primary Support Reason of Learning Disability</v>
      </c>
      <c r="J489" s="22" t="str">
        <f>_xlfn.XLOOKUP(tblRequirementMeasureXref[[#This Row],[msr_id]],tblMeasure[msr_id],tblMeasure[primary_dimensions])</f>
        <v>LD employment, LD accomodation</v>
      </c>
      <c r="K489" s="22" t="str">
        <f>_xlfn.XLOOKUP(tblRequirementMeasureXref[[#This Row],[msr_id]],tblMeasure[msr_id],tblMeasure[msr_min_geo_resolution])</f>
        <v>LA</v>
      </c>
      <c r="L489" s="22" t="str">
        <f>_xlfn.XLOOKUP(tblRequirementMeasureXref[[#This Row],[msr_id]],tblMeasure[msr_id],tblMeasure[src_name])</f>
        <v>SALT</v>
      </c>
    </row>
    <row r="490" spans="1:12" x14ac:dyDescent="0.15">
      <c r="A490" s="1" t="str">
        <f>_xlfn.XLOOKUP(tblRequirementMeasureXref[[#This Row],[dm_id]],tblDataRequirement[dm_id],tblDataRequirement[domain_sub_requirement])</f>
        <v>Users:Demographics:Gender</v>
      </c>
      <c r="B490" s="1" t="str">
        <f>_xlfn.XLOOKUP(tblRequirementMeasureXref[[#This Row],[dm_id]],tblDataRequirement[dm_id],tblDataRequirement[dm_phase])</f>
        <v>demand</v>
      </c>
      <c r="C490" s="1">
        <v>62</v>
      </c>
      <c r="D490" s="1">
        <v>109</v>
      </c>
      <c r="E490" s="1" t="s">
        <v>192</v>
      </c>
      <c r="G490" s="1"/>
      <c r="H490" s="62" t="str">
        <f>_xlfn.XLOOKUP(tblRequirementMeasureXref[[#This Row],[msr_id]],tblMeasure[msr_id],tblMeasure[msr_table])</f>
        <v>LTS004</v>
      </c>
      <c r="I490" s="22" t="str">
        <f>_xlfn.XLOOKUP(tblRequirementMeasureXref[[#This Row],[msr_id]],tblMeasure[msr_id],tblMeasure[msr_name])</f>
        <v>Long Term Support: Accommodation and employment status of working age clients with a Primary Support Reason of Learning Disability</v>
      </c>
      <c r="J490" s="22" t="str">
        <f>_xlfn.XLOOKUP(tblRequirementMeasureXref[[#This Row],[msr_id]],tblMeasure[msr_id],tblMeasure[primary_dimensions])</f>
        <v>LD employment, LD accomodation</v>
      </c>
      <c r="K490" s="22" t="str">
        <f>_xlfn.XLOOKUP(tblRequirementMeasureXref[[#This Row],[msr_id]],tblMeasure[msr_id],tblMeasure[msr_min_geo_resolution])</f>
        <v>LA</v>
      </c>
      <c r="L490" s="22" t="str">
        <f>_xlfn.XLOOKUP(tblRequirementMeasureXref[[#This Row],[msr_id]],tblMeasure[msr_id],tblMeasure[src_name])</f>
        <v>SALT</v>
      </c>
    </row>
    <row r="491" spans="1:12" x14ac:dyDescent="0.15">
      <c r="A491" s="1" t="str">
        <f>_xlfn.XLOOKUP(tblRequirementMeasureXref[[#This Row],[dm_id]],tblDataRequirement[dm_id],tblDataRequirement[domain_sub_requirement])</f>
        <v>Service:Support setting:Home</v>
      </c>
      <c r="B491" s="1" t="str">
        <f>_xlfn.XLOOKUP(tblRequirementMeasureXref[[#This Row],[dm_id]],tblDataRequirement[dm_id],tblDataRequirement[dm_phase])</f>
        <v>operate</v>
      </c>
      <c r="C491" s="1">
        <v>40</v>
      </c>
      <c r="D491" s="1">
        <v>109</v>
      </c>
      <c r="E491" s="1" t="s">
        <v>192</v>
      </c>
      <c r="G491" s="1"/>
      <c r="H491" s="62" t="str">
        <f>_xlfn.XLOOKUP(tblRequirementMeasureXref[[#This Row],[msr_id]],tblMeasure[msr_id],tblMeasure[msr_table])</f>
        <v>LTS004</v>
      </c>
      <c r="I491" s="22" t="str">
        <f>_xlfn.XLOOKUP(tblRequirementMeasureXref[[#This Row],[msr_id]],tblMeasure[msr_id],tblMeasure[msr_name])</f>
        <v>Long Term Support: Accommodation and employment status of working age clients with a Primary Support Reason of Learning Disability</v>
      </c>
      <c r="J491" s="22" t="str">
        <f>_xlfn.XLOOKUP(tblRequirementMeasureXref[[#This Row],[msr_id]],tblMeasure[msr_id],tblMeasure[primary_dimensions])</f>
        <v>LD employment, LD accomodation</v>
      </c>
      <c r="K491" s="22" t="str">
        <f>_xlfn.XLOOKUP(tblRequirementMeasureXref[[#This Row],[msr_id]],tblMeasure[msr_id],tblMeasure[msr_min_geo_resolution])</f>
        <v>LA</v>
      </c>
      <c r="L491" s="22" t="str">
        <f>_xlfn.XLOOKUP(tblRequirementMeasureXref[[#This Row],[msr_id]],tblMeasure[msr_id],tblMeasure[src_name])</f>
        <v>SALT</v>
      </c>
    </row>
    <row r="492" spans="1:12" x14ac:dyDescent="0.15">
      <c r="A492" s="1" t="str">
        <f>_xlfn.XLOOKUP(tblRequirementMeasureXref[[#This Row],[dm_id]],tblDataRequirement[dm_id],tblDataRequirement[domain_sub_requirement])</f>
        <v>Users:Context:Accommodation type</v>
      </c>
      <c r="B492" s="1" t="str">
        <f>_xlfn.XLOOKUP(tblRequirementMeasureXref[[#This Row],[dm_id]],tblDataRequirement[dm_id],tblDataRequirement[dm_phase])</f>
        <v>demand</v>
      </c>
      <c r="C492" s="1">
        <v>75</v>
      </c>
      <c r="D492" s="1">
        <v>109</v>
      </c>
      <c r="E492" s="1" t="s">
        <v>192</v>
      </c>
      <c r="G492" s="1"/>
      <c r="H492" s="62" t="str">
        <f>_xlfn.XLOOKUP(tblRequirementMeasureXref[[#This Row],[msr_id]],tblMeasure[msr_id],tblMeasure[msr_table])</f>
        <v>LTS004</v>
      </c>
      <c r="I492" s="22" t="str">
        <f>_xlfn.XLOOKUP(tblRequirementMeasureXref[[#This Row],[msr_id]],tblMeasure[msr_id],tblMeasure[msr_name])</f>
        <v>Long Term Support: Accommodation and employment status of working age clients with a Primary Support Reason of Learning Disability</v>
      </c>
      <c r="J492" s="22" t="str">
        <f>_xlfn.XLOOKUP(tblRequirementMeasureXref[[#This Row],[msr_id]],tblMeasure[msr_id],tblMeasure[primary_dimensions])</f>
        <v>LD employment, LD accomodation</v>
      </c>
      <c r="K492" s="22" t="str">
        <f>_xlfn.XLOOKUP(tblRequirementMeasureXref[[#This Row],[msr_id]],tblMeasure[msr_id],tblMeasure[msr_min_geo_resolution])</f>
        <v>LA</v>
      </c>
      <c r="L492" s="22" t="str">
        <f>_xlfn.XLOOKUP(tblRequirementMeasureXref[[#This Row],[msr_id]],tblMeasure[msr_id],tblMeasure[src_name])</f>
        <v>SALT</v>
      </c>
    </row>
    <row r="493" spans="1:12" x14ac:dyDescent="0.15">
      <c r="A493" s="1" t="str">
        <f>_xlfn.XLOOKUP(tblRequirementMeasureXref[[#This Row],[dm_id]],tblDataRequirement[dm_id],tblDataRequirement[domain_sub_requirement])</f>
        <v>Service:Support type:Long-term</v>
      </c>
      <c r="B493" s="1" t="str">
        <f>_xlfn.XLOOKUP(tblRequirementMeasureXref[[#This Row],[dm_id]],tblDataRequirement[dm_id],tblDataRequirement[dm_phase])</f>
        <v>operate</v>
      </c>
      <c r="C493" s="1">
        <v>45</v>
      </c>
      <c r="D493" s="1">
        <v>110</v>
      </c>
      <c r="E493" s="1" t="s">
        <v>192</v>
      </c>
      <c r="G493" s="1"/>
      <c r="H493" s="62" t="str">
        <f>_xlfn.XLOOKUP(tblRequirementMeasureXref[[#This Row],[msr_id]],tblMeasure[msr_id],tblMeasure[msr_table])</f>
        <v>FR001</v>
      </c>
      <c r="I493" s="22" t="str">
        <f>_xlfn.XLOOKUP(tblRequirementMeasureXref[[#This Row],[msr_id]],tblMeasure[msr_id],tblMeasure[msr_name])</f>
        <v>Long Term Support: Expenditure, income and capital charges/overheads, by support reason, setting and age group.</v>
      </c>
      <c r="J493" s="22" t="str">
        <f>_xlfn.XLOOKUP(tblRequirementMeasureXref[[#This Row],[msr_id]],tblMeasure[msr_id],tblMeasure[primary_dimensions])</f>
        <v>expenditure, income, capital charges</v>
      </c>
      <c r="K493" s="22" t="str">
        <f>_xlfn.XLOOKUP(tblRequirementMeasureXref[[#This Row],[msr_id]],tblMeasure[msr_id],tblMeasure[msr_min_geo_resolution])</f>
        <v>LA</v>
      </c>
      <c r="L493" s="22" t="str">
        <f>_xlfn.XLOOKUP(tblRequirementMeasureXref[[#This Row],[msr_id]],tblMeasure[msr_id],tblMeasure[src_name])</f>
        <v>ASC-FR</v>
      </c>
    </row>
    <row r="494" spans="1:12" x14ac:dyDescent="0.15">
      <c r="A494" s="1" t="str">
        <f>_xlfn.XLOOKUP(tblRequirementMeasureXref[[#This Row],[dm_id]],tblDataRequirement[dm_id],tblDataRequirement[domain_sub_requirement])</f>
        <v>Users:Care need:Support reason</v>
      </c>
      <c r="B494" s="1" t="str">
        <f>_xlfn.XLOOKUP(tblRequirementMeasureXref[[#This Row],[dm_id]],tblDataRequirement[dm_id],tblDataRequirement[dm_phase])</f>
        <v>demand</v>
      </c>
      <c r="C494" s="1">
        <v>56</v>
      </c>
      <c r="D494" s="1">
        <v>110</v>
      </c>
      <c r="E494" s="1" t="s">
        <v>192</v>
      </c>
      <c r="G494" s="1"/>
      <c r="H494" s="62" t="str">
        <f>_xlfn.XLOOKUP(tblRequirementMeasureXref[[#This Row],[msr_id]],tblMeasure[msr_id],tblMeasure[msr_table])</f>
        <v>FR001</v>
      </c>
      <c r="I494" s="22" t="str">
        <f>_xlfn.XLOOKUP(tblRequirementMeasureXref[[#This Row],[msr_id]],tblMeasure[msr_id],tblMeasure[msr_name])</f>
        <v>Long Term Support: Expenditure, income and capital charges/overheads, by support reason, setting and age group.</v>
      </c>
      <c r="J494" s="22" t="str">
        <f>_xlfn.XLOOKUP(tblRequirementMeasureXref[[#This Row],[msr_id]],tblMeasure[msr_id],tblMeasure[primary_dimensions])</f>
        <v>expenditure, income, capital charges</v>
      </c>
      <c r="K494" s="22" t="str">
        <f>_xlfn.XLOOKUP(tblRequirementMeasureXref[[#This Row],[msr_id]],tblMeasure[msr_id],tblMeasure[msr_min_geo_resolution])</f>
        <v>LA</v>
      </c>
      <c r="L494" s="22" t="str">
        <f>_xlfn.XLOOKUP(tblRequirementMeasureXref[[#This Row],[msr_id]],tblMeasure[msr_id],tblMeasure[src_name])</f>
        <v>ASC-FR</v>
      </c>
    </row>
    <row r="495" spans="1:12" x14ac:dyDescent="0.15">
      <c r="A495" s="1" t="str">
        <f>_xlfn.XLOOKUP(tblRequirementMeasureXref[[#This Row],[dm_id]],tblDataRequirement[dm_id],tblDataRequirement[domain_sub_requirement])</f>
        <v>Users:Demographics:Age</v>
      </c>
      <c r="B495" s="1" t="str">
        <f>_xlfn.XLOOKUP(tblRequirementMeasureXref[[#This Row],[dm_id]],tblDataRequirement[dm_id],tblDataRequirement[dm_phase])</f>
        <v>demand</v>
      </c>
      <c r="C495" s="1">
        <v>51</v>
      </c>
      <c r="D495" s="1">
        <v>110</v>
      </c>
      <c r="E495" s="1" t="s">
        <v>192</v>
      </c>
      <c r="G495" s="1"/>
      <c r="H495" s="62" t="str">
        <f>_xlfn.XLOOKUP(tblRequirementMeasureXref[[#This Row],[msr_id]],tblMeasure[msr_id],tblMeasure[msr_table])</f>
        <v>FR001</v>
      </c>
      <c r="I495" s="22" t="str">
        <f>_xlfn.XLOOKUP(tblRequirementMeasureXref[[#This Row],[msr_id]],tblMeasure[msr_id],tblMeasure[msr_name])</f>
        <v>Long Term Support: Expenditure, income and capital charges/overheads, by support reason, setting and age group.</v>
      </c>
      <c r="J495" s="22" t="str">
        <f>_xlfn.XLOOKUP(tblRequirementMeasureXref[[#This Row],[msr_id]],tblMeasure[msr_id],tblMeasure[primary_dimensions])</f>
        <v>expenditure, income, capital charges</v>
      </c>
      <c r="K495" s="22" t="str">
        <f>_xlfn.XLOOKUP(tblRequirementMeasureXref[[#This Row],[msr_id]],tblMeasure[msr_id],tblMeasure[msr_min_geo_resolution])</f>
        <v>LA</v>
      </c>
      <c r="L495" s="22" t="str">
        <f>_xlfn.XLOOKUP(tblRequirementMeasureXref[[#This Row],[msr_id]],tblMeasure[msr_id],tblMeasure[src_name])</f>
        <v>ASC-FR</v>
      </c>
    </row>
    <row r="496" spans="1:12" x14ac:dyDescent="0.15">
      <c r="A496" s="1" t="str">
        <f>_xlfn.XLOOKUP(tblRequirementMeasureXref[[#This Row],[dm_id]],tblDataRequirement[dm_id],tblDataRequirement[domain_sub_requirement])</f>
        <v>Funders:Expenditure:Local authorities</v>
      </c>
      <c r="B496" s="1" t="str">
        <f>_xlfn.XLOOKUP(tblRequirementMeasureXref[[#This Row],[dm_id]],tblDataRequirement[dm_id],tblDataRequirement[dm_phase])</f>
        <v>supply</v>
      </c>
      <c r="C496" s="1">
        <v>3</v>
      </c>
      <c r="D496" s="1">
        <v>110</v>
      </c>
      <c r="E496" s="1" t="s">
        <v>192</v>
      </c>
      <c r="G496" s="1"/>
      <c r="H496" s="62" t="str">
        <f>_xlfn.XLOOKUP(tblRequirementMeasureXref[[#This Row],[msr_id]],tblMeasure[msr_id],tblMeasure[msr_table])</f>
        <v>FR001</v>
      </c>
      <c r="I496" s="22" t="str">
        <f>_xlfn.XLOOKUP(tblRequirementMeasureXref[[#This Row],[msr_id]],tblMeasure[msr_id],tblMeasure[msr_name])</f>
        <v>Long Term Support: Expenditure, income and capital charges/overheads, by support reason, setting and age group.</v>
      </c>
      <c r="J496" s="22" t="str">
        <f>_xlfn.XLOOKUP(tblRequirementMeasureXref[[#This Row],[msr_id]],tblMeasure[msr_id],tblMeasure[primary_dimensions])</f>
        <v>expenditure, income, capital charges</v>
      </c>
      <c r="K496" s="22" t="str">
        <f>_xlfn.XLOOKUP(tblRequirementMeasureXref[[#This Row],[msr_id]],tblMeasure[msr_id],tblMeasure[msr_min_geo_resolution])</f>
        <v>LA</v>
      </c>
      <c r="L496" s="22" t="str">
        <f>_xlfn.XLOOKUP(tblRequirementMeasureXref[[#This Row],[msr_id]],tblMeasure[msr_id],tblMeasure[src_name])</f>
        <v>ASC-FR</v>
      </c>
    </row>
    <row r="497" spans="1:12" x14ac:dyDescent="0.15">
      <c r="A497" s="1" t="str">
        <f>_xlfn.XLOOKUP(tblRequirementMeasureXref[[#This Row],[dm_id]],tblDataRequirement[dm_id],tblDataRequirement[domain_sub_requirement])</f>
        <v>Funders:Expenditure:Local authority clients</v>
      </c>
      <c r="B497" s="1" t="str">
        <f>_xlfn.XLOOKUP(tblRequirementMeasureXref[[#This Row],[dm_id]],tblDataRequirement[dm_id],tblDataRequirement[dm_phase])</f>
        <v>supply</v>
      </c>
      <c r="C497" s="1">
        <v>7</v>
      </c>
      <c r="D497" s="1">
        <v>110</v>
      </c>
      <c r="E497" s="1" t="s">
        <v>192</v>
      </c>
      <c r="G497" s="1"/>
      <c r="H497" s="62" t="str">
        <f>_xlfn.XLOOKUP(tblRequirementMeasureXref[[#This Row],[msr_id]],tblMeasure[msr_id],tblMeasure[msr_table])</f>
        <v>FR001</v>
      </c>
      <c r="I497" s="22" t="str">
        <f>_xlfn.XLOOKUP(tblRequirementMeasureXref[[#This Row],[msr_id]],tblMeasure[msr_id],tblMeasure[msr_name])</f>
        <v>Long Term Support: Expenditure, income and capital charges/overheads, by support reason, setting and age group.</v>
      </c>
      <c r="J497" s="22" t="str">
        <f>_xlfn.XLOOKUP(tblRequirementMeasureXref[[#This Row],[msr_id]],tblMeasure[msr_id],tblMeasure[primary_dimensions])</f>
        <v>expenditure, income, capital charges</v>
      </c>
      <c r="K497" s="22" t="str">
        <f>_xlfn.XLOOKUP(tblRequirementMeasureXref[[#This Row],[msr_id]],tblMeasure[msr_id],tblMeasure[msr_min_geo_resolution])</f>
        <v>LA</v>
      </c>
      <c r="L497" s="22" t="str">
        <f>_xlfn.XLOOKUP(tblRequirementMeasureXref[[#This Row],[msr_id]],tblMeasure[msr_id],tblMeasure[src_name])</f>
        <v>ASC-FR</v>
      </c>
    </row>
    <row r="498" spans="1:12" x14ac:dyDescent="0.15">
      <c r="A498" s="1" t="str">
        <f>_xlfn.XLOOKUP(tblRequirementMeasureXref[[#This Row],[dm_id]],tblDataRequirement[dm_id],tblDataRequirement[domain_sub_requirement])</f>
        <v>Users:Expenditure:Self-funders</v>
      </c>
      <c r="B498" s="1" t="str">
        <f>_xlfn.XLOOKUP(tblRequirementMeasureXref[[#This Row],[dm_id]],tblDataRequirement[dm_id],tblDataRequirement[dm_phase])</f>
        <v>supply</v>
      </c>
      <c r="C498" s="1">
        <v>5</v>
      </c>
      <c r="D498" s="1">
        <v>110</v>
      </c>
      <c r="E498" s="1" t="s">
        <v>192</v>
      </c>
      <c r="G498" s="1"/>
      <c r="H498" s="62" t="str">
        <f>_xlfn.XLOOKUP(tblRequirementMeasureXref[[#This Row],[msr_id]],tblMeasure[msr_id],tblMeasure[msr_table])</f>
        <v>FR001</v>
      </c>
      <c r="I498" s="22" t="str">
        <f>_xlfn.XLOOKUP(tblRequirementMeasureXref[[#This Row],[msr_id]],tblMeasure[msr_id],tblMeasure[msr_name])</f>
        <v>Long Term Support: Expenditure, income and capital charges/overheads, by support reason, setting and age group.</v>
      </c>
      <c r="J498" s="22" t="str">
        <f>_xlfn.XLOOKUP(tblRequirementMeasureXref[[#This Row],[msr_id]],tblMeasure[msr_id],tblMeasure[primary_dimensions])</f>
        <v>expenditure, income, capital charges</v>
      </c>
      <c r="K498" s="22" t="str">
        <f>_xlfn.XLOOKUP(tblRequirementMeasureXref[[#This Row],[msr_id]],tblMeasure[msr_id],tblMeasure[msr_min_geo_resolution])</f>
        <v>LA</v>
      </c>
      <c r="L498" s="22" t="str">
        <f>_xlfn.XLOOKUP(tblRequirementMeasureXref[[#This Row],[msr_id]],tblMeasure[msr_id],tblMeasure[src_name])</f>
        <v>ASC-FR</v>
      </c>
    </row>
    <row r="499" spans="1:12" x14ac:dyDescent="0.15">
      <c r="A499" s="1" t="str">
        <f>_xlfn.XLOOKUP(tblRequirementMeasureXref[[#This Row],[dm_id]],tblDataRequirement[dm_id],tblDataRequirement[domain_sub_requirement])</f>
        <v>Funders:Expenditure:NHS</v>
      </c>
      <c r="B499" s="1" t="str">
        <f>_xlfn.XLOOKUP(tblRequirementMeasureXref[[#This Row],[dm_id]],tblDataRequirement[dm_id],tblDataRequirement[dm_phase])</f>
        <v>supply</v>
      </c>
      <c r="C499" s="1">
        <v>6</v>
      </c>
      <c r="D499" s="1">
        <v>110</v>
      </c>
      <c r="E499" s="1" t="s">
        <v>192</v>
      </c>
      <c r="G499" s="1"/>
      <c r="H499" s="62" t="str">
        <f>_xlfn.XLOOKUP(tblRequirementMeasureXref[[#This Row],[msr_id]],tblMeasure[msr_id],tblMeasure[msr_table])</f>
        <v>FR001</v>
      </c>
      <c r="I499" s="22" t="str">
        <f>_xlfn.XLOOKUP(tblRequirementMeasureXref[[#This Row],[msr_id]],tblMeasure[msr_id],tblMeasure[msr_name])</f>
        <v>Long Term Support: Expenditure, income and capital charges/overheads, by support reason, setting and age group.</v>
      </c>
      <c r="J499" s="22" t="str">
        <f>_xlfn.XLOOKUP(tblRequirementMeasureXref[[#This Row],[msr_id]],tblMeasure[msr_id],tblMeasure[primary_dimensions])</f>
        <v>expenditure, income, capital charges</v>
      </c>
      <c r="K499" s="22" t="str">
        <f>_xlfn.XLOOKUP(tblRequirementMeasureXref[[#This Row],[msr_id]],tblMeasure[msr_id],tblMeasure[msr_min_geo_resolution])</f>
        <v>LA</v>
      </c>
      <c r="L499" s="22" t="str">
        <f>_xlfn.XLOOKUP(tblRequirementMeasureXref[[#This Row],[msr_id]],tblMeasure[msr_id],tblMeasure[src_name])</f>
        <v>ASC-FR</v>
      </c>
    </row>
    <row r="500" spans="1:12" x14ac:dyDescent="0.15">
      <c r="A500" s="1" t="str">
        <f>_xlfn.XLOOKUP(tblRequirementMeasureXref[[#This Row],[dm_id]],tblDataRequirement[dm_id],tblDataRequirement[domain_sub_requirement])</f>
        <v>Funders:Income:Local authority</v>
      </c>
      <c r="B500" s="1" t="str">
        <f>_xlfn.XLOOKUP(tblRequirementMeasureXref[[#This Row],[dm_id]],tblDataRequirement[dm_id],tblDataRequirement[dm_phase])</f>
        <v>supply</v>
      </c>
      <c r="C500" s="1">
        <v>8</v>
      </c>
      <c r="D500" s="1">
        <v>110</v>
      </c>
      <c r="E500" s="1" t="s">
        <v>192</v>
      </c>
      <c r="G500" s="1"/>
      <c r="H500" s="62" t="str">
        <f>_xlfn.XLOOKUP(tblRequirementMeasureXref[[#This Row],[msr_id]],tblMeasure[msr_id],tblMeasure[msr_table])</f>
        <v>FR001</v>
      </c>
      <c r="I500" s="22" t="str">
        <f>_xlfn.XLOOKUP(tblRequirementMeasureXref[[#This Row],[msr_id]],tblMeasure[msr_id],tblMeasure[msr_name])</f>
        <v>Long Term Support: Expenditure, income and capital charges/overheads, by support reason, setting and age group.</v>
      </c>
      <c r="J500" s="22" t="str">
        <f>_xlfn.XLOOKUP(tblRequirementMeasureXref[[#This Row],[msr_id]],tblMeasure[msr_id],tblMeasure[primary_dimensions])</f>
        <v>expenditure, income, capital charges</v>
      </c>
      <c r="K500" s="22" t="str">
        <f>_xlfn.XLOOKUP(tblRequirementMeasureXref[[#This Row],[msr_id]],tblMeasure[msr_id],tblMeasure[msr_min_geo_resolution])</f>
        <v>LA</v>
      </c>
      <c r="L500" s="22" t="str">
        <f>_xlfn.XLOOKUP(tblRequirementMeasureXref[[#This Row],[msr_id]],tblMeasure[msr_id],tblMeasure[src_name])</f>
        <v>ASC-FR</v>
      </c>
    </row>
    <row r="501" spans="1:12" x14ac:dyDescent="0.15">
      <c r="A501" s="1" t="str">
        <f>_xlfn.XLOOKUP(tblRequirementMeasureXref[[#This Row],[dm_id]],tblDataRequirement[dm_id],tblDataRequirement[domain_sub_requirement])</f>
        <v>Service:Support setting:Home</v>
      </c>
      <c r="B501" s="1" t="str">
        <f>_xlfn.XLOOKUP(tblRequirementMeasureXref[[#This Row],[dm_id]],tblDataRequirement[dm_id],tblDataRequirement[dm_phase])</f>
        <v>operate</v>
      </c>
      <c r="C501" s="1">
        <v>40</v>
      </c>
      <c r="D501" s="1">
        <v>110</v>
      </c>
      <c r="E501" s="1" t="s">
        <v>192</v>
      </c>
      <c r="G501" s="1"/>
      <c r="H501" s="62" t="str">
        <f>_xlfn.XLOOKUP(tblRequirementMeasureXref[[#This Row],[msr_id]],tblMeasure[msr_id],tblMeasure[msr_table])</f>
        <v>FR001</v>
      </c>
      <c r="I501" s="22" t="str">
        <f>_xlfn.XLOOKUP(tblRequirementMeasureXref[[#This Row],[msr_id]],tblMeasure[msr_id],tblMeasure[msr_name])</f>
        <v>Long Term Support: Expenditure, income and capital charges/overheads, by support reason, setting and age group.</v>
      </c>
      <c r="J501" s="22" t="str">
        <f>_xlfn.XLOOKUP(tblRequirementMeasureXref[[#This Row],[msr_id]],tblMeasure[msr_id],tblMeasure[primary_dimensions])</f>
        <v>expenditure, income, capital charges</v>
      </c>
      <c r="K501" s="22" t="str">
        <f>_xlfn.XLOOKUP(tblRequirementMeasureXref[[#This Row],[msr_id]],tblMeasure[msr_id],tblMeasure[msr_min_geo_resolution])</f>
        <v>LA</v>
      </c>
      <c r="L501" s="22" t="str">
        <f>_xlfn.XLOOKUP(tblRequirementMeasureXref[[#This Row],[msr_id]],tblMeasure[msr_id],tblMeasure[src_name])</f>
        <v>ASC-FR</v>
      </c>
    </row>
    <row r="502" spans="1:12" x14ac:dyDescent="0.15">
      <c r="A502" s="1" t="str">
        <f>_xlfn.XLOOKUP(tblRequirementMeasureXref[[#This Row],[dm_id]],tblDataRequirement[dm_id],tblDataRequirement[domain_sub_requirement])</f>
        <v>Service:Support setting:Residential care home</v>
      </c>
      <c r="B502" s="1" t="str">
        <f>_xlfn.XLOOKUP(tblRequirementMeasureXref[[#This Row],[dm_id]],tblDataRequirement[dm_id],tblDataRequirement[dm_phase])</f>
        <v>operate</v>
      </c>
      <c r="C502" s="1">
        <v>41</v>
      </c>
      <c r="D502" s="1">
        <v>110</v>
      </c>
      <c r="E502" s="1" t="s">
        <v>192</v>
      </c>
      <c r="G502" s="1"/>
      <c r="H502" s="62" t="str">
        <f>_xlfn.XLOOKUP(tblRequirementMeasureXref[[#This Row],[msr_id]],tblMeasure[msr_id],tblMeasure[msr_table])</f>
        <v>FR001</v>
      </c>
      <c r="I502" s="22" t="str">
        <f>_xlfn.XLOOKUP(tblRequirementMeasureXref[[#This Row],[msr_id]],tblMeasure[msr_id],tblMeasure[msr_name])</f>
        <v>Long Term Support: Expenditure, income and capital charges/overheads, by support reason, setting and age group.</v>
      </c>
      <c r="J502" s="22" t="str">
        <f>_xlfn.XLOOKUP(tblRequirementMeasureXref[[#This Row],[msr_id]],tblMeasure[msr_id],tblMeasure[primary_dimensions])</f>
        <v>expenditure, income, capital charges</v>
      </c>
      <c r="K502" s="22" t="str">
        <f>_xlfn.XLOOKUP(tblRequirementMeasureXref[[#This Row],[msr_id]],tblMeasure[msr_id],tblMeasure[msr_min_geo_resolution])</f>
        <v>LA</v>
      </c>
      <c r="L502" s="22" t="str">
        <f>_xlfn.XLOOKUP(tblRequirementMeasureXref[[#This Row],[msr_id]],tblMeasure[msr_id],tblMeasure[src_name])</f>
        <v>ASC-FR</v>
      </c>
    </row>
    <row r="503" spans="1:12" x14ac:dyDescent="0.15">
      <c r="A503" s="1" t="str">
        <f>_xlfn.XLOOKUP(tblRequirementMeasureXref[[#This Row],[dm_id]],tblDataRequirement[dm_id],tblDataRequirement[domain_sub_requirement])</f>
        <v>Service:Support setting:Nursing home</v>
      </c>
      <c r="B503" s="1" t="str">
        <f>_xlfn.XLOOKUP(tblRequirementMeasureXref[[#This Row],[dm_id]],tblDataRequirement[dm_id],tblDataRequirement[dm_phase])</f>
        <v>operate</v>
      </c>
      <c r="C503" s="1">
        <v>42</v>
      </c>
      <c r="D503" s="1">
        <v>110</v>
      </c>
      <c r="E503" s="1" t="s">
        <v>192</v>
      </c>
      <c r="G503" s="1"/>
      <c r="H503" s="62" t="str">
        <f>_xlfn.XLOOKUP(tblRequirementMeasureXref[[#This Row],[msr_id]],tblMeasure[msr_id],tblMeasure[msr_table])</f>
        <v>FR001</v>
      </c>
      <c r="I503" s="22" t="str">
        <f>_xlfn.XLOOKUP(tblRequirementMeasureXref[[#This Row],[msr_id]],tblMeasure[msr_id],tblMeasure[msr_name])</f>
        <v>Long Term Support: Expenditure, income and capital charges/overheads, by support reason, setting and age group.</v>
      </c>
      <c r="J503" s="22" t="str">
        <f>_xlfn.XLOOKUP(tblRequirementMeasureXref[[#This Row],[msr_id]],tblMeasure[msr_id],tblMeasure[primary_dimensions])</f>
        <v>expenditure, income, capital charges</v>
      </c>
      <c r="K503" s="22" t="str">
        <f>_xlfn.XLOOKUP(tblRequirementMeasureXref[[#This Row],[msr_id]],tblMeasure[msr_id],tblMeasure[msr_min_geo_resolution])</f>
        <v>LA</v>
      </c>
      <c r="L503" s="22" t="str">
        <f>_xlfn.XLOOKUP(tblRequirementMeasureXref[[#This Row],[msr_id]],tblMeasure[msr_id],tblMeasure[src_name])</f>
        <v>ASC-FR</v>
      </c>
    </row>
    <row r="504" spans="1:12" x14ac:dyDescent="0.15">
      <c r="A504" s="1" t="str">
        <f>_xlfn.XLOOKUP(tblRequirementMeasureXref[[#This Row],[dm_id]],tblDataRequirement[dm_id],tblDataRequirement[domain_sub_requirement])</f>
        <v>Service:Support setting:Community</v>
      </c>
      <c r="B504" s="1" t="str">
        <f>_xlfn.XLOOKUP(tblRequirementMeasureXref[[#This Row],[dm_id]],tblDataRequirement[dm_id],tblDataRequirement[dm_phase])</f>
        <v>operate</v>
      </c>
      <c r="C504" s="1">
        <v>43</v>
      </c>
      <c r="D504" s="1">
        <v>110</v>
      </c>
      <c r="E504" s="1" t="s">
        <v>192</v>
      </c>
      <c r="G504" s="1"/>
      <c r="H504" s="62" t="str">
        <f>_xlfn.XLOOKUP(tblRequirementMeasureXref[[#This Row],[msr_id]],tblMeasure[msr_id],tblMeasure[msr_table])</f>
        <v>FR001</v>
      </c>
      <c r="I504" s="22" t="str">
        <f>_xlfn.XLOOKUP(tblRequirementMeasureXref[[#This Row],[msr_id]],tblMeasure[msr_id],tblMeasure[msr_name])</f>
        <v>Long Term Support: Expenditure, income and capital charges/overheads, by support reason, setting and age group.</v>
      </c>
      <c r="J504" s="22" t="str">
        <f>_xlfn.XLOOKUP(tblRequirementMeasureXref[[#This Row],[msr_id]],tblMeasure[msr_id],tblMeasure[primary_dimensions])</f>
        <v>expenditure, income, capital charges</v>
      </c>
      <c r="K504" s="22" t="str">
        <f>_xlfn.XLOOKUP(tblRequirementMeasureXref[[#This Row],[msr_id]],tblMeasure[msr_id],tblMeasure[msr_min_geo_resolution])</f>
        <v>LA</v>
      </c>
      <c r="L504" s="22" t="str">
        <f>_xlfn.XLOOKUP(tblRequirementMeasureXref[[#This Row],[msr_id]],tblMeasure[msr_id],tblMeasure[src_name])</f>
        <v>ASC-FR</v>
      </c>
    </row>
    <row r="505" spans="1:12" x14ac:dyDescent="0.15">
      <c r="A505" s="1" t="str">
        <f>_xlfn.XLOOKUP(tblRequirementMeasureXref[[#This Row],[dm_id]],tblDataRequirement[dm_id],tblDataRequirement[domain_sub_requirement])</f>
        <v>Service:Support type:Short-term</v>
      </c>
      <c r="B505" s="1" t="str">
        <f>_xlfn.XLOOKUP(tblRequirementMeasureXref[[#This Row],[dm_id]],tblDataRequirement[dm_id],tblDataRequirement[dm_phase])</f>
        <v>operate</v>
      </c>
      <c r="C505" s="1">
        <v>44</v>
      </c>
      <c r="D505" s="1">
        <v>111</v>
      </c>
      <c r="E505" s="1" t="s">
        <v>192</v>
      </c>
      <c r="G505" s="1"/>
      <c r="H505" s="62" t="str">
        <f>_xlfn.XLOOKUP(tblRequirementMeasureXref[[#This Row],[msr_id]],tblMeasure[msr_id],tblMeasure[msr_table])</f>
        <v>FR002</v>
      </c>
      <c r="I505" s="22" t="str">
        <f>_xlfn.XLOOKUP(tblRequirementMeasureXref[[#This Row],[msr_id]],tblMeasure[msr_id],tblMeasure[msr_name])</f>
        <v>Short Term Support: Expenditure, income and capital charges/overheads, by support reason, setting and age group.</v>
      </c>
      <c r="J505" s="22" t="str">
        <f>_xlfn.XLOOKUP(tblRequirementMeasureXref[[#This Row],[msr_id]],tblMeasure[msr_id],tblMeasure[primary_dimensions])</f>
        <v>expenditure, income, capital charges</v>
      </c>
      <c r="K505" s="22" t="str">
        <f>_xlfn.XLOOKUP(tblRequirementMeasureXref[[#This Row],[msr_id]],tblMeasure[msr_id],tblMeasure[msr_min_geo_resolution])</f>
        <v>LA</v>
      </c>
      <c r="L505" s="22" t="str">
        <f>_xlfn.XLOOKUP(tblRequirementMeasureXref[[#This Row],[msr_id]],tblMeasure[msr_id],tblMeasure[src_name])</f>
        <v>ASC-FR</v>
      </c>
    </row>
    <row r="506" spans="1:12" x14ac:dyDescent="0.15">
      <c r="A506" s="1" t="str">
        <f>_xlfn.XLOOKUP(tblRequirementMeasureXref[[#This Row],[dm_id]],tblDataRequirement[dm_id],tblDataRequirement[domain_sub_requirement])</f>
        <v>Users:Care need:Support reason</v>
      </c>
      <c r="B506" s="1" t="str">
        <f>_xlfn.XLOOKUP(tblRequirementMeasureXref[[#This Row],[dm_id]],tblDataRequirement[dm_id],tblDataRequirement[dm_phase])</f>
        <v>demand</v>
      </c>
      <c r="C506" s="1">
        <v>56</v>
      </c>
      <c r="D506" s="1">
        <v>111</v>
      </c>
      <c r="E506" s="1" t="s">
        <v>192</v>
      </c>
      <c r="G506" s="1"/>
      <c r="H506" s="62" t="str">
        <f>_xlfn.XLOOKUP(tblRequirementMeasureXref[[#This Row],[msr_id]],tblMeasure[msr_id],tblMeasure[msr_table])</f>
        <v>FR002</v>
      </c>
      <c r="I506" s="22" t="str">
        <f>_xlfn.XLOOKUP(tblRequirementMeasureXref[[#This Row],[msr_id]],tblMeasure[msr_id],tblMeasure[msr_name])</f>
        <v>Short Term Support: Expenditure, income and capital charges/overheads, by support reason, setting and age group.</v>
      </c>
      <c r="J506" s="22" t="str">
        <f>_xlfn.XLOOKUP(tblRequirementMeasureXref[[#This Row],[msr_id]],tblMeasure[msr_id],tblMeasure[primary_dimensions])</f>
        <v>expenditure, income, capital charges</v>
      </c>
      <c r="K506" s="22" t="str">
        <f>_xlfn.XLOOKUP(tblRequirementMeasureXref[[#This Row],[msr_id]],tblMeasure[msr_id],tblMeasure[msr_min_geo_resolution])</f>
        <v>LA</v>
      </c>
      <c r="L506" s="22" t="str">
        <f>_xlfn.XLOOKUP(tblRequirementMeasureXref[[#This Row],[msr_id]],tblMeasure[msr_id],tblMeasure[src_name])</f>
        <v>ASC-FR</v>
      </c>
    </row>
    <row r="507" spans="1:12" x14ac:dyDescent="0.15">
      <c r="A507" s="1" t="str">
        <f>_xlfn.XLOOKUP(tblRequirementMeasureXref[[#This Row],[dm_id]],tblDataRequirement[dm_id],tblDataRequirement[domain_sub_requirement])</f>
        <v>Users:Demographics:Age</v>
      </c>
      <c r="B507" s="1" t="str">
        <f>_xlfn.XLOOKUP(tblRequirementMeasureXref[[#This Row],[dm_id]],tblDataRequirement[dm_id],tblDataRequirement[dm_phase])</f>
        <v>demand</v>
      </c>
      <c r="C507" s="1">
        <v>51</v>
      </c>
      <c r="D507" s="1">
        <v>111</v>
      </c>
      <c r="E507" s="1" t="s">
        <v>192</v>
      </c>
      <c r="G507" s="1"/>
      <c r="H507" s="62" t="str">
        <f>_xlfn.XLOOKUP(tblRequirementMeasureXref[[#This Row],[msr_id]],tblMeasure[msr_id],tblMeasure[msr_table])</f>
        <v>FR002</v>
      </c>
      <c r="I507" s="22" t="str">
        <f>_xlfn.XLOOKUP(tblRequirementMeasureXref[[#This Row],[msr_id]],tblMeasure[msr_id],tblMeasure[msr_name])</f>
        <v>Short Term Support: Expenditure, income and capital charges/overheads, by support reason, setting and age group.</v>
      </c>
      <c r="J507" s="22" t="str">
        <f>_xlfn.XLOOKUP(tblRequirementMeasureXref[[#This Row],[msr_id]],tblMeasure[msr_id],tblMeasure[primary_dimensions])</f>
        <v>expenditure, income, capital charges</v>
      </c>
      <c r="K507" s="22" t="str">
        <f>_xlfn.XLOOKUP(tblRequirementMeasureXref[[#This Row],[msr_id]],tblMeasure[msr_id],tblMeasure[msr_min_geo_resolution])</f>
        <v>LA</v>
      </c>
      <c r="L507" s="22" t="str">
        <f>_xlfn.XLOOKUP(tblRequirementMeasureXref[[#This Row],[msr_id]],tblMeasure[msr_id],tblMeasure[src_name])</f>
        <v>ASC-FR</v>
      </c>
    </row>
    <row r="508" spans="1:12" x14ac:dyDescent="0.15">
      <c r="A508" s="1" t="str">
        <f>_xlfn.XLOOKUP(tblRequirementMeasureXref[[#This Row],[dm_id]],tblDataRequirement[dm_id],tblDataRequirement[domain_sub_requirement])</f>
        <v>Funders:Expenditure:Local authorities</v>
      </c>
      <c r="B508" s="1" t="str">
        <f>_xlfn.XLOOKUP(tblRequirementMeasureXref[[#This Row],[dm_id]],tblDataRequirement[dm_id],tblDataRequirement[dm_phase])</f>
        <v>supply</v>
      </c>
      <c r="C508" s="1">
        <v>3</v>
      </c>
      <c r="D508" s="1">
        <v>111</v>
      </c>
      <c r="E508" s="1" t="s">
        <v>192</v>
      </c>
      <c r="G508" s="1"/>
      <c r="H508" s="62" t="str">
        <f>_xlfn.XLOOKUP(tblRequirementMeasureXref[[#This Row],[msr_id]],tblMeasure[msr_id],tblMeasure[msr_table])</f>
        <v>FR002</v>
      </c>
      <c r="I508" s="22" t="str">
        <f>_xlfn.XLOOKUP(tblRequirementMeasureXref[[#This Row],[msr_id]],tblMeasure[msr_id],tblMeasure[msr_name])</f>
        <v>Short Term Support: Expenditure, income and capital charges/overheads, by support reason, setting and age group.</v>
      </c>
      <c r="J508" s="22" t="str">
        <f>_xlfn.XLOOKUP(tblRequirementMeasureXref[[#This Row],[msr_id]],tblMeasure[msr_id],tblMeasure[primary_dimensions])</f>
        <v>expenditure, income, capital charges</v>
      </c>
      <c r="K508" s="22" t="str">
        <f>_xlfn.XLOOKUP(tblRequirementMeasureXref[[#This Row],[msr_id]],tblMeasure[msr_id],tblMeasure[msr_min_geo_resolution])</f>
        <v>LA</v>
      </c>
      <c r="L508" s="22" t="str">
        <f>_xlfn.XLOOKUP(tblRequirementMeasureXref[[#This Row],[msr_id]],tblMeasure[msr_id],tblMeasure[src_name])</f>
        <v>ASC-FR</v>
      </c>
    </row>
    <row r="509" spans="1:12" x14ac:dyDescent="0.15">
      <c r="A509" s="1" t="str">
        <f>_xlfn.XLOOKUP(tblRequirementMeasureXref[[#This Row],[dm_id]],tblDataRequirement[dm_id],tblDataRequirement[domain_sub_requirement])</f>
        <v>Funders:Expenditure:Local authority clients</v>
      </c>
      <c r="B509" s="1" t="str">
        <f>_xlfn.XLOOKUP(tblRequirementMeasureXref[[#This Row],[dm_id]],tblDataRequirement[dm_id],tblDataRequirement[dm_phase])</f>
        <v>supply</v>
      </c>
      <c r="C509" s="1">
        <v>7</v>
      </c>
      <c r="D509" s="1">
        <v>111</v>
      </c>
      <c r="E509" s="1" t="s">
        <v>192</v>
      </c>
      <c r="G509" s="1"/>
      <c r="H509" s="62" t="str">
        <f>_xlfn.XLOOKUP(tblRequirementMeasureXref[[#This Row],[msr_id]],tblMeasure[msr_id],tblMeasure[msr_table])</f>
        <v>FR002</v>
      </c>
      <c r="I509" s="22" t="str">
        <f>_xlfn.XLOOKUP(tblRequirementMeasureXref[[#This Row],[msr_id]],tblMeasure[msr_id],tblMeasure[msr_name])</f>
        <v>Short Term Support: Expenditure, income and capital charges/overheads, by support reason, setting and age group.</v>
      </c>
      <c r="J509" s="22" t="str">
        <f>_xlfn.XLOOKUP(tblRequirementMeasureXref[[#This Row],[msr_id]],tblMeasure[msr_id],tblMeasure[primary_dimensions])</f>
        <v>expenditure, income, capital charges</v>
      </c>
      <c r="K509" s="22" t="str">
        <f>_xlfn.XLOOKUP(tblRequirementMeasureXref[[#This Row],[msr_id]],tblMeasure[msr_id],tblMeasure[msr_min_geo_resolution])</f>
        <v>LA</v>
      </c>
      <c r="L509" s="22" t="str">
        <f>_xlfn.XLOOKUP(tblRequirementMeasureXref[[#This Row],[msr_id]],tblMeasure[msr_id],tblMeasure[src_name])</f>
        <v>ASC-FR</v>
      </c>
    </row>
    <row r="510" spans="1:12" x14ac:dyDescent="0.15">
      <c r="A510" s="1" t="str">
        <f>_xlfn.XLOOKUP(tblRequirementMeasureXref[[#This Row],[dm_id]],tblDataRequirement[dm_id],tblDataRequirement[domain_sub_requirement])</f>
        <v>Users:Expenditure:Self-funders</v>
      </c>
      <c r="B510" s="1" t="str">
        <f>_xlfn.XLOOKUP(tblRequirementMeasureXref[[#This Row],[dm_id]],tblDataRequirement[dm_id],tblDataRequirement[dm_phase])</f>
        <v>supply</v>
      </c>
      <c r="C510" s="1">
        <v>5</v>
      </c>
      <c r="D510" s="1">
        <v>111</v>
      </c>
      <c r="E510" s="1" t="s">
        <v>192</v>
      </c>
      <c r="G510" s="1"/>
      <c r="H510" s="62" t="str">
        <f>_xlfn.XLOOKUP(tblRequirementMeasureXref[[#This Row],[msr_id]],tblMeasure[msr_id],tblMeasure[msr_table])</f>
        <v>FR002</v>
      </c>
      <c r="I510" s="22" t="str">
        <f>_xlfn.XLOOKUP(tblRequirementMeasureXref[[#This Row],[msr_id]],tblMeasure[msr_id],tblMeasure[msr_name])</f>
        <v>Short Term Support: Expenditure, income and capital charges/overheads, by support reason, setting and age group.</v>
      </c>
      <c r="J510" s="22" t="str">
        <f>_xlfn.XLOOKUP(tblRequirementMeasureXref[[#This Row],[msr_id]],tblMeasure[msr_id],tblMeasure[primary_dimensions])</f>
        <v>expenditure, income, capital charges</v>
      </c>
      <c r="K510" s="22" t="str">
        <f>_xlfn.XLOOKUP(tblRequirementMeasureXref[[#This Row],[msr_id]],tblMeasure[msr_id],tblMeasure[msr_min_geo_resolution])</f>
        <v>LA</v>
      </c>
      <c r="L510" s="22" t="str">
        <f>_xlfn.XLOOKUP(tblRequirementMeasureXref[[#This Row],[msr_id]],tblMeasure[msr_id],tblMeasure[src_name])</f>
        <v>ASC-FR</v>
      </c>
    </row>
    <row r="511" spans="1:12" x14ac:dyDescent="0.15">
      <c r="A511" s="1" t="str">
        <f>_xlfn.XLOOKUP(tblRequirementMeasureXref[[#This Row],[dm_id]],tblDataRequirement[dm_id],tblDataRequirement[domain_sub_requirement])</f>
        <v>Funders:Expenditure:NHS</v>
      </c>
      <c r="B511" s="1" t="str">
        <f>_xlfn.XLOOKUP(tblRequirementMeasureXref[[#This Row],[dm_id]],tblDataRequirement[dm_id],tblDataRequirement[dm_phase])</f>
        <v>supply</v>
      </c>
      <c r="C511" s="1">
        <v>6</v>
      </c>
      <c r="D511" s="1">
        <v>111</v>
      </c>
      <c r="E511" s="1" t="s">
        <v>192</v>
      </c>
      <c r="G511" s="1"/>
      <c r="H511" s="62" t="str">
        <f>_xlfn.XLOOKUP(tblRequirementMeasureXref[[#This Row],[msr_id]],tblMeasure[msr_id],tblMeasure[msr_table])</f>
        <v>FR002</v>
      </c>
      <c r="I511" s="22" t="str">
        <f>_xlfn.XLOOKUP(tblRequirementMeasureXref[[#This Row],[msr_id]],tblMeasure[msr_id],tblMeasure[msr_name])</f>
        <v>Short Term Support: Expenditure, income and capital charges/overheads, by support reason, setting and age group.</v>
      </c>
      <c r="J511" s="22" t="str">
        <f>_xlfn.XLOOKUP(tblRequirementMeasureXref[[#This Row],[msr_id]],tblMeasure[msr_id],tblMeasure[primary_dimensions])</f>
        <v>expenditure, income, capital charges</v>
      </c>
      <c r="K511" s="22" t="str">
        <f>_xlfn.XLOOKUP(tblRequirementMeasureXref[[#This Row],[msr_id]],tblMeasure[msr_id],tblMeasure[msr_min_geo_resolution])</f>
        <v>LA</v>
      </c>
      <c r="L511" s="22" t="str">
        <f>_xlfn.XLOOKUP(tblRequirementMeasureXref[[#This Row],[msr_id]],tblMeasure[msr_id],tblMeasure[src_name])</f>
        <v>ASC-FR</v>
      </c>
    </row>
    <row r="512" spans="1:12" x14ac:dyDescent="0.15">
      <c r="A512" s="1" t="str">
        <f>_xlfn.XLOOKUP(tblRequirementMeasureXref[[#This Row],[dm_id]],tblDataRequirement[dm_id],tblDataRequirement[domain_sub_requirement])</f>
        <v>Funders:Income:Local authority</v>
      </c>
      <c r="B512" s="1" t="str">
        <f>_xlfn.XLOOKUP(tblRequirementMeasureXref[[#This Row],[dm_id]],tblDataRequirement[dm_id],tblDataRequirement[dm_phase])</f>
        <v>supply</v>
      </c>
      <c r="C512" s="1">
        <v>8</v>
      </c>
      <c r="D512" s="1">
        <v>111</v>
      </c>
      <c r="E512" s="1" t="s">
        <v>192</v>
      </c>
      <c r="G512" s="1"/>
      <c r="H512" s="62" t="str">
        <f>_xlfn.XLOOKUP(tblRequirementMeasureXref[[#This Row],[msr_id]],tblMeasure[msr_id],tblMeasure[msr_table])</f>
        <v>FR002</v>
      </c>
      <c r="I512" s="22" t="str">
        <f>_xlfn.XLOOKUP(tblRequirementMeasureXref[[#This Row],[msr_id]],tblMeasure[msr_id],tblMeasure[msr_name])</f>
        <v>Short Term Support: Expenditure, income and capital charges/overheads, by support reason, setting and age group.</v>
      </c>
      <c r="J512" s="22" t="str">
        <f>_xlfn.XLOOKUP(tblRequirementMeasureXref[[#This Row],[msr_id]],tblMeasure[msr_id],tblMeasure[primary_dimensions])</f>
        <v>expenditure, income, capital charges</v>
      </c>
      <c r="K512" s="22" t="str">
        <f>_xlfn.XLOOKUP(tblRequirementMeasureXref[[#This Row],[msr_id]],tblMeasure[msr_id],tblMeasure[msr_min_geo_resolution])</f>
        <v>LA</v>
      </c>
      <c r="L512" s="22" t="str">
        <f>_xlfn.XLOOKUP(tblRequirementMeasureXref[[#This Row],[msr_id]],tblMeasure[msr_id],tblMeasure[src_name])</f>
        <v>ASC-FR</v>
      </c>
    </row>
    <row r="513" spans="1:12" x14ac:dyDescent="0.15">
      <c r="A513" s="1" t="str">
        <f>_xlfn.XLOOKUP(tblRequirementMeasureXref[[#This Row],[dm_id]],tblDataRequirement[dm_id],tblDataRequirement[domain_sub_requirement])</f>
        <v>Service:Support type:Other (not ST or LT)</v>
      </c>
      <c r="B513" s="1" t="str">
        <f>_xlfn.XLOOKUP(tblRequirementMeasureXref[[#This Row],[dm_id]],tblDataRequirement[dm_id],tblDataRequirement[dm_phase])</f>
        <v>operate</v>
      </c>
      <c r="C513" s="1">
        <v>68</v>
      </c>
      <c r="D513" s="1">
        <v>112</v>
      </c>
      <c r="E513" s="1" t="s">
        <v>192</v>
      </c>
      <c r="G513" s="1"/>
      <c r="H513" s="62" t="str">
        <f>_xlfn.XLOOKUP(tblRequirementMeasureXref[[#This Row],[msr_id]],tblMeasure[msr_id],tblMeasure[msr_table])</f>
        <v>FR003</v>
      </c>
      <c r="I513" s="22" t="str">
        <f>_xlfn.XLOOKUP(tblRequirementMeasureXref[[#This Row],[msr_id]],tblMeasure[msr_id],tblMeasure[msr_name])</f>
        <v>Social Support (substance misuse, asylum, carers, isolation): expenditure, income and capital charges/overheads.</v>
      </c>
      <c r="J513" s="22" t="str">
        <f>_xlfn.XLOOKUP(tblRequirementMeasureXref[[#This Row],[msr_id]],tblMeasure[msr_id],tblMeasure[primary_dimensions])</f>
        <v>expenditure, income, capital charges</v>
      </c>
      <c r="K513" s="22" t="str">
        <f>_xlfn.XLOOKUP(tblRequirementMeasureXref[[#This Row],[msr_id]],tblMeasure[msr_id],tblMeasure[msr_min_geo_resolution])</f>
        <v>LA</v>
      </c>
      <c r="L513" s="22" t="str">
        <f>_xlfn.XLOOKUP(tblRequirementMeasureXref[[#This Row],[msr_id]],tblMeasure[msr_id],tblMeasure[src_name])</f>
        <v>ASC-FR</v>
      </c>
    </row>
    <row r="514" spans="1:12" x14ac:dyDescent="0.15">
      <c r="A514" s="1" t="str">
        <f>_xlfn.XLOOKUP(tblRequirementMeasureXref[[#This Row],[dm_id]],tblDataRequirement[dm_id],tblDataRequirement[domain_sub_requirement])</f>
        <v>Funders:Expenditure:Local authorities</v>
      </c>
      <c r="B514" s="1" t="str">
        <f>_xlfn.XLOOKUP(tblRequirementMeasureXref[[#This Row],[dm_id]],tblDataRequirement[dm_id],tblDataRequirement[dm_phase])</f>
        <v>supply</v>
      </c>
      <c r="C514" s="1">
        <v>3</v>
      </c>
      <c r="D514" s="1">
        <v>112</v>
      </c>
      <c r="E514" s="1" t="s">
        <v>192</v>
      </c>
      <c r="G514" s="1"/>
      <c r="H514" s="62" t="str">
        <f>_xlfn.XLOOKUP(tblRequirementMeasureXref[[#This Row],[msr_id]],tblMeasure[msr_id],tblMeasure[msr_table])</f>
        <v>FR003</v>
      </c>
      <c r="I514" s="22" t="str">
        <f>_xlfn.XLOOKUP(tblRequirementMeasureXref[[#This Row],[msr_id]],tblMeasure[msr_id],tblMeasure[msr_name])</f>
        <v>Social Support (substance misuse, asylum, carers, isolation): expenditure, income and capital charges/overheads.</v>
      </c>
      <c r="J514" s="22" t="str">
        <f>_xlfn.XLOOKUP(tblRequirementMeasureXref[[#This Row],[msr_id]],tblMeasure[msr_id],tblMeasure[primary_dimensions])</f>
        <v>expenditure, income, capital charges</v>
      </c>
      <c r="K514" s="22" t="str">
        <f>_xlfn.XLOOKUP(tblRequirementMeasureXref[[#This Row],[msr_id]],tblMeasure[msr_id],tblMeasure[msr_min_geo_resolution])</f>
        <v>LA</v>
      </c>
      <c r="L514" s="22" t="str">
        <f>_xlfn.XLOOKUP(tblRequirementMeasureXref[[#This Row],[msr_id]],tblMeasure[msr_id],tblMeasure[src_name])</f>
        <v>ASC-FR</v>
      </c>
    </row>
    <row r="515" spans="1:12" x14ac:dyDescent="0.15">
      <c r="A515" s="1" t="str">
        <f>_xlfn.XLOOKUP(tblRequirementMeasureXref[[#This Row],[dm_id]],tblDataRequirement[dm_id],tblDataRequirement[domain_sub_requirement])</f>
        <v>Funders:Expenditure:Local authority clients</v>
      </c>
      <c r="B515" s="1" t="str">
        <f>_xlfn.XLOOKUP(tblRequirementMeasureXref[[#This Row],[dm_id]],tblDataRequirement[dm_id],tblDataRequirement[dm_phase])</f>
        <v>supply</v>
      </c>
      <c r="C515" s="1">
        <v>7</v>
      </c>
      <c r="D515" s="1">
        <v>112</v>
      </c>
      <c r="E515" s="1" t="s">
        <v>192</v>
      </c>
      <c r="G515" s="1"/>
      <c r="H515" s="62" t="str">
        <f>_xlfn.XLOOKUP(tblRequirementMeasureXref[[#This Row],[msr_id]],tblMeasure[msr_id],tblMeasure[msr_table])</f>
        <v>FR003</v>
      </c>
      <c r="I515" s="22" t="str">
        <f>_xlfn.XLOOKUP(tblRequirementMeasureXref[[#This Row],[msr_id]],tblMeasure[msr_id],tblMeasure[msr_name])</f>
        <v>Social Support (substance misuse, asylum, carers, isolation): expenditure, income and capital charges/overheads.</v>
      </c>
      <c r="J515" s="22" t="str">
        <f>_xlfn.XLOOKUP(tblRequirementMeasureXref[[#This Row],[msr_id]],tblMeasure[msr_id],tblMeasure[primary_dimensions])</f>
        <v>expenditure, income, capital charges</v>
      </c>
      <c r="K515" s="22" t="str">
        <f>_xlfn.XLOOKUP(tblRequirementMeasureXref[[#This Row],[msr_id]],tblMeasure[msr_id],tblMeasure[msr_min_geo_resolution])</f>
        <v>LA</v>
      </c>
      <c r="L515" s="22" t="str">
        <f>_xlfn.XLOOKUP(tblRequirementMeasureXref[[#This Row],[msr_id]],tblMeasure[msr_id],tblMeasure[src_name])</f>
        <v>ASC-FR</v>
      </c>
    </row>
    <row r="516" spans="1:12" x14ac:dyDescent="0.15">
      <c r="A516" s="1" t="str">
        <f>_xlfn.XLOOKUP(tblRequirementMeasureXref[[#This Row],[dm_id]],tblDataRequirement[dm_id],tblDataRequirement[domain_sub_requirement])</f>
        <v>Users:Expenditure:Self-funders</v>
      </c>
      <c r="B516" s="1" t="str">
        <f>_xlfn.XLOOKUP(tblRequirementMeasureXref[[#This Row],[dm_id]],tblDataRequirement[dm_id],tblDataRequirement[dm_phase])</f>
        <v>supply</v>
      </c>
      <c r="C516" s="1">
        <v>5</v>
      </c>
      <c r="D516" s="1">
        <v>112</v>
      </c>
      <c r="E516" s="1" t="s">
        <v>192</v>
      </c>
      <c r="G516" s="1"/>
      <c r="H516" s="62" t="str">
        <f>_xlfn.XLOOKUP(tblRequirementMeasureXref[[#This Row],[msr_id]],tblMeasure[msr_id],tblMeasure[msr_table])</f>
        <v>FR003</v>
      </c>
      <c r="I516" s="22" t="str">
        <f>_xlfn.XLOOKUP(tblRequirementMeasureXref[[#This Row],[msr_id]],tblMeasure[msr_id],tblMeasure[msr_name])</f>
        <v>Social Support (substance misuse, asylum, carers, isolation): expenditure, income and capital charges/overheads.</v>
      </c>
      <c r="J516" s="22" t="str">
        <f>_xlfn.XLOOKUP(tblRequirementMeasureXref[[#This Row],[msr_id]],tblMeasure[msr_id],tblMeasure[primary_dimensions])</f>
        <v>expenditure, income, capital charges</v>
      </c>
      <c r="K516" s="22" t="str">
        <f>_xlfn.XLOOKUP(tblRequirementMeasureXref[[#This Row],[msr_id]],tblMeasure[msr_id],tblMeasure[msr_min_geo_resolution])</f>
        <v>LA</v>
      </c>
      <c r="L516" s="22" t="str">
        <f>_xlfn.XLOOKUP(tblRequirementMeasureXref[[#This Row],[msr_id]],tblMeasure[msr_id],tblMeasure[src_name])</f>
        <v>ASC-FR</v>
      </c>
    </row>
    <row r="517" spans="1:12" x14ac:dyDescent="0.15">
      <c r="A517" s="1" t="str">
        <f>_xlfn.XLOOKUP(tblRequirementMeasureXref[[#This Row],[dm_id]],tblDataRequirement[dm_id],tblDataRequirement[domain_sub_requirement])</f>
        <v>Funders:Expenditure:NHS</v>
      </c>
      <c r="B517" s="1" t="str">
        <f>_xlfn.XLOOKUP(tblRequirementMeasureXref[[#This Row],[dm_id]],tblDataRequirement[dm_id],tblDataRequirement[dm_phase])</f>
        <v>supply</v>
      </c>
      <c r="C517" s="1">
        <v>6</v>
      </c>
      <c r="D517" s="1">
        <v>112</v>
      </c>
      <c r="E517" s="1" t="s">
        <v>192</v>
      </c>
      <c r="G517" s="1"/>
      <c r="H517" s="62" t="str">
        <f>_xlfn.XLOOKUP(tblRequirementMeasureXref[[#This Row],[msr_id]],tblMeasure[msr_id],tblMeasure[msr_table])</f>
        <v>FR003</v>
      </c>
      <c r="I517" s="22" t="str">
        <f>_xlfn.XLOOKUP(tblRequirementMeasureXref[[#This Row],[msr_id]],tblMeasure[msr_id],tblMeasure[msr_name])</f>
        <v>Social Support (substance misuse, asylum, carers, isolation): expenditure, income and capital charges/overheads.</v>
      </c>
      <c r="J517" s="22" t="str">
        <f>_xlfn.XLOOKUP(tblRequirementMeasureXref[[#This Row],[msr_id]],tblMeasure[msr_id],tblMeasure[primary_dimensions])</f>
        <v>expenditure, income, capital charges</v>
      </c>
      <c r="K517" s="22" t="str">
        <f>_xlfn.XLOOKUP(tblRequirementMeasureXref[[#This Row],[msr_id]],tblMeasure[msr_id],tblMeasure[msr_min_geo_resolution])</f>
        <v>LA</v>
      </c>
      <c r="L517" s="22" t="str">
        <f>_xlfn.XLOOKUP(tblRequirementMeasureXref[[#This Row],[msr_id]],tblMeasure[msr_id],tblMeasure[src_name])</f>
        <v>ASC-FR</v>
      </c>
    </row>
    <row r="518" spans="1:12" x14ac:dyDescent="0.15">
      <c r="A518" s="1" t="str">
        <f>_xlfn.XLOOKUP(tblRequirementMeasureXref[[#This Row],[dm_id]],tblDataRequirement[dm_id],tblDataRequirement[domain_sub_requirement])</f>
        <v>Funders:Income:Local authority</v>
      </c>
      <c r="B518" s="1" t="str">
        <f>_xlfn.XLOOKUP(tblRequirementMeasureXref[[#This Row],[dm_id]],tblDataRequirement[dm_id],tblDataRequirement[dm_phase])</f>
        <v>supply</v>
      </c>
      <c r="C518" s="1">
        <v>8</v>
      </c>
      <c r="D518" s="1">
        <v>112</v>
      </c>
      <c r="E518" s="1" t="s">
        <v>192</v>
      </c>
      <c r="G518" s="1"/>
      <c r="H518" s="62" t="str">
        <f>_xlfn.XLOOKUP(tblRequirementMeasureXref[[#This Row],[msr_id]],tblMeasure[msr_id],tblMeasure[msr_table])</f>
        <v>FR003</v>
      </c>
      <c r="I518" s="22" t="str">
        <f>_xlfn.XLOOKUP(tblRequirementMeasureXref[[#This Row],[msr_id]],tblMeasure[msr_id],tblMeasure[msr_name])</f>
        <v>Social Support (substance misuse, asylum, carers, isolation): expenditure, income and capital charges/overheads.</v>
      </c>
      <c r="J518" s="22" t="str">
        <f>_xlfn.XLOOKUP(tblRequirementMeasureXref[[#This Row],[msr_id]],tblMeasure[msr_id],tblMeasure[primary_dimensions])</f>
        <v>expenditure, income, capital charges</v>
      </c>
      <c r="K518" s="22" t="str">
        <f>_xlfn.XLOOKUP(tblRequirementMeasureXref[[#This Row],[msr_id]],tblMeasure[msr_id],tblMeasure[msr_min_geo_resolution])</f>
        <v>LA</v>
      </c>
      <c r="L518" s="22" t="str">
        <f>_xlfn.XLOOKUP(tblRequirementMeasureXref[[#This Row],[msr_id]],tblMeasure[msr_id],tblMeasure[src_name])</f>
        <v>ASC-FR</v>
      </c>
    </row>
    <row r="519" spans="1:12" x14ac:dyDescent="0.15">
      <c r="A519" s="1" t="str">
        <f>_xlfn.XLOOKUP(tblRequirementMeasureXref[[#This Row],[dm_id]],tblDataRequirement[dm_id],tblDataRequirement[domain_sub_requirement])</f>
        <v>Service:Support type:Other (not ST or LT)</v>
      </c>
      <c r="B519" s="1" t="str">
        <f>_xlfn.XLOOKUP(tblRequirementMeasureXref[[#This Row],[dm_id]],tblDataRequirement[dm_id],tblDataRequirement[dm_phase])</f>
        <v>operate</v>
      </c>
      <c r="C519" s="1">
        <v>68</v>
      </c>
      <c r="D519" s="1">
        <v>113</v>
      </c>
      <c r="E519" s="1" t="s">
        <v>192</v>
      </c>
      <c r="G519" s="1"/>
      <c r="H519" s="62" t="str">
        <f>_xlfn.XLOOKUP(tblRequirementMeasureXref[[#This Row],[msr_id]],tblMeasure[msr_id],tblMeasure[msr_table])</f>
        <v>FR004</v>
      </c>
      <c r="I519" s="22" t="str">
        <f>_xlfn.XLOOKUP(tblRequirementMeasureXref[[#This Row],[msr_id]],tblMeasure[msr_id],tblMeasure[msr_name])</f>
        <v>Assistive Equipment and Technology: expenditure, income and capital charges/overheads</v>
      </c>
      <c r="J519" s="22" t="str">
        <f>_xlfn.XLOOKUP(tblRequirementMeasureXref[[#This Row],[msr_id]],tblMeasure[msr_id],tblMeasure[primary_dimensions])</f>
        <v>expenditure, income, capital charges</v>
      </c>
      <c r="K519" s="22" t="str">
        <f>_xlfn.XLOOKUP(tblRequirementMeasureXref[[#This Row],[msr_id]],tblMeasure[msr_id],tblMeasure[msr_min_geo_resolution])</f>
        <v>LA</v>
      </c>
      <c r="L519" s="22" t="str">
        <f>_xlfn.XLOOKUP(tblRequirementMeasureXref[[#This Row],[msr_id]],tblMeasure[msr_id],tblMeasure[src_name])</f>
        <v>ASC-FR</v>
      </c>
    </row>
    <row r="520" spans="1:12" x14ac:dyDescent="0.15">
      <c r="A520" s="1" t="str">
        <f>_xlfn.XLOOKUP(tblRequirementMeasureXref[[#This Row],[dm_id]],tblDataRequirement[dm_id],tblDataRequirement[domain_sub_requirement])</f>
        <v>Funders:Expenditure:Local authorities</v>
      </c>
      <c r="B520" s="1" t="str">
        <f>_xlfn.XLOOKUP(tblRequirementMeasureXref[[#This Row],[dm_id]],tblDataRequirement[dm_id],tblDataRequirement[dm_phase])</f>
        <v>supply</v>
      </c>
      <c r="C520" s="1">
        <v>3</v>
      </c>
      <c r="D520" s="1">
        <v>113</v>
      </c>
      <c r="E520" s="1" t="s">
        <v>192</v>
      </c>
      <c r="G520" s="1"/>
      <c r="H520" s="62" t="str">
        <f>_xlfn.XLOOKUP(tblRequirementMeasureXref[[#This Row],[msr_id]],tblMeasure[msr_id],tblMeasure[msr_table])</f>
        <v>FR004</v>
      </c>
      <c r="I520" s="22" t="str">
        <f>_xlfn.XLOOKUP(tblRequirementMeasureXref[[#This Row],[msr_id]],tblMeasure[msr_id],tblMeasure[msr_name])</f>
        <v>Assistive Equipment and Technology: expenditure, income and capital charges/overheads</v>
      </c>
      <c r="J520" s="22" t="str">
        <f>_xlfn.XLOOKUP(tblRequirementMeasureXref[[#This Row],[msr_id]],tblMeasure[msr_id],tblMeasure[primary_dimensions])</f>
        <v>expenditure, income, capital charges</v>
      </c>
      <c r="K520" s="22" t="str">
        <f>_xlfn.XLOOKUP(tblRequirementMeasureXref[[#This Row],[msr_id]],tblMeasure[msr_id],tblMeasure[msr_min_geo_resolution])</f>
        <v>LA</v>
      </c>
      <c r="L520" s="22" t="str">
        <f>_xlfn.XLOOKUP(tblRequirementMeasureXref[[#This Row],[msr_id]],tblMeasure[msr_id],tblMeasure[src_name])</f>
        <v>ASC-FR</v>
      </c>
    </row>
    <row r="521" spans="1:12" x14ac:dyDescent="0.15">
      <c r="A521" s="1" t="str">
        <f>_xlfn.XLOOKUP(tblRequirementMeasureXref[[#This Row],[dm_id]],tblDataRequirement[dm_id],tblDataRequirement[domain_sub_requirement])</f>
        <v>Funders:Expenditure:Local authority clients</v>
      </c>
      <c r="B521" s="1" t="str">
        <f>_xlfn.XLOOKUP(tblRequirementMeasureXref[[#This Row],[dm_id]],tblDataRequirement[dm_id],tblDataRequirement[dm_phase])</f>
        <v>supply</v>
      </c>
      <c r="C521" s="1">
        <v>7</v>
      </c>
      <c r="D521" s="1">
        <v>113</v>
      </c>
      <c r="E521" s="1" t="s">
        <v>192</v>
      </c>
      <c r="G521" s="1"/>
      <c r="H521" s="62" t="str">
        <f>_xlfn.XLOOKUP(tblRequirementMeasureXref[[#This Row],[msr_id]],tblMeasure[msr_id],tblMeasure[msr_table])</f>
        <v>FR004</v>
      </c>
      <c r="I521" s="22" t="str">
        <f>_xlfn.XLOOKUP(tblRequirementMeasureXref[[#This Row],[msr_id]],tblMeasure[msr_id],tblMeasure[msr_name])</f>
        <v>Assistive Equipment and Technology: expenditure, income and capital charges/overheads</v>
      </c>
      <c r="J521" s="22" t="str">
        <f>_xlfn.XLOOKUP(tblRequirementMeasureXref[[#This Row],[msr_id]],tblMeasure[msr_id],tblMeasure[primary_dimensions])</f>
        <v>expenditure, income, capital charges</v>
      </c>
      <c r="K521" s="22" t="str">
        <f>_xlfn.XLOOKUP(tblRequirementMeasureXref[[#This Row],[msr_id]],tblMeasure[msr_id],tblMeasure[msr_min_geo_resolution])</f>
        <v>LA</v>
      </c>
      <c r="L521" s="22" t="str">
        <f>_xlfn.XLOOKUP(tblRequirementMeasureXref[[#This Row],[msr_id]],tblMeasure[msr_id],tblMeasure[src_name])</f>
        <v>ASC-FR</v>
      </c>
    </row>
    <row r="522" spans="1:12" x14ac:dyDescent="0.15">
      <c r="A522" s="1" t="str">
        <f>_xlfn.XLOOKUP(tblRequirementMeasureXref[[#This Row],[dm_id]],tblDataRequirement[dm_id],tblDataRequirement[domain_sub_requirement])</f>
        <v>Users:Expenditure:Self-funders</v>
      </c>
      <c r="B522" s="1" t="str">
        <f>_xlfn.XLOOKUP(tblRequirementMeasureXref[[#This Row],[dm_id]],tblDataRequirement[dm_id],tblDataRequirement[dm_phase])</f>
        <v>supply</v>
      </c>
      <c r="C522" s="1">
        <v>5</v>
      </c>
      <c r="D522" s="1">
        <v>113</v>
      </c>
      <c r="E522" s="1" t="s">
        <v>192</v>
      </c>
      <c r="G522" s="1"/>
      <c r="H522" s="62" t="str">
        <f>_xlfn.XLOOKUP(tblRequirementMeasureXref[[#This Row],[msr_id]],tblMeasure[msr_id],tblMeasure[msr_table])</f>
        <v>FR004</v>
      </c>
      <c r="I522" s="22" t="str">
        <f>_xlfn.XLOOKUP(tblRequirementMeasureXref[[#This Row],[msr_id]],tblMeasure[msr_id],tblMeasure[msr_name])</f>
        <v>Assistive Equipment and Technology: expenditure, income and capital charges/overheads</v>
      </c>
      <c r="J522" s="22" t="str">
        <f>_xlfn.XLOOKUP(tblRequirementMeasureXref[[#This Row],[msr_id]],tblMeasure[msr_id],tblMeasure[primary_dimensions])</f>
        <v>expenditure, income, capital charges</v>
      </c>
      <c r="K522" s="22" t="str">
        <f>_xlfn.XLOOKUP(tblRequirementMeasureXref[[#This Row],[msr_id]],tblMeasure[msr_id],tblMeasure[msr_min_geo_resolution])</f>
        <v>LA</v>
      </c>
      <c r="L522" s="22" t="str">
        <f>_xlfn.XLOOKUP(tblRequirementMeasureXref[[#This Row],[msr_id]],tblMeasure[msr_id],tblMeasure[src_name])</f>
        <v>ASC-FR</v>
      </c>
    </row>
    <row r="523" spans="1:12" x14ac:dyDescent="0.15">
      <c r="A523" s="1" t="str">
        <f>_xlfn.XLOOKUP(tblRequirementMeasureXref[[#This Row],[dm_id]],tblDataRequirement[dm_id],tblDataRequirement[domain_sub_requirement])</f>
        <v>Funders:Expenditure:NHS</v>
      </c>
      <c r="B523" s="1" t="str">
        <f>_xlfn.XLOOKUP(tblRequirementMeasureXref[[#This Row],[dm_id]],tblDataRequirement[dm_id],tblDataRequirement[dm_phase])</f>
        <v>supply</v>
      </c>
      <c r="C523" s="1">
        <v>6</v>
      </c>
      <c r="D523" s="1">
        <v>113</v>
      </c>
      <c r="E523" s="1" t="s">
        <v>192</v>
      </c>
      <c r="G523" s="1"/>
      <c r="H523" s="62" t="str">
        <f>_xlfn.XLOOKUP(tblRequirementMeasureXref[[#This Row],[msr_id]],tblMeasure[msr_id],tblMeasure[msr_table])</f>
        <v>FR004</v>
      </c>
      <c r="I523" s="22" t="str">
        <f>_xlfn.XLOOKUP(tblRequirementMeasureXref[[#This Row],[msr_id]],tblMeasure[msr_id],tblMeasure[msr_name])</f>
        <v>Assistive Equipment and Technology: expenditure, income and capital charges/overheads</v>
      </c>
      <c r="J523" s="22" t="str">
        <f>_xlfn.XLOOKUP(tblRequirementMeasureXref[[#This Row],[msr_id]],tblMeasure[msr_id],tblMeasure[primary_dimensions])</f>
        <v>expenditure, income, capital charges</v>
      </c>
      <c r="K523" s="22" t="str">
        <f>_xlfn.XLOOKUP(tblRequirementMeasureXref[[#This Row],[msr_id]],tblMeasure[msr_id],tblMeasure[msr_min_geo_resolution])</f>
        <v>LA</v>
      </c>
      <c r="L523" s="22" t="str">
        <f>_xlfn.XLOOKUP(tblRequirementMeasureXref[[#This Row],[msr_id]],tblMeasure[msr_id],tblMeasure[src_name])</f>
        <v>ASC-FR</v>
      </c>
    </row>
    <row r="524" spans="1:12" x14ac:dyDescent="0.15">
      <c r="A524" s="1" t="str">
        <f>_xlfn.XLOOKUP(tblRequirementMeasureXref[[#This Row],[dm_id]],tblDataRequirement[dm_id],tblDataRequirement[domain_sub_requirement])</f>
        <v>Funders:Income:Local authority</v>
      </c>
      <c r="B524" s="1" t="str">
        <f>_xlfn.XLOOKUP(tblRequirementMeasureXref[[#This Row],[dm_id]],tblDataRequirement[dm_id],tblDataRequirement[dm_phase])</f>
        <v>supply</v>
      </c>
      <c r="C524" s="1">
        <v>8</v>
      </c>
      <c r="D524" s="1">
        <v>113</v>
      </c>
      <c r="E524" s="1" t="s">
        <v>192</v>
      </c>
      <c r="G524" s="1"/>
      <c r="H524" s="62" t="str">
        <f>_xlfn.XLOOKUP(tblRequirementMeasureXref[[#This Row],[msr_id]],tblMeasure[msr_id],tblMeasure[msr_table])</f>
        <v>FR004</v>
      </c>
      <c r="I524" s="22" t="str">
        <f>_xlfn.XLOOKUP(tblRequirementMeasureXref[[#This Row],[msr_id]],tblMeasure[msr_id],tblMeasure[msr_name])</f>
        <v>Assistive Equipment and Technology: expenditure, income and capital charges/overheads</v>
      </c>
      <c r="J524" s="22" t="str">
        <f>_xlfn.XLOOKUP(tblRequirementMeasureXref[[#This Row],[msr_id]],tblMeasure[msr_id],tblMeasure[primary_dimensions])</f>
        <v>expenditure, income, capital charges</v>
      </c>
      <c r="K524" s="22" t="str">
        <f>_xlfn.XLOOKUP(tblRequirementMeasureXref[[#This Row],[msr_id]],tblMeasure[msr_id],tblMeasure[msr_min_geo_resolution])</f>
        <v>LA</v>
      </c>
      <c r="L524" s="22" t="str">
        <f>_xlfn.XLOOKUP(tblRequirementMeasureXref[[#This Row],[msr_id]],tblMeasure[msr_id],tblMeasure[src_name])</f>
        <v>ASC-FR</v>
      </c>
    </row>
    <row r="525" spans="1:12" x14ac:dyDescent="0.15">
      <c r="A525" s="1" t="str">
        <f>_xlfn.XLOOKUP(tblRequirementMeasureXref[[#This Row],[dm_id]],tblDataRequirement[dm_id],tblDataRequirement[domain_sub_requirement])</f>
        <v>Service:Support type:Other (not ST or LT)</v>
      </c>
      <c r="B525" s="1" t="str">
        <f>_xlfn.XLOOKUP(tblRequirementMeasureXref[[#This Row],[dm_id]],tblDataRequirement[dm_id],tblDataRequirement[dm_phase])</f>
        <v>operate</v>
      </c>
      <c r="C525" s="1">
        <v>68</v>
      </c>
      <c r="D525" s="1">
        <v>114</v>
      </c>
      <c r="E525" s="1" t="s">
        <v>192</v>
      </c>
      <c r="G525" s="1"/>
      <c r="H525" s="62" t="str">
        <f>_xlfn.XLOOKUP(tblRequirementMeasureXref[[#This Row],[msr_id]],tblMeasure[msr_id],tblMeasure[msr_table])</f>
        <v>FR005</v>
      </c>
      <c r="I525" s="22" t="str">
        <f>_xlfn.XLOOKUP(tblRequirementMeasureXref[[#This Row],[msr_id]],tblMeasure[msr_id],tblMeasure[msr_name])</f>
        <v>Social Care Activities: expenditure, income and capital charges/overheads</v>
      </c>
      <c r="J525" s="22" t="str">
        <f>_xlfn.XLOOKUP(tblRequirementMeasureXref[[#This Row],[msr_id]],tblMeasure[msr_id],tblMeasure[primary_dimensions])</f>
        <v>expenditure, income, capital charges</v>
      </c>
      <c r="K525" s="22" t="str">
        <f>_xlfn.XLOOKUP(tblRequirementMeasureXref[[#This Row],[msr_id]],tblMeasure[msr_id],tblMeasure[msr_min_geo_resolution])</f>
        <v>LA</v>
      </c>
      <c r="L525" s="22" t="str">
        <f>_xlfn.XLOOKUP(tblRequirementMeasureXref[[#This Row],[msr_id]],tblMeasure[msr_id],tblMeasure[src_name])</f>
        <v>ASC-FR</v>
      </c>
    </row>
    <row r="526" spans="1:12" x14ac:dyDescent="0.15">
      <c r="A526" s="1" t="str">
        <f>_xlfn.XLOOKUP(tblRequirementMeasureXref[[#This Row],[dm_id]],tblDataRequirement[dm_id],tblDataRequirement[domain_sub_requirement])</f>
        <v>Funders:Expenditure:Local authorities</v>
      </c>
      <c r="B526" s="1" t="str">
        <f>_xlfn.XLOOKUP(tblRequirementMeasureXref[[#This Row],[dm_id]],tblDataRequirement[dm_id],tblDataRequirement[dm_phase])</f>
        <v>supply</v>
      </c>
      <c r="C526" s="1">
        <v>3</v>
      </c>
      <c r="D526" s="1">
        <v>114</v>
      </c>
      <c r="E526" s="1" t="s">
        <v>192</v>
      </c>
      <c r="G526" s="1"/>
      <c r="H526" s="62" t="str">
        <f>_xlfn.XLOOKUP(tblRequirementMeasureXref[[#This Row],[msr_id]],tblMeasure[msr_id],tblMeasure[msr_table])</f>
        <v>FR005</v>
      </c>
      <c r="I526" s="22" t="str">
        <f>_xlfn.XLOOKUP(tblRequirementMeasureXref[[#This Row],[msr_id]],tblMeasure[msr_id],tblMeasure[msr_name])</f>
        <v>Social Care Activities: expenditure, income and capital charges/overheads</v>
      </c>
      <c r="J526" s="22" t="str">
        <f>_xlfn.XLOOKUP(tblRequirementMeasureXref[[#This Row],[msr_id]],tblMeasure[msr_id],tblMeasure[primary_dimensions])</f>
        <v>expenditure, income, capital charges</v>
      </c>
      <c r="K526" s="22" t="str">
        <f>_xlfn.XLOOKUP(tblRequirementMeasureXref[[#This Row],[msr_id]],tblMeasure[msr_id],tblMeasure[msr_min_geo_resolution])</f>
        <v>LA</v>
      </c>
      <c r="L526" s="22" t="str">
        <f>_xlfn.XLOOKUP(tblRequirementMeasureXref[[#This Row],[msr_id]],tblMeasure[msr_id],tblMeasure[src_name])</f>
        <v>ASC-FR</v>
      </c>
    </row>
    <row r="527" spans="1:12" x14ac:dyDescent="0.15">
      <c r="A527" s="1" t="str">
        <f>_xlfn.XLOOKUP(tblRequirementMeasureXref[[#This Row],[dm_id]],tblDataRequirement[dm_id],tblDataRequirement[domain_sub_requirement])</f>
        <v>Funders:Expenditure:Local authority clients</v>
      </c>
      <c r="B527" s="1" t="str">
        <f>_xlfn.XLOOKUP(tblRequirementMeasureXref[[#This Row],[dm_id]],tblDataRequirement[dm_id],tblDataRequirement[dm_phase])</f>
        <v>supply</v>
      </c>
      <c r="C527" s="1">
        <v>7</v>
      </c>
      <c r="D527" s="1">
        <v>114</v>
      </c>
      <c r="E527" s="1" t="s">
        <v>192</v>
      </c>
      <c r="G527" s="1"/>
      <c r="H527" s="62" t="str">
        <f>_xlfn.XLOOKUP(tblRequirementMeasureXref[[#This Row],[msr_id]],tblMeasure[msr_id],tblMeasure[msr_table])</f>
        <v>FR005</v>
      </c>
      <c r="I527" s="22" t="str">
        <f>_xlfn.XLOOKUP(tblRequirementMeasureXref[[#This Row],[msr_id]],tblMeasure[msr_id],tblMeasure[msr_name])</f>
        <v>Social Care Activities: expenditure, income and capital charges/overheads</v>
      </c>
      <c r="J527" s="22" t="str">
        <f>_xlfn.XLOOKUP(tblRequirementMeasureXref[[#This Row],[msr_id]],tblMeasure[msr_id],tblMeasure[primary_dimensions])</f>
        <v>expenditure, income, capital charges</v>
      </c>
      <c r="K527" s="22" t="str">
        <f>_xlfn.XLOOKUP(tblRequirementMeasureXref[[#This Row],[msr_id]],tblMeasure[msr_id],tblMeasure[msr_min_geo_resolution])</f>
        <v>LA</v>
      </c>
      <c r="L527" s="22" t="str">
        <f>_xlfn.XLOOKUP(tblRequirementMeasureXref[[#This Row],[msr_id]],tblMeasure[msr_id],tblMeasure[src_name])</f>
        <v>ASC-FR</v>
      </c>
    </row>
    <row r="528" spans="1:12" x14ac:dyDescent="0.15">
      <c r="A528" s="1" t="str">
        <f>_xlfn.XLOOKUP(tblRequirementMeasureXref[[#This Row],[dm_id]],tblDataRequirement[dm_id],tblDataRequirement[domain_sub_requirement])</f>
        <v>Users:Expenditure:Self-funders</v>
      </c>
      <c r="B528" s="1" t="str">
        <f>_xlfn.XLOOKUP(tblRequirementMeasureXref[[#This Row],[dm_id]],tblDataRequirement[dm_id],tblDataRequirement[dm_phase])</f>
        <v>supply</v>
      </c>
      <c r="C528" s="1">
        <v>5</v>
      </c>
      <c r="D528" s="1">
        <v>114</v>
      </c>
      <c r="E528" s="1" t="s">
        <v>192</v>
      </c>
      <c r="G528" s="1"/>
      <c r="H528" s="62" t="str">
        <f>_xlfn.XLOOKUP(tblRequirementMeasureXref[[#This Row],[msr_id]],tblMeasure[msr_id],tblMeasure[msr_table])</f>
        <v>FR005</v>
      </c>
      <c r="I528" s="22" t="str">
        <f>_xlfn.XLOOKUP(tblRequirementMeasureXref[[#This Row],[msr_id]],tblMeasure[msr_id],tblMeasure[msr_name])</f>
        <v>Social Care Activities: expenditure, income and capital charges/overheads</v>
      </c>
      <c r="J528" s="22" t="str">
        <f>_xlfn.XLOOKUP(tblRequirementMeasureXref[[#This Row],[msr_id]],tblMeasure[msr_id],tblMeasure[primary_dimensions])</f>
        <v>expenditure, income, capital charges</v>
      </c>
      <c r="K528" s="22" t="str">
        <f>_xlfn.XLOOKUP(tblRequirementMeasureXref[[#This Row],[msr_id]],tblMeasure[msr_id],tblMeasure[msr_min_geo_resolution])</f>
        <v>LA</v>
      </c>
      <c r="L528" s="22" t="str">
        <f>_xlfn.XLOOKUP(tblRequirementMeasureXref[[#This Row],[msr_id]],tblMeasure[msr_id],tblMeasure[src_name])</f>
        <v>ASC-FR</v>
      </c>
    </row>
    <row r="529" spans="1:12" x14ac:dyDescent="0.15">
      <c r="A529" s="1" t="str">
        <f>_xlfn.XLOOKUP(tblRequirementMeasureXref[[#This Row],[dm_id]],tblDataRequirement[dm_id],tblDataRequirement[domain_sub_requirement])</f>
        <v>Funders:Expenditure:NHS</v>
      </c>
      <c r="B529" s="1" t="str">
        <f>_xlfn.XLOOKUP(tblRequirementMeasureXref[[#This Row],[dm_id]],tblDataRequirement[dm_id],tblDataRequirement[dm_phase])</f>
        <v>supply</v>
      </c>
      <c r="C529" s="1">
        <v>6</v>
      </c>
      <c r="D529" s="1">
        <v>114</v>
      </c>
      <c r="E529" s="1" t="s">
        <v>192</v>
      </c>
      <c r="G529" s="1"/>
      <c r="H529" s="62" t="str">
        <f>_xlfn.XLOOKUP(tblRequirementMeasureXref[[#This Row],[msr_id]],tblMeasure[msr_id],tblMeasure[msr_table])</f>
        <v>FR005</v>
      </c>
      <c r="I529" s="22" t="str">
        <f>_xlfn.XLOOKUP(tblRequirementMeasureXref[[#This Row],[msr_id]],tblMeasure[msr_id],tblMeasure[msr_name])</f>
        <v>Social Care Activities: expenditure, income and capital charges/overheads</v>
      </c>
      <c r="J529" s="22" t="str">
        <f>_xlfn.XLOOKUP(tblRequirementMeasureXref[[#This Row],[msr_id]],tblMeasure[msr_id],tblMeasure[primary_dimensions])</f>
        <v>expenditure, income, capital charges</v>
      </c>
      <c r="K529" s="22" t="str">
        <f>_xlfn.XLOOKUP(tblRequirementMeasureXref[[#This Row],[msr_id]],tblMeasure[msr_id],tblMeasure[msr_min_geo_resolution])</f>
        <v>LA</v>
      </c>
      <c r="L529" s="22" t="str">
        <f>_xlfn.XLOOKUP(tblRequirementMeasureXref[[#This Row],[msr_id]],tblMeasure[msr_id],tblMeasure[src_name])</f>
        <v>ASC-FR</v>
      </c>
    </row>
    <row r="530" spans="1:12" x14ac:dyDescent="0.15">
      <c r="A530" s="1" t="str">
        <f>_xlfn.XLOOKUP(tblRequirementMeasureXref[[#This Row],[dm_id]],tblDataRequirement[dm_id],tblDataRequirement[domain_sub_requirement])</f>
        <v>Funders:Income:Local authority</v>
      </c>
      <c r="B530" s="1" t="str">
        <f>_xlfn.XLOOKUP(tblRequirementMeasureXref[[#This Row],[dm_id]],tblDataRequirement[dm_id],tblDataRequirement[dm_phase])</f>
        <v>supply</v>
      </c>
      <c r="C530" s="1">
        <v>8</v>
      </c>
      <c r="D530" s="1">
        <v>114</v>
      </c>
      <c r="E530" s="1" t="s">
        <v>192</v>
      </c>
      <c r="G530" s="1"/>
      <c r="H530" s="62" t="str">
        <f>_xlfn.XLOOKUP(tblRequirementMeasureXref[[#This Row],[msr_id]],tblMeasure[msr_id],tblMeasure[msr_table])</f>
        <v>FR005</v>
      </c>
      <c r="I530" s="22" t="str">
        <f>_xlfn.XLOOKUP(tblRequirementMeasureXref[[#This Row],[msr_id]],tblMeasure[msr_id],tblMeasure[msr_name])</f>
        <v>Social Care Activities: expenditure, income and capital charges/overheads</v>
      </c>
      <c r="J530" s="22" t="str">
        <f>_xlfn.XLOOKUP(tblRequirementMeasureXref[[#This Row],[msr_id]],tblMeasure[msr_id],tblMeasure[primary_dimensions])</f>
        <v>expenditure, income, capital charges</v>
      </c>
      <c r="K530" s="22" t="str">
        <f>_xlfn.XLOOKUP(tblRequirementMeasureXref[[#This Row],[msr_id]],tblMeasure[msr_id],tblMeasure[msr_min_geo_resolution])</f>
        <v>LA</v>
      </c>
      <c r="L530" s="22" t="str">
        <f>_xlfn.XLOOKUP(tblRequirementMeasureXref[[#This Row],[msr_id]],tblMeasure[msr_id],tblMeasure[src_name])</f>
        <v>ASC-FR</v>
      </c>
    </row>
    <row r="531" spans="1:12" x14ac:dyDescent="0.15">
      <c r="A531" s="1" t="str">
        <f>_xlfn.XLOOKUP(tblRequirementMeasureXref[[#This Row],[dm_id]],tblDataRequirement[dm_id],tblDataRequirement[domain_sub_requirement])</f>
        <v>Service:Support type:Other (not ST or LT)</v>
      </c>
      <c r="B531" s="1" t="str">
        <f>_xlfn.XLOOKUP(tblRequirementMeasureXref[[#This Row],[dm_id]],tblDataRequirement[dm_id],tblDataRequirement[dm_phase])</f>
        <v>operate</v>
      </c>
      <c r="C531" s="1">
        <v>68</v>
      </c>
      <c r="D531" s="1">
        <v>115</v>
      </c>
      <c r="E531" s="1" t="s">
        <v>192</v>
      </c>
      <c r="G531" s="1"/>
      <c r="H531" s="62" t="str">
        <f>_xlfn.XLOOKUP(tblRequirementMeasureXref[[#This Row],[msr_id]],tblMeasure[msr_id],tblMeasure[msr_table])</f>
        <v>FR006</v>
      </c>
      <c r="I531" s="22" t="str">
        <f>_xlfn.XLOOKUP(tblRequirementMeasureXref[[#This Row],[msr_id]],tblMeasure[msr_id],tblMeasure[msr_name])</f>
        <v>Information and Early Intervention: expenditure, income and capital charges/overheads</v>
      </c>
      <c r="J531" s="22" t="str">
        <f>_xlfn.XLOOKUP(tblRequirementMeasureXref[[#This Row],[msr_id]],tblMeasure[msr_id],tblMeasure[primary_dimensions])</f>
        <v>expenditure, income, capital charges</v>
      </c>
      <c r="K531" s="22" t="str">
        <f>_xlfn.XLOOKUP(tblRequirementMeasureXref[[#This Row],[msr_id]],tblMeasure[msr_id],tblMeasure[msr_min_geo_resolution])</f>
        <v>LA</v>
      </c>
      <c r="L531" s="22" t="str">
        <f>_xlfn.XLOOKUP(tblRequirementMeasureXref[[#This Row],[msr_id]],tblMeasure[msr_id],tblMeasure[src_name])</f>
        <v>ASC-FR</v>
      </c>
    </row>
    <row r="532" spans="1:12" x14ac:dyDescent="0.15">
      <c r="A532" s="1" t="str">
        <f>_xlfn.XLOOKUP(tblRequirementMeasureXref[[#This Row],[dm_id]],tblDataRequirement[dm_id],tblDataRequirement[domain_sub_requirement])</f>
        <v>Funders:Expenditure:Local authorities</v>
      </c>
      <c r="B532" s="1" t="str">
        <f>_xlfn.XLOOKUP(tblRequirementMeasureXref[[#This Row],[dm_id]],tblDataRequirement[dm_id],tblDataRequirement[dm_phase])</f>
        <v>supply</v>
      </c>
      <c r="C532" s="1">
        <v>3</v>
      </c>
      <c r="D532" s="1">
        <v>115</v>
      </c>
      <c r="E532" s="1" t="s">
        <v>192</v>
      </c>
      <c r="G532" s="1"/>
      <c r="H532" s="62" t="str">
        <f>_xlfn.XLOOKUP(tblRequirementMeasureXref[[#This Row],[msr_id]],tblMeasure[msr_id],tblMeasure[msr_table])</f>
        <v>FR006</v>
      </c>
      <c r="I532" s="22" t="str">
        <f>_xlfn.XLOOKUP(tblRequirementMeasureXref[[#This Row],[msr_id]],tblMeasure[msr_id],tblMeasure[msr_name])</f>
        <v>Information and Early Intervention: expenditure, income and capital charges/overheads</v>
      </c>
      <c r="J532" s="22" t="str">
        <f>_xlfn.XLOOKUP(tblRequirementMeasureXref[[#This Row],[msr_id]],tblMeasure[msr_id],tblMeasure[primary_dimensions])</f>
        <v>expenditure, income, capital charges</v>
      </c>
      <c r="K532" s="22" t="str">
        <f>_xlfn.XLOOKUP(tblRequirementMeasureXref[[#This Row],[msr_id]],tblMeasure[msr_id],tblMeasure[msr_min_geo_resolution])</f>
        <v>LA</v>
      </c>
      <c r="L532" s="22" t="str">
        <f>_xlfn.XLOOKUP(tblRequirementMeasureXref[[#This Row],[msr_id]],tblMeasure[msr_id],tblMeasure[src_name])</f>
        <v>ASC-FR</v>
      </c>
    </row>
    <row r="533" spans="1:12" x14ac:dyDescent="0.15">
      <c r="A533" s="1" t="str">
        <f>_xlfn.XLOOKUP(tblRequirementMeasureXref[[#This Row],[dm_id]],tblDataRequirement[dm_id],tblDataRequirement[domain_sub_requirement])</f>
        <v>Funders:Expenditure:Local authority clients</v>
      </c>
      <c r="B533" s="1" t="str">
        <f>_xlfn.XLOOKUP(tblRequirementMeasureXref[[#This Row],[dm_id]],tblDataRequirement[dm_id],tblDataRequirement[dm_phase])</f>
        <v>supply</v>
      </c>
      <c r="C533" s="1">
        <v>7</v>
      </c>
      <c r="D533" s="1">
        <v>115</v>
      </c>
      <c r="E533" s="1" t="s">
        <v>192</v>
      </c>
      <c r="G533" s="1"/>
      <c r="H533" s="62" t="str">
        <f>_xlfn.XLOOKUP(tblRequirementMeasureXref[[#This Row],[msr_id]],tblMeasure[msr_id],tblMeasure[msr_table])</f>
        <v>FR006</v>
      </c>
      <c r="I533" s="22" t="str">
        <f>_xlfn.XLOOKUP(tblRequirementMeasureXref[[#This Row],[msr_id]],tblMeasure[msr_id],tblMeasure[msr_name])</f>
        <v>Information and Early Intervention: expenditure, income and capital charges/overheads</v>
      </c>
      <c r="J533" s="22" t="str">
        <f>_xlfn.XLOOKUP(tblRequirementMeasureXref[[#This Row],[msr_id]],tblMeasure[msr_id],tblMeasure[primary_dimensions])</f>
        <v>expenditure, income, capital charges</v>
      </c>
      <c r="K533" s="22" t="str">
        <f>_xlfn.XLOOKUP(tblRequirementMeasureXref[[#This Row],[msr_id]],tblMeasure[msr_id],tblMeasure[msr_min_geo_resolution])</f>
        <v>LA</v>
      </c>
      <c r="L533" s="22" t="str">
        <f>_xlfn.XLOOKUP(tblRequirementMeasureXref[[#This Row],[msr_id]],tblMeasure[msr_id],tblMeasure[src_name])</f>
        <v>ASC-FR</v>
      </c>
    </row>
    <row r="534" spans="1:12" x14ac:dyDescent="0.15">
      <c r="A534" s="1" t="str">
        <f>_xlfn.XLOOKUP(tblRequirementMeasureXref[[#This Row],[dm_id]],tblDataRequirement[dm_id],tblDataRequirement[domain_sub_requirement])</f>
        <v>Users:Expenditure:Self-funders</v>
      </c>
      <c r="B534" s="1" t="str">
        <f>_xlfn.XLOOKUP(tblRequirementMeasureXref[[#This Row],[dm_id]],tblDataRequirement[dm_id],tblDataRequirement[dm_phase])</f>
        <v>supply</v>
      </c>
      <c r="C534" s="1">
        <v>5</v>
      </c>
      <c r="D534" s="1">
        <v>115</v>
      </c>
      <c r="E534" s="1" t="s">
        <v>192</v>
      </c>
      <c r="G534" s="1"/>
      <c r="H534" s="62" t="str">
        <f>_xlfn.XLOOKUP(tblRequirementMeasureXref[[#This Row],[msr_id]],tblMeasure[msr_id],tblMeasure[msr_table])</f>
        <v>FR006</v>
      </c>
      <c r="I534" s="22" t="str">
        <f>_xlfn.XLOOKUP(tblRequirementMeasureXref[[#This Row],[msr_id]],tblMeasure[msr_id],tblMeasure[msr_name])</f>
        <v>Information and Early Intervention: expenditure, income and capital charges/overheads</v>
      </c>
      <c r="J534" s="22" t="str">
        <f>_xlfn.XLOOKUP(tblRequirementMeasureXref[[#This Row],[msr_id]],tblMeasure[msr_id],tblMeasure[primary_dimensions])</f>
        <v>expenditure, income, capital charges</v>
      </c>
      <c r="K534" s="22" t="str">
        <f>_xlfn.XLOOKUP(tblRequirementMeasureXref[[#This Row],[msr_id]],tblMeasure[msr_id],tblMeasure[msr_min_geo_resolution])</f>
        <v>LA</v>
      </c>
      <c r="L534" s="22" t="str">
        <f>_xlfn.XLOOKUP(tblRequirementMeasureXref[[#This Row],[msr_id]],tblMeasure[msr_id],tblMeasure[src_name])</f>
        <v>ASC-FR</v>
      </c>
    </row>
    <row r="535" spans="1:12" x14ac:dyDescent="0.15">
      <c r="A535" s="1" t="str">
        <f>_xlfn.XLOOKUP(tblRequirementMeasureXref[[#This Row],[dm_id]],tblDataRequirement[dm_id],tblDataRequirement[domain_sub_requirement])</f>
        <v>Funders:Expenditure:NHS</v>
      </c>
      <c r="B535" s="1" t="str">
        <f>_xlfn.XLOOKUP(tblRequirementMeasureXref[[#This Row],[dm_id]],tblDataRequirement[dm_id],tblDataRequirement[dm_phase])</f>
        <v>supply</v>
      </c>
      <c r="C535" s="1">
        <v>6</v>
      </c>
      <c r="D535" s="1">
        <v>115</v>
      </c>
      <c r="E535" s="1" t="s">
        <v>192</v>
      </c>
      <c r="G535" s="1"/>
      <c r="H535" s="62" t="str">
        <f>_xlfn.XLOOKUP(tblRequirementMeasureXref[[#This Row],[msr_id]],tblMeasure[msr_id],tblMeasure[msr_table])</f>
        <v>FR006</v>
      </c>
      <c r="I535" s="22" t="str">
        <f>_xlfn.XLOOKUP(tblRequirementMeasureXref[[#This Row],[msr_id]],tblMeasure[msr_id],tblMeasure[msr_name])</f>
        <v>Information and Early Intervention: expenditure, income and capital charges/overheads</v>
      </c>
      <c r="J535" s="22" t="str">
        <f>_xlfn.XLOOKUP(tblRequirementMeasureXref[[#This Row],[msr_id]],tblMeasure[msr_id],tblMeasure[primary_dimensions])</f>
        <v>expenditure, income, capital charges</v>
      </c>
      <c r="K535" s="22" t="str">
        <f>_xlfn.XLOOKUP(tblRequirementMeasureXref[[#This Row],[msr_id]],tblMeasure[msr_id],tblMeasure[msr_min_geo_resolution])</f>
        <v>LA</v>
      </c>
      <c r="L535" s="22" t="str">
        <f>_xlfn.XLOOKUP(tblRequirementMeasureXref[[#This Row],[msr_id]],tblMeasure[msr_id],tblMeasure[src_name])</f>
        <v>ASC-FR</v>
      </c>
    </row>
    <row r="536" spans="1:12" x14ac:dyDescent="0.15">
      <c r="A536" s="1" t="str">
        <f>_xlfn.XLOOKUP(tblRequirementMeasureXref[[#This Row],[dm_id]],tblDataRequirement[dm_id],tblDataRequirement[domain_sub_requirement])</f>
        <v>Funders:Income:Local authority</v>
      </c>
      <c r="B536" s="1" t="str">
        <f>_xlfn.XLOOKUP(tblRequirementMeasureXref[[#This Row],[dm_id]],tblDataRequirement[dm_id],tblDataRequirement[dm_phase])</f>
        <v>supply</v>
      </c>
      <c r="C536" s="1">
        <v>8</v>
      </c>
      <c r="D536" s="1">
        <v>115</v>
      </c>
      <c r="E536" s="1" t="s">
        <v>192</v>
      </c>
      <c r="G536" s="1"/>
      <c r="H536" s="62" t="str">
        <f>_xlfn.XLOOKUP(tblRequirementMeasureXref[[#This Row],[msr_id]],tblMeasure[msr_id],tblMeasure[msr_table])</f>
        <v>FR006</v>
      </c>
      <c r="I536" s="22" t="str">
        <f>_xlfn.XLOOKUP(tblRequirementMeasureXref[[#This Row],[msr_id]],tblMeasure[msr_id],tblMeasure[msr_name])</f>
        <v>Information and Early Intervention: expenditure, income and capital charges/overheads</v>
      </c>
      <c r="J536" s="22" t="str">
        <f>_xlfn.XLOOKUP(tblRequirementMeasureXref[[#This Row],[msr_id]],tblMeasure[msr_id],tblMeasure[primary_dimensions])</f>
        <v>expenditure, income, capital charges</v>
      </c>
      <c r="K536" s="22" t="str">
        <f>_xlfn.XLOOKUP(tblRequirementMeasureXref[[#This Row],[msr_id]],tblMeasure[msr_id],tblMeasure[msr_min_geo_resolution])</f>
        <v>LA</v>
      </c>
      <c r="L536" s="22" t="str">
        <f>_xlfn.XLOOKUP(tblRequirementMeasureXref[[#This Row],[msr_id]],tblMeasure[msr_id],tblMeasure[src_name])</f>
        <v>ASC-FR</v>
      </c>
    </row>
    <row r="537" spans="1:12" x14ac:dyDescent="0.15">
      <c r="A537" s="1" t="str">
        <f>_xlfn.XLOOKUP(tblRequirementMeasureXref[[#This Row],[dm_id]],tblDataRequirement[dm_id],tblDataRequirement[domain_sub_requirement])</f>
        <v>Service:Support type:Other (not ST or LT)</v>
      </c>
      <c r="B537" s="1" t="str">
        <f>_xlfn.XLOOKUP(tblRequirementMeasureXref[[#This Row],[dm_id]],tblDataRequirement[dm_id],tblDataRequirement[dm_phase])</f>
        <v>operate</v>
      </c>
      <c r="C537" s="1">
        <v>68</v>
      </c>
      <c r="D537" s="1">
        <v>116</v>
      </c>
      <c r="E537" s="1" t="s">
        <v>192</v>
      </c>
      <c r="G537" s="1"/>
      <c r="H537" s="62" t="str">
        <f>_xlfn.XLOOKUP(tblRequirementMeasureXref[[#This Row],[msr_id]],tblMeasure[msr_id],tblMeasure[msr_table])</f>
        <v>FR007</v>
      </c>
      <c r="I537" s="22" t="str">
        <f>_xlfn.XLOOKUP(tblRequirementMeasureXref[[#This Row],[msr_id]],tblMeasure[msr_id],tblMeasure[msr_name])</f>
        <v>Commissioning and Service Delivery: expenditure, income and capital charges/overheads</v>
      </c>
      <c r="J537" s="22" t="str">
        <f>_xlfn.XLOOKUP(tblRequirementMeasureXref[[#This Row],[msr_id]],tblMeasure[msr_id],tblMeasure[primary_dimensions])</f>
        <v>expenditure, income, capital charges</v>
      </c>
      <c r="K537" s="22" t="str">
        <f>_xlfn.XLOOKUP(tblRequirementMeasureXref[[#This Row],[msr_id]],tblMeasure[msr_id],tblMeasure[msr_min_geo_resolution])</f>
        <v>LA</v>
      </c>
      <c r="L537" s="22" t="str">
        <f>_xlfn.XLOOKUP(tblRequirementMeasureXref[[#This Row],[msr_id]],tblMeasure[msr_id],tblMeasure[src_name])</f>
        <v>ASC-FR</v>
      </c>
    </row>
    <row r="538" spans="1:12" x14ac:dyDescent="0.15">
      <c r="A538" s="1" t="str">
        <f>_xlfn.XLOOKUP(tblRequirementMeasureXref[[#This Row],[dm_id]],tblDataRequirement[dm_id],tblDataRequirement[domain_sub_requirement])</f>
        <v>Funders:Expenditure:Local authorities</v>
      </c>
      <c r="B538" s="1" t="str">
        <f>_xlfn.XLOOKUP(tblRequirementMeasureXref[[#This Row],[dm_id]],tblDataRequirement[dm_id],tblDataRequirement[dm_phase])</f>
        <v>supply</v>
      </c>
      <c r="C538" s="1">
        <v>3</v>
      </c>
      <c r="D538" s="1">
        <v>116</v>
      </c>
      <c r="E538" s="1" t="s">
        <v>192</v>
      </c>
      <c r="G538" s="1"/>
      <c r="H538" s="62" t="str">
        <f>_xlfn.XLOOKUP(tblRequirementMeasureXref[[#This Row],[msr_id]],tblMeasure[msr_id],tblMeasure[msr_table])</f>
        <v>FR007</v>
      </c>
      <c r="I538" s="22" t="str">
        <f>_xlfn.XLOOKUP(tblRequirementMeasureXref[[#This Row],[msr_id]],tblMeasure[msr_id],tblMeasure[msr_name])</f>
        <v>Commissioning and Service Delivery: expenditure, income and capital charges/overheads</v>
      </c>
      <c r="J538" s="22" t="str">
        <f>_xlfn.XLOOKUP(tblRequirementMeasureXref[[#This Row],[msr_id]],tblMeasure[msr_id],tblMeasure[primary_dimensions])</f>
        <v>expenditure, income, capital charges</v>
      </c>
      <c r="K538" s="22" t="str">
        <f>_xlfn.XLOOKUP(tblRequirementMeasureXref[[#This Row],[msr_id]],tblMeasure[msr_id],tblMeasure[msr_min_geo_resolution])</f>
        <v>LA</v>
      </c>
      <c r="L538" s="22" t="str">
        <f>_xlfn.XLOOKUP(tblRequirementMeasureXref[[#This Row],[msr_id]],tblMeasure[msr_id],tblMeasure[src_name])</f>
        <v>ASC-FR</v>
      </c>
    </row>
    <row r="539" spans="1:12" x14ac:dyDescent="0.15">
      <c r="A539" s="1" t="str">
        <f>_xlfn.XLOOKUP(tblRequirementMeasureXref[[#This Row],[dm_id]],tblDataRequirement[dm_id],tblDataRequirement[domain_sub_requirement])</f>
        <v>Funders:Expenditure:Local authority clients</v>
      </c>
      <c r="B539" s="1" t="str">
        <f>_xlfn.XLOOKUP(tblRequirementMeasureXref[[#This Row],[dm_id]],tblDataRequirement[dm_id],tblDataRequirement[dm_phase])</f>
        <v>supply</v>
      </c>
      <c r="C539" s="1">
        <v>7</v>
      </c>
      <c r="D539" s="1">
        <v>116</v>
      </c>
      <c r="E539" s="1" t="s">
        <v>192</v>
      </c>
      <c r="G539" s="1"/>
      <c r="H539" s="62" t="str">
        <f>_xlfn.XLOOKUP(tblRequirementMeasureXref[[#This Row],[msr_id]],tblMeasure[msr_id],tblMeasure[msr_table])</f>
        <v>FR007</v>
      </c>
      <c r="I539" s="22" t="str">
        <f>_xlfn.XLOOKUP(tblRequirementMeasureXref[[#This Row],[msr_id]],tblMeasure[msr_id],tblMeasure[msr_name])</f>
        <v>Commissioning and Service Delivery: expenditure, income and capital charges/overheads</v>
      </c>
      <c r="J539" s="22" t="str">
        <f>_xlfn.XLOOKUP(tblRequirementMeasureXref[[#This Row],[msr_id]],tblMeasure[msr_id],tblMeasure[primary_dimensions])</f>
        <v>expenditure, income, capital charges</v>
      </c>
      <c r="K539" s="22" t="str">
        <f>_xlfn.XLOOKUP(tblRequirementMeasureXref[[#This Row],[msr_id]],tblMeasure[msr_id],tblMeasure[msr_min_geo_resolution])</f>
        <v>LA</v>
      </c>
      <c r="L539" s="22" t="str">
        <f>_xlfn.XLOOKUP(tblRequirementMeasureXref[[#This Row],[msr_id]],tblMeasure[msr_id],tblMeasure[src_name])</f>
        <v>ASC-FR</v>
      </c>
    </row>
    <row r="540" spans="1:12" x14ac:dyDescent="0.15">
      <c r="A540" s="1" t="str">
        <f>_xlfn.XLOOKUP(tblRequirementMeasureXref[[#This Row],[dm_id]],tblDataRequirement[dm_id],tblDataRequirement[domain_sub_requirement])</f>
        <v>Users:Expenditure:Self-funders</v>
      </c>
      <c r="B540" s="1" t="str">
        <f>_xlfn.XLOOKUP(tblRequirementMeasureXref[[#This Row],[dm_id]],tblDataRequirement[dm_id],tblDataRequirement[dm_phase])</f>
        <v>supply</v>
      </c>
      <c r="C540" s="1">
        <v>5</v>
      </c>
      <c r="D540" s="1">
        <v>116</v>
      </c>
      <c r="E540" s="1" t="s">
        <v>192</v>
      </c>
      <c r="G540" s="1"/>
      <c r="H540" s="62" t="str">
        <f>_xlfn.XLOOKUP(tblRequirementMeasureXref[[#This Row],[msr_id]],tblMeasure[msr_id],tblMeasure[msr_table])</f>
        <v>FR007</v>
      </c>
      <c r="I540" s="22" t="str">
        <f>_xlfn.XLOOKUP(tblRequirementMeasureXref[[#This Row],[msr_id]],tblMeasure[msr_id],tblMeasure[msr_name])</f>
        <v>Commissioning and Service Delivery: expenditure, income and capital charges/overheads</v>
      </c>
      <c r="J540" s="22" t="str">
        <f>_xlfn.XLOOKUP(tblRequirementMeasureXref[[#This Row],[msr_id]],tblMeasure[msr_id],tblMeasure[primary_dimensions])</f>
        <v>expenditure, income, capital charges</v>
      </c>
      <c r="K540" s="22" t="str">
        <f>_xlfn.XLOOKUP(tblRequirementMeasureXref[[#This Row],[msr_id]],tblMeasure[msr_id],tblMeasure[msr_min_geo_resolution])</f>
        <v>LA</v>
      </c>
      <c r="L540" s="22" t="str">
        <f>_xlfn.XLOOKUP(tblRequirementMeasureXref[[#This Row],[msr_id]],tblMeasure[msr_id],tblMeasure[src_name])</f>
        <v>ASC-FR</v>
      </c>
    </row>
    <row r="541" spans="1:12" x14ac:dyDescent="0.15">
      <c r="A541" s="1" t="str">
        <f>_xlfn.XLOOKUP(tblRequirementMeasureXref[[#This Row],[dm_id]],tblDataRequirement[dm_id],tblDataRequirement[domain_sub_requirement])</f>
        <v>Funders:Expenditure:NHS</v>
      </c>
      <c r="B541" s="1" t="str">
        <f>_xlfn.XLOOKUP(tblRequirementMeasureXref[[#This Row],[dm_id]],tblDataRequirement[dm_id],tblDataRequirement[dm_phase])</f>
        <v>supply</v>
      </c>
      <c r="C541" s="1">
        <v>6</v>
      </c>
      <c r="D541" s="1">
        <v>116</v>
      </c>
      <c r="E541" s="1" t="s">
        <v>192</v>
      </c>
      <c r="G541" s="1"/>
      <c r="H541" s="62" t="str">
        <f>_xlfn.XLOOKUP(tblRequirementMeasureXref[[#This Row],[msr_id]],tblMeasure[msr_id],tblMeasure[msr_table])</f>
        <v>FR007</v>
      </c>
      <c r="I541" s="22" t="str">
        <f>_xlfn.XLOOKUP(tblRequirementMeasureXref[[#This Row],[msr_id]],tblMeasure[msr_id],tblMeasure[msr_name])</f>
        <v>Commissioning and Service Delivery: expenditure, income and capital charges/overheads</v>
      </c>
      <c r="J541" s="22" t="str">
        <f>_xlfn.XLOOKUP(tblRequirementMeasureXref[[#This Row],[msr_id]],tblMeasure[msr_id],tblMeasure[primary_dimensions])</f>
        <v>expenditure, income, capital charges</v>
      </c>
      <c r="K541" s="22" t="str">
        <f>_xlfn.XLOOKUP(tblRequirementMeasureXref[[#This Row],[msr_id]],tblMeasure[msr_id],tblMeasure[msr_min_geo_resolution])</f>
        <v>LA</v>
      </c>
      <c r="L541" s="22" t="str">
        <f>_xlfn.XLOOKUP(tblRequirementMeasureXref[[#This Row],[msr_id]],tblMeasure[msr_id],tblMeasure[src_name])</f>
        <v>ASC-FR</v>
      </c>
    </row>
    <row r="542" spans="1:12" x14ac:dyDescent="0.15">
      <c r="A542" s="1" t="str">
        <f>_xlfn.XLOOKUP(tblRequirementMeasureXref[[#This Row],[dm_id]],tblDataRequirement[dm_id],tblDataRequirement[domain_sub_requirement])</f>
        <v>Funders:Income:Local authority</v>
      </c>
      <c r="B542" s="1" t="str">
        <f>_xlfn.XLOOKUP(tblRequirementMeasureXref[[#This Row],[dm_id]],tblDataRequirement[dm_id],tblDataRequirement[dm_phase])</f>
        <v>supply</v>
      </c>
      <c r="C542" s="1">
        <v>8</v>
      </c>
      <c r="D542" s="1">
        <v>116</v>
      </c>
      <c r="E542" s="1" t="s">
        <v>192</v>
      </c>
      <c r="G542" s="1"/>
      <c r="H542" s="62" t="str">
        <f>_xlfn.XLOOKUP(tblRequirementMeasureXref[[#This Row],[msr_id]],tblMeasure[msr_id],tblMeasure[msr_table])</f>
        <v>FR007</v>
      </c>
      <c r="I542" s="22" t="str">
        <f>_xlfn.XLOOKUP(tblRequirementMeasureXref[[#This Row],[msr_id]],tblMeasure[msr_id],tblMeasure[msr_name])</f>
        <v>Commissioning and Service Delivery: expenditure, income and capital charges/overheads</v>
      </c>
      <c r="J542" s="22" t="str">
        <f>_xlfn.XLOOKUP(tblRequirementMeasureXref[[#This Row],[msr_id]],tblMeasure[msr_id],tblMeasure[primary_dimensions])</f>
        <v>expenditure, income, capital charges</v>
      </c>
      <c r="K542" s="22" t="str">
        <f>_xlfn.XLOOKUP(tblRequirementMeasureXref[[#This Row],[msr_id]],tblMeasure[msr_id],tblMeasure[msr_min_geo_resolution])</f>
        <v>LA</v>
      </c>
      <c r="L542" s="22" t="str">
        <f>_xlfn.XLOOKUP(tblRequirementMeasureXref[[#This Row],[msr_id]],tblMeasure[msr_id],tblMeasure[src_name])</f>
        <v>ASC-FR</v>
      </c>
    </row>
    <row r="543" spans="1:12" x14ac:dyDescent="0.15">
      <c r="A543" s="1" t="str">
        <f>_xlfn.XLOOKUP(tblRequirementMeasureXref[[#This Row],[dm_id]],tblDataRequirement[dm_id],tblDataRequirement[domain_sub_requirement])</f>
        <v>Providers:Cost:Unit costs</v>
      </c>
      <c r="B543" s="1" t="str">
        <f>_xlfn.XLOOKUP(tblRequirementMeasureXref[[#This Row],[dm_id]],tblDataRequirement[dm_id],tblDataRequirement[dm_phase])</f>
        <v>operate</v>
      </c>
      <c r="C543" s="1">
        <v>14</v>
      </c>
      <c r="D543" s="1">
        <v>118</v>
      </c>
      <c r="E543" s="1" t="s">
        <v>192</v>
      </c>
      <c r="G543" s="1"/>
      <c r="H543" s="62" t="str">
        <f>_xlfn.XLOOKUP(tblRequirementMeasureXref[[#This Row],[msr_id]],tblMeasure[msr_id],tblMeasure[msr_table])</f>
        <v>Unit Costs</v>
      </c>
      <c r="I543" s="22" t="str">
        <f>_xlfn.XLOOKUP(tblRequirementMeasureXref[[#This Row],[msr_id]],tblMeasure[msr_id],tblMeasure[msr_name])</f>
        <v>Costs per week/hour</v>
      </c>
      <c r="J543" s="22" t="str">
        <f>_xlfn.XLOOKUP(tblRequirementMeasureXref[[#This Row],[msr_id]],tblMeasure[msr_id],tblMeasure[primary_dimensions])</f>
        <v>cost per week, cost per hour</v>
      </c>
      <c r="K543" s="22" t="str">
        <f>_xlfn.XLOOKUP(tblRequirementMeasureXref[[#This Row],[msr_id]],tblMeasure[msr_id],tblMeasure[msr_min_geo_resolution])</f>
        <v>LA</v>
      </c>
      <c r="L543" s="22" t="str">
        <f>_xlfn.XLOOKUP(tblRequirementMeasureXref[[#This Row],[msr_id]],tblMeasure[msr_id],tblMeasure[src_name])</f>
        <v>ASC-FR</v>
      </c>
    </row>
    <row r="544" spans="1:12" x14ac:dyDescent="0.15">
      <c r="A544" s="1" t="str">
        <f>_xlfn.XLOOKUP(tblRequirementMeasureXref[[#This Row],[dm_id]],tblDataRequirement[dm_id],tblDataRequirement[domain_sub_requirement])</f>
        <v>Providers:Type:Organisations</v>
      </c>
      <c r="B544" s="1" t="str">
        <f>_xlfn.XLOOKUP(tblRequirementMeasureXref[[#This Row],[dm_id]],tblDataRequirement[dm_id],tblDataRequirement[dm_phase])</f>
        <v>operate</v>
      </c>
      <c r="C544" s="1">
        <v>60</v>
      </c>
      <c r="D544" s="1">
        <v>118</v>
      </c>
      <c r="E544" s="1" t="s">
        <v>192</v>
      </c>
      <c r="G544" s="1"/>
      <c r="H544" s="62" t="str">
        <f>_xlfn.XLOOKUP(tblRequirementMeasureXref[[#This Row],[msr_id]],tblMeasure[msr_id],tblMeasure[msr_table])</f>
        <v>Unit Costs</v>
      </c>
      <c r="I544" s="22" t="str">
        <f>_xlfn.XLOOKUP(tblRequirementMeasureXref[[#This Row],[msr_id]],tblMeasure[msr_id],tblMeasure[msr_name])</f>
        <v>Costs per week/hour</v>
      </c>
      <c r="J544" s="22" t="str">
        <f>_xlfn.XLOOKUP(tblRequirementMeasureXref[[#This Row],[msr_id]],tblMeasure[msr_id],tblMeasure[primary_dimensions])</f>
        <v>cost per week, cost per hour</v>
      </c>
      <c r="K544" s="22" t="str">
        <f>_xlfn.XLOOKUP(tblRequirementMeasureXref[[#This Row],[msr_id]],tblMeasure[msr_id],tblMeasure[msr_min_geo_resolution])</f>
        <v>LA</v>
      </c>
      <c r="L544" s="22" t="str">
        <f>_xlfn.XLOOKUP(tblRequirementMeasureXref[[#This Row],[msr_id]],tblMeasure[msr_id],tblMeasure[src_name])</f>
        <v>ASC-FR</v>
      </c>
    </row>
    <row r="545" spans="1:12" x14ac:dyDescent="0.15">
      <c r="A545" s="1" t="str">
        <f>_xlfn.XLOOKUP(tblRequirementMeasureXref[[#This Row],[dm_id]],tblDataRequirement[dm_id],tblDataRequirement[domain_sub_requirement])</f>
        <v>Users:Care need:Support reason</v>
      </c>
      <c r="B545" s="1" t="str">
        <f>_xlfn.XLOOKUP(tblRequirementMeasureXref[[#This Row],[dm_id]],tblDataRequirement[dm_id],tblDataRequirement[dm_phase])</f>
        <v>demand</v>
      </c>
      <c r="C545" s="1">
        <v>56</v>
      </c>
      <c r="D545" s="1">
        <v>118</v>
      </c>
      <c r="E545" s="1" t="s">
        <v>192</v>
      </c>
      <c r="G545" s="1"/>
      <c r="H545" s="62" t="str">
        <f>_xlfn.XLOOKUP(tblRequirementMeasureXref[[#This Row],[msr_id]],tblMeasure[msr_id],tblMeasure[msr_table])</f>
        <v>Unit Costs</v>
      </c>
      <c r="I545" s="22" t="str">
        <f>_xlfn.XLOOKUP(tblRequirementMeasureXref[[#This Row],[msr_id]],tblMeasure[msr_id],tblMeasure[msr_name])</f>
        <v>Costs per week/hour</v>
      </c>
      <c r="J545" s="22" t="str">
        <f>_xlfn.XLOOKUP(tblRequirementMeasureXref[[#This Row],[msr_id]],tblMeasure[msr_id],tblMeasure[primary_dimensions])</f>
        <v>cost per week, cost per hour</v>
      </c>
      <c r="K545" s="22" t="str">
        <f>_xlfn.XLOOKUP(tblRequirementMeasureXref[[#This Row],[msr_id]],tblMeasure[msr_id],tblMeasure[msr_min_geo_resolution])</f>
        <v>LA</v>
      </c>
      <c r="L545" s="22" t="str">
        <f>_xlfn.XLOOKUP(tblRequirementMeasureXref[[#This Row],[msr_id]],tblMeasure[msr_id],tblMeasure[src_name])</f>
        <v>ASC-FR</v>
      </c>
    </row>
    <row r="546" spans="1:12" x14ac:dyDescent="0.15">
      <c r="A546" s="1" t="str">
        <f>_xlfn.XLOOKUP(tblRequirementMeasureXref[[#This Row],[dm_id]],tblDataRequirement[dm_id],tblDataRequirement[domain_sub_requirement])</f>
        <v>Service:Support type:Long-term</v>
      </c>
      <c r="B546" s="1" t="str">
        <f>_xlfn.XLOOKUP(tblRequirementMeasureXref[[#This Row],[dm_id]],tblDataRequirement[dm_id],tblDataRequirement[dm_phase])</f>
        <v>operate</v>
      </c>
      <c r="C546" s="1">
        <v>45</v>
      </c>
      <c r="D546" s="1">
        <v>118</v>
      </c>
      <c r="E546" s="1" t="s">
        <v>192</v>
      </c>
      <c r="G546" s="1"/>
      <c r="H546" s="62" t="str">
        <f>_xlfn.XLOOKUP(tblRequirementMeasureXref[[#This Row],[msr_id]],tblMeasure[msr_id],tblMeasure[msr_table])</f>
        <v>Unit Costs</v>
      </c>
      <c r="I546" s="22" t="str">
        <f>_xlfn.XLOOKUP(tblRequirementMeasureXref[[#This Row],[msr_id]],tblMeasure[msr_id],tblMeasure[msr_name])</f>
        <v>Costs per week/hour</v>
      </c>
      <c r="J546" s="22" t="str">
        <f>_xlfn.XLOOKUP(tblRequirementMeasureXref[[#This Row],[msr_id]],tblMeasure[msr_id],tblMeasure[primary_dimensions])</f>
        <v>cost per week, cost per hour</v>
      </c>
      <c r="K546" s="22" t="str">
        <f>_xlfn.XLOOKUP(tblRequirementMeasureXref[[#This Row],[msr_id]],tblMeasure[msr_id],tblMeasure[msr_min_geo_resolution])</f>
        <v>LA</v>
      </c>
      <c r="L546" s="22" t="str">
        <f>_xlfn.XLOOKUP(tblRequirementMeasureXref[[#This Row],[msr_id]],tblMeasure[msr_id],tblMeasure[src_name])</f>
        <v>ASC-FR</v>
      </c>
    </row>
    <row r="547" spans="1:12" x14ac:dyDescent="0.15">
      <c r="A547" s="1" t="str">
        <f>_xlfn.XLOOKUP(tblRequirementMeasureXref[[#This Row],[dm_id]],tblDataRequirement[dm_id],tblDataRequirement[domain_sub_requirement])</f>
        <v>Service:Support type:Reablement / ST-MAX</v>
      </c>
      <c r="B547" s="1" t="str">
        <f>_xlfn.XLOOKUP(tblRequirementMeasureXref[[#This Row],[dm_id]],tblDataRequirement[dm_id],tblDataRequirement[dm_phase])</f>
        <v>operate</v>
      </c>
      <c r="C547" s="1">
        <v>46</v>
      </c>
      <c r="D547" s="1">
        <v>118</v>
      </c>
      <c r="E547" s="1" t="s">
        <v>192</v>
      </c>
      <c r="G547" s="1"/>
      <c r="H547" s="62" t="str">
        <f>_xlfn.XLOOKUP(tblRequirementMeasureXref[[#This Row],[msr_id]],tblMeasure[msr_id],tblMeasure[msr_table])</f>
        <v>Unit Costs</v>
      </c>
      <c r="I547" s="22" t="str">
        <f>_xlfn.XLOOKUP(tblRequirementMeasureXref[[#This Row],[msr_id]],tblMeasure[msr_id],tblMeasure[msr_name])</f>
        <v>Costs per week/hour</v>
      </c>
      <c r="J547" s="22" t="str">
        <f>_xlfn.XLOOKUP(tblRequirementMeasureXref[[#This Row],[msr_id]],tblMeasure[msr_id],tblMeasure[primary_dimensions])</f>
        <v>cost per week, cost per hour</v>
      </c>
      <c r="K547" s="22" t="str">
        <f>_xlfn.XLOOKUP(tblRequirementMeasureXref[[#This Row],[msr_id]],tblMeasure[msr_id],tblMeasure[msr_min_geo_resolution])</f>
        <v>LA</v>
      </c>
      <c r="L547" s="22" t="str">
        <f>_xlfn.XLOOKUP(tblRequirementMeasureXref[[#This Row],[msr_id]],tblMeasure[msr_id],tblMeasure[src_name])</f>
        <v>ASC-FR</v>
      </c>
    </row>
    <row r="548" spans="1:12" x14ac:dyDescent="0.15">
      <c r="A548" s="1" t="str">
        <f>_xlfn.XLOOKUP(tblRequirementMeasureXref[[#This Row],[dm_id]],tblDataRequirement[dm_id],tblDataRequirement[domain_sub_requirement])</f>
        <v>Service:Support setting:Home</v>
      </c>
      <c r="B548" s="1" t="str">
        <f>_xlfn.XLOOKUP(tblRequirementMeasureXref[[#This Row],[dm_id]],tblDataRequirement[dm_id],tblDataRequirement[dm_phase])</f>
        <v>operate</v>
      </c>
      <c r="C548" s="1">
        <v>40</v>
      </c>
      <c r="D548" s="1">
        <v>118</v>
      </c>
      <c r="E548" s="1" t="s">
        <v>192</v>
      </c>
      <c r="G548" s="1"/>
      <c r="H548" s="62" t="str">
        <f>_xlfn.XLOOKUP(tblRequirementMeasureXref[[#This Row],[msr_id]],tblMeasure[msr_id],tblMeasure[msr_table])</f>
        <v>Unit Costs</v>
      </c>
      <c r="I548" s="22" t="str">
        <f>_xlfn.XLOOKUP(tblRequirementMeasureXref[[#This Row],[msr_id]],tblMeasure[msr_id],tblMeasure[msr_name])</f>
        <v>Costs per week/hour</v>
      </c>
      <c r="J548" s="22" t="str">
        <f>_xlfn.XLOOKUP(tblRequirementMeasureXref[[#This Row],[msr_id]],tblMeasure[msr_id],tblMeasure[primary_dimensions])</f>
        <v>cost per week, cost per hour</v>
      </c>
      <c r="K548" s="22" t="str">
        <f>_xlfn.XLOOKUP(tblRequirementMeasureXref[[#This Row],[msr_id]],tblMeasure[msr_id],tblMeasure[msr_min_geo_resolution])</f>
        <v>LA</v>
      </c>
      <c r="L548" s="22" t="str">
        <f>_xlfn.XLOOKUP(tblRequirementMeasureXref[[#This Row],[msr_id]],tblMeasure[msr_id],tblMeasure[src_name])</f>
        <v>ASC-FR</v>
      </c>
    </row>
    <row r="549" spans="1:12" x14ac:dyDescent="0.15">
      <c r="A549" s="1" t="str">
        <f>_xlfn.XLOOKUP(tblRequirementMeasureXref[[#This Row],[dm_id]],tblDataRequirement[dm_id],tblDataRequirement[domain_sub_requirement])</f>
        <v>Service:Support setting:Residential care home</v>
      </c>
      <c r="B549" s="1" t="str">
        <f>_xlfn.XLOOKUP(tblRequirementMeasureXref[[#This Row],[dm_id]],tblDataRequirement[dm_id],tblDataRequirement[dm_phase])</f>
        <v>operate</v>
      </c>
      <c r="C549" s="1">
        <v>41</v>
      </c>
      <c r="D549" s="1">
        <v>118</v>
      </c>
      <c r="E549" s="1" t="s">
        <v>192</v>
      </c>
      <c r="G549" s="1"/>
      <c r="H549" s="62" t="str">
        <f>_xlfn.XLOOKUP(tblRequirementMeasureXref[[#This Row],[msr_id]],tblMeasure[msr_id],tblMeasure[msr_table])</f>
        <v>Unit Costs</v>
      </c>
      <c r="I549" s="22" t="str">
        <f>_xlfn.XLOOKUP(tblRequirementMeasureXref[[#This Row],[msr_id]],tblMeasure[msr_id],tblMeasure[msr_name])</f>
        <v>Costs per week/hour</v>
      </c>
      <c r="J549" s="22" t="str">
        <f>_xlfn.XLOOKUP(tblRequirementMeasureXref[[#This Row],[msr_id]],tblMeasure[msr_id],tblMeasure[primary_dimensions])</f>
        <v>cost per week, cost per hour</v>
      </c>
      <c r="K549" s="22" t="str">
        <f>_xlfn.XLOOKUP(tblRequirementMeasureXref[[#This Row],[msr_id]],tblMeasure[msr_id],tblMeasure[msr_min_geo_resolution])</f>
        <v>LA</v>
      </c>
      <c r="L549" s="22" t="str">
        <f>_xlfn.XLOOKUP(tblRequirementMeasureXref[[#This Row],[msr_id]],tblMeasure[msr_id],tblMeasure[src_name])</f>
        <v>ASC-FR</v>
      </c>
    </row>
    <row r="550" spans="1:12" x14ac:dyDescent="0.15">
      <c r="A550" s="1" t="str">
        <f>_xlfn.XLOOKUP(tblRequirementMeasureXref[[#This Row],[dm_id]],tblDataRequirement[dm_id],tblDataRequirement[domain_sub_requirement])</f>
        <v>Service:Support setting:Nursing home</v>
      </c>
      <c r="B550" s="1" t="str">
        <f>_xlfn.XLOOKUP(tblRequirementMeasureXref[[#This Row],[dm_id]],tblDataRequirement[dm_id],tblDataRequirement[dm_phase])</f>
        <v>operate</v>
      </c>
      <c r="C550" s="1">
        <v>42</v>
      </c>
      <c r="D550" s="1">
        <v>118</v>
      </c>
      <c r="E550" s="1" t="s">
        <v>192</v>
      </c>
      <c r="G550" s="1"/>
      <c r="H550" s="62" t="str">
        <f>_xlfn.XLOOKUP(tblRequirementMeasureXref[[#This Row],[msr_id]],tblMeasure[msr_id],tblMeasure[msr_table])</f>
        <v>Unit Costs</v>
      </c>
      <c r="I550" s="22" t="str">
        <f>_xlfn.XLOOKUP(tblRequirementMeasureXref[[#This Row],[msr_id]],tblMeasure[msr_id],tblMeasure[msr_name])</f>
        <v>Costs per week/hour</v>
      </c>
      <c r="J550" s="22" t="str">
        <f>_xlfn.XLOOKUP(tblRequirementMeasureXref[[#This Row],[msr_id]],tblMeasure[msr_id],tblMeasure[primary_dimensions])</f>
        <v>cost per week, cost per hour</v>
      </c>
      <c r="K550" s="22" t="str">
        <f>_xlfn.XLOOKUP(tblRequirementMeasureXref[[#This Row],[msr_id]],tblMeasure[msr_id],tblMeasure[msr_min_geo_resolution])</f>
        <v>LA</v>
      </c>
      <c r="L550" s="22" t="str">
        <f>_xlfn.XLOOKUP(tblRequirementMeasureXref[[#This Row],[msr_id]],tblMeasure[msr_id],tblMeasure[src_name])</f>
        <v>ASC-FR</v>
      </c>
    </row>
    <row r="551" spans="1:12" x14ac:dyDescent="0.15">
      <c r="A551" s="1" t="str">
        <f>_xlfn.XLOOKUP(tblRequirementMeasureXref[[#This Row],[dm_id]],tblDataRequirement[dm_id],tblDataRequirement[domain_sub_requirement])</f>
        <v>Users:Demographics:Age</v>
      </c>
      <c r="B551" s="1" t="str">
        <f>_xlfn.XLOOKUP(tblRequirementMeasureXref[[#This Row],[dm_id]],tblDataRequirement[dm_id],tblDataRequirement[dm_phase])</f>
        <v>demand</v>
      </c>
      <c r="C551" s="1">
        <v>51</v>
      </c>
      <c r="D551" s="1">
        <v>118</v>
      </c>
      <c r="E551" s="1" t="s">
        <v>192</v>
      </c>
      <c r="G551" s="1"/>
      <c r="H551" s="62" t="str">
        <f>_xlfn.XLOOKUP(tblRequirementMeasureXref[[#This Row],[msr_id]],tblMeasure[msr_id],tblMeasure[msr_table])</f>
        <v>Unit Costs</v>
      </c>
      <c r="I551" s="22" t="str">
        <f>_xlfn.XLOOKUP(tblRequirementMeasureXref[[#This Row],[msr_id]],tblMeasure[msr_id],tblMeasure[msr_name])</f>
        <v>Costs per week/hour</v>
      </c>
      <c r="J551" s="22" t="str">
        <f>_xlfn.XLOOKUP(tblRequirementMeasureXref[[#This Row],[msr_id]],tblMeasure[msr_id],tblMeasure[primary_dimensions])</f>
        <v>cost per week, cost per hour</v>
      </c>
      <c r="K551" s="22" t="str">
        <f>_xlfn.XLOOKUP(tblRequirementMeasureXref[[#This Row],[msr_id]],tblMeasure[msr_id],tblMeasure[msr_min_geo_resolution])</f>
        <v>LA</v>
      </c>
      <c r="L551" s="22" t="str">
        <f>_xlfn.XLOOKUP(tblRequirementMeasureXref[[#This Row],[msr_id]],tblMeasure[msr_id],tblMeasure[src_name])</f>
        <v>ASC-FR</v>
      </c>
    </row>
    <row r="552" spans="1:12" x14ac:dyDescent="0.15">
      <c r="A552" s="1" t="str">
        <f>_xlfn.XLOOKUP(tblRequirementMeasureXref[[#This Row],[dm_id]],tblDataRequirement[dm_id],tblDataRequirement[domain_sub_requirement])</f>
        <v>Service:Quality:Safety</v>
      </c>
      <c r="B552" s="1" t="str">
        <f>_xlfn.XLOOKUP(tblRequirementMeasureXref[[#This Row],[dm_id]],tblDataRequirement[dm_id],tblDataRequirement[dm_phase])</f>
        <v>outcome</v>
      </c>
      <c r="C552" s="1">
        <v>74</v>
      </c>
      <c r="D552" s="1">
        <v>119</v>
      </c>
      <c r="G552" s="1"/>
      <c r="H552" s="62" t="str">
        <f>_xlfn.XLOOKUP(tblRequirementMeasureXref[[#This Row],[msr_id]],tblMeasure[msr_id],tblMeasure[msr_table])</f>
        <v>Table 1</v>
      </c>
      <c r="I552" s="22" t="str">
        <f>_xlfn.XLOOKUP(tblRequirementMeasureXref[[#This Row],[msr_id]],tblMeasure[msr_id],tblMeasure[msr_name])</f>
        <v>Applications received by urgent / standard status and CQC Service Type</v>
      </c>
      <c r="J552" s="22" t="str">
        <f>_xlfn.XLOOKUP(tblRequirementMeasureXref[[#This Row],[msr_id]],tblMeasure[msr_id],tblMeasure[primary_dimensions])</f>
        <v>DoLS applications,urgency, CQC service type</v>
      </c>
      <c r="K552" s="22" t="str">
        <f>_xlfn.XLOOKUP(tblRequirementMeasureXref[[#This Row],[msr_id]],tblMeasure[msr_id],tblMeasure[msr_min_geo_resolution])</f>
        <v>LA</v>
      </c>
      <c r="L552" s="22" t="str">
        <f>_xlfn.XLOOKUP(tblRequirementMeasureXref[[#This Row],[msr_id]],tblMeasure[msr_id],tblMeasure[src_name])</f>
        <v>Deprivation of Liberty Safeguards</v>
      </c>
    </row>
    <row r="553" spans="1:12" x14ac:dyDescent="0.15">
      <c r="A553" s="1" t="str">
        <f>_xlfn.XLOOKUP(tblRequirementMeasureXref[[#This Row],[dm_id]],tblDataRequirement[dm_id],tblDataRequirement[domain_sub_requirement])</f>
        <v>Service:Integration:NHS secondary care</v>
      </c>
      <c r="B553" s="1" t="str">
        <f>_xlfn.XLOOKUP(tblRequirementMeasureXref[[#This Row],[dm_id]],tblDataRequirement[dm_id],tblDataRequirement[dm_phase])</f>
        <v>operate</v>
      </c>
      <c r="C553" s="1">
        <v>37</v>
      </c>
      <c r="D553" s="1">
        <v>119</v>
      </c>
      <c r="G553" s="1"/>
      <c r="H553" s="62" t="str">
        <f>_xlfn.XLOOKUP(tblRequirementMeasureXref[[#This Row],[msr_id]],tblMeasure[msr_id],tblMeasure[msr_table])</f>
        <v>Table 1</v>
      </c>
      <c r="I553" s="22" t="str">
        <f>_xlfn.XLOOKUP(tblRequirementMeasureXref[[#This Row],[msr_id]],tblMeasure[msr_id],tblMeasure[msr_name])</f>
        <v>Applications received by urgent / standard status and CQC Service Type</v>
      </c>
      <c r="J553" s="22" t="str">
        <f>_xlfn.XLOOKUP(tblRequirementMeasureXref[[#This Row],[msr_id]],tblMeasure[msr_id],tblMeasure[primary_dimensions])</f>
        <v>DoLS applications,urgency, CQC service type</v>
      </c>
      <c r="K553" s="22" t="str">
        <f>_xlfn.XLOOKUP(tblRequirementMeasureXref[[#This Row],[msr_id]],tblMeasure[msr_id],tblMeasure[msr_min_geo_resolution])</f>
        <v>LA</v>
      </c>
      <c r="L553" s="22" t="str">
        <f>_xlfn.XLOOKUP(tblRequirementMeasureXref[[#This Row],[msr_id]],tblMeasure[msr_id],tblMeasure[src_name])</f>
        <v>Deprivation of Liberty Safeguards</v>
      </c>
    </row>
    <row r="554" spans="1:12" x14ac:dyDescent="0.15">
      <c r="A554" s="1" t="str">
        <f>_xlfn.XLOOKUP(tblRequirementMeasureXref[[#This Row],[dm_id]],tblDataRequirement[dm_id],tblDataRequirement[domain_sub_requirement])</f>
        <v>Service:Support setting:Residential care home</v>
      </c>
      <c r="B554" s="1" t="str">
        <f>_xlfn.XLOOKUP(tblRequirementMeasureXref[[#This Row],[dm_id]],tblDataRequirement[dm_id],tblDataRequirement[dm_phase])</f>
        <v>operate</v>
      </c>
      <c r="C554" s="1">
        <v>41</v>
      </c>
      <c r="D554" s="1">
        <v>119</v>
      </c>
      <c r="G554" s="1"/>
      <c r="H554" s="62" t="str">
        <f>_xlfn.XLOOKUP(tblRequirementMeasureXref[[#This Row],[msr_id]],tblMeasure[msr_id],tblMeasure[msr_table])</f>
        <v>Table 1</v>
      </c>
      <c r="I554" s="22" t="str">
        <f>_xlfn.XLOOKUP(tblRequirementMeasureXref[[#This Row],[msr_id]],tblMeasure[msr_id],tblMeasure[msr_name])</f>
        <v>Applications received by urgent / standard status and CQC Service Type</v>
      </c>
      <c r="J554" s="22" t="str">
        <f>_xlfn.XLOOKUP(tblRequirementMeasureXref[[#This Row],[msr_id]],tblMeasure[msr_id],tblMeasure[primary_dimensions])</f>
        <v>DoLS applications,urgency, CQC service type</v>
      </c>
      <c r="K554" s="22" t="str">
        <f>_xlfn.XLOOKUP(tblRequirementMeasureXref[[#This Row],[msr_id]],tblMeasure[msr_id],tblMeasure[msr_min_geo_resolution])</f>
        <v>LA</v>
      </c>
      <c r="L554" s="22" t="str">
        <f>_xlfn.XLOOKUP(tblRequirementMeasureXref[[#This Row],[msr_id]],tblMeasure[msr_id],tblMeasure[src_name])</f>
        <v>Deprivation of Liberty Safeguards</v>
      </c>
    </row>
    <row r="555" spans="1:12" x14ac:dyDescent="0.15">
      <c r="A555" s="1" t="str">
        <f>_xlfn.XLOOKUP(tblRequirementMeasureXref[[#This Row],[dm_id]],tblDataRequirement[dm_id],tblDataRequirement[domain_sub_requirement])</f>
        <v>Service:Support setting:Nursing home</v>
      </c>
      <c r="B555" s="1" t="str">
        <f>_xlfn.XLOOKUP(tblRequirementMeasureXref[[#This Row],[dm_id]],tblDataRequirement[dm_id],tblDataRequirement[dm_phase])</f>
        <v>operate</v>
      </c>
      <c r="C555" s="1">
        <v>42</v>
      </c>
      <c r="D555" s="1">
        <v>119</v>
      </c>
      <c r="G555" s="1"/>
      <c r="H555" s="62" t="str">
        <f>_xlfn.XLOOKUP(tblRequirementMeasureXref[[#This Row],[msr_id]],tblMeasure[msr_id],tblMeasure[msr_table])</f>
        <v>Table 1</v>
      </c>
      <c r="I555" s="22" t="str">
        <f>_xlfn.XLOOKUP(tblRequirementMeasureXref[[#This Row],[msr_id]],tblMeasure[msr_id],tblMeasure[msr_name])</f>
        <v>Applications received by urgent / standard status and CQC Service Type</v>
      </c>
      <c r="J555" s="22" t="str">
        <f>_xlfn.XLOOKUP(tblRequirementMeasureXref[[#This Row],[msr_id]],tblMeasure[msr_id],tblMeasure[primary_dimensions])</f>
        <v>DoLS applications,urgency, CQC service type</v>
      </c>
      <c r="K555" s="22" t="str">
        <f>_xlfn.XLOOKUP(tblRequirementMeasureXref[[#This Row],[msr_id]],tblMeasure[msr_id],tblMeasure[msr_min_geo_resolution])</f>
        <v>LA</v>
      </c>
      <c r="L555" s="22" t="str">
        <f>_xlfn.XLOOKUP(tblRequirementMeasureXref[[#This Row],[msr_id]],tblMeasure[msr_id],tblMeasure[src_name])</f>
        <v>Deprivation of Liberty Safeguards</v>
      </c>
    </row>
    <row r="556" spans="1:12" x14ac:dyDescent="0.15">
      <c r="A556" s="1" t="str">
        <f>_xlfn.XLOOKUP(tblRequirementMeasureXref[[#This Row],[dm_id]],tblDataRequirement[dm_id],tblDataRequirement[domain_sub_requirement])</f>
        <v>Service:Quality:Safety</v>
      </c>
      <c r="B556" s="1" t="str">
        <f>_xlfn.XLOOKUP(tblRequirementMeasureXref[[#This Row],[dm_id]],tblDataRequirement[dm_id],tblDataRequirement[dm_phase])</f>
        <v>outcome</v>
      </c>
      <c r="C556" s="1">
        <v>74</v>
      </c>
      <c r="D556" s="1">
        <v>120</v>
      </c>
      <c r="G556" s="1"/>
      <c r="H556" s="62" t="str">
        <f>_xlfn.XLOOKUP(tblRequirementMeasureXref[[#This Row],[msr_id]],tblMeasure[msr_id],tblMeasure[msr_table])</f>
        <v>Table 2</v>
      </c>
      <c r="I556" s="22" t="str">
        <f>_xlfn.XLOOKUP(tblRequirementMeasureXref[[#This Row],[msr_id]],tblMeasure[msr_id],tblMeasure[msr_name])</f>
        <v>Applications received per individual</v>
      </c>
      <c r="J556" s="22" t="str">
        <f>_xlfn.XLOOKUP(tblRequirementMeasureXref[[#This Row],[msr_id]],tblMeasure[msr_id],tblMeasure[primary_dimensions])</f>
        <v>DoLS applications per individual</v>
      </c>
      <c r="K556" s="22" t="str">
        <f>_xlfn.XLOOKUP(tblRequirementMeasureXref[[#This Row],[msr_id]],tblMeasure[msr_id],tblMeasure[msr_min_geo_resolution])</f>
        <v>LA</v>
      </c>
      <c r="L556" s="22" t="str">
        <f>_xlfn.XLOOKUP(tblRequirementMeasureXref[[#This Row],[msr_id]],tblMeasure[msr_id],tblMeasure[src_name])</f>
        <v>Deprivation of Liberty Safeguards</v>
      </c>
    </row>
    <row r="557" spans="1:12" x14ac:dyDescent="0.15">
      <c r="A557" s="1" t="str">
        <f>_xlfn.XLOOKUP(tblRequirementMeasureXref[[#This Row],[dm_id]],tblDataRequirement[dm_id],tblDataRequirement[domain_sub_requirement])</f>
        <v>Service:Quality:Safety</v>
      </c>
      <c r="B557" s="1" t="str">
        <f>_xlfn.XLOOKUP(tblRequirementMeasureXref[[#This Row],[dm_id]],tblDataRequirement[dm_id],tblDataRequirement[dm_phase])</f>
        <v>outcome</v>
      </c>
      <c r="C557" s="1">
        <v>74</v>
      </c>
      <c r="D557" s="1">
        <v>121</v>
      </c>
      <c r="G557" s="1"/>
      <c r="H557" s="62" t="str">
        <f>_xlfn.XLOOKUP(tblRequirementMeasureXref[[#This Row],[msr_id]],tblMeasure[msr_id],tblMeasure[msr_table])</f>
        <v>Table 3</v>
      </c>
      <c r="I557" s="22" t="str">
        <f>_xlfn.XLOOKUP(tblRequirementMeasureXref[[#This Row],[msr_id]],tblMeasure[msr_id],tblMeasure[msr_name])</f>
        <v>Applications received per 100,000 adults by age group and age standardised rate</v>
      </c>
      <c r="J557" s="22" t="str">
        <f>_xlfn.XLOOKUP(tblRequirementMeasureXref[[#This Row],[msr_id]],tblMeasure[msr_id],tblMeasure[primary_dimensions])</f>
        <v>DoLS applications</v>
      </c>
      <c r="K557" s="22" t="str">
        <f>_xlfn.XLOOKUP(tblRequirementMeasureXref[[#This Row],[msr_id]],tblMeasure[msr_id],tblMeasure[msr_min_geo_resolution])</f>
        <v>LA</v>
      </c>
      <c r="L557" s="22" t="str">
        <f>_xlfn.XLOOKUP(tblRequirementMeasureXref[[#This Row],[msr_id]],tblMeasure[msr_id],tblMeasure[src_name])</f>
        <v>Deprivation of Liberty Safeguards</v>
      </c>
    </row>
    <row r="558" spans="1:12" x14ac:dyDescent="0.15">
      <c r="A558" s="1" t="str">
        <f>_xlfn.XLOOKUP(tblRequirementMeasureXref[[#This Row],[dm_id]],tblDataRequirement[dm_id],tblDataRequirement[domain_sub_requirement])</f>
        <v>Users:Demographics:Age</v>
      </c>
      <c r="B558" s="1" t="str">
        <f>_xlfn.XLOOKUP(tblRequirementMeasureXref[[#This Row],[dm_id]],tblDataRequirement[dm_id],tblDataRequirement[dm_phase])</f>
        <v>demand</v>
      </c>
      <c r="C558" s="1">
        <v>51</v>
      </c>
      <c r="D558" s="1">
        <v>121</v>
      </c>
      <c r="G558" s="1"/>
      <c r="H558" s="62" t="str">
        <f>_xlfn.XLOOKUP(tblRequirementMeasureXref[[#This Row],[msr_id]],tblMeasure[msr_id],tblMeasure[msr_table])</f>
        <v>Table 3</v>
      </c>
      <c r="I558" s="22" t="str">
        <f>_xlfn.XLOOKUP(tblRequirementMeasureXref[[#This Row],[msr_id]],tblMeasure[msr_id],tblMeasure[msr_name])</f>
        <v>Applications received per 100,000 adults by age group and age standardised rate</v>
      </c>
      <c r="J558" s="22" t="str">
        <f>_xlfn.XLOOKUP(tblRequirementMeasureXref[[#This Row],[msr_id]],tblMeasure[msr_id],tblMeasure[primary_dimensions])</f>
        <v>DoLS applications</v>
      </c>
      <c r="K558" s="22" t="str">
        <f>_xlfn.XLOOKUP(tblRequirementMeasureXref[[#This Row],[msr_id]],tblMeasure[msr_id],tblMeasure[msr_min_geo_resolution])</f>
        <v>LA</v>
      </c>
      <c r="L558" s="22" t="str">
        <f>_xlfn.XLOOKUP(tblRequirementMeasureXref[[#This Row],[msr_id]],tblMeasure[msr_id],tblMeasure[src_name])</f>
        <v>Deprivation of Liberty Safeguards</v>
      </c>
    </row>
    <row r="559" spans="1:12" x14ac:dyDescent="0.15">
      <c r="A559" s="1" t="str">
        <f>_xlfn.XLOOKUP(tblRequirementMeasureXref[[#This Row],[dm_id]],tblDataRequirement[dm_id],tblDataRequirement[domain_sub_requirement])</f>
        <v>Service:Quality:Safety</v>
      </c>
      <c r="B559" s="1" t="str">
        <f>_xlfn.XLOOKUP(tblRequirementMeasureXref[[#This Row],[dm_id]],tblDataRequirement[dm_id],tblDataRequirement[dm_phase])</f>
        <v>outcome</v>
      </c>
      <c r="C559" s="1">
        <v>74</v>
      </c>
      <c r="D559" s="1">
        <v>122</v>
      </c>
      <c r="G559" s="1"/>
      <c r="H559" s="62" t="str">
        <f>_xlfn.XLOOKUP(tblRequirementMeasureXref[[#This Row],[msr_id]],tblMeasure[msr_id],tblMeasure[msr_table])</f>
        <v>Table 4</v>
      </c>
      <c r="I559" s="22" t="str">
        <f>_xlfn.XLOOKUP(tblRequirementMeasureXref[[#This Row],[msr_id]],tblMeasure[msr_id],tblMeasure[msr_name])</f>
        <v>Applications completed during 2018-19 by application outcome, urgent / standard status and CQC service type</v>
      </c>
      <c r="J559" s="22" t="str">
        <f>_xlfn.XLOOKUP(tblRequirementMeasureXref[[#This Row],[msr_id]],tblMeasure[msr_id],tblMeasure[primary_dimensions])</f>
        <v>DOLS applications granted/not granted, urgency</v>
      </c>
      <c r="K559" s="22" t="str">
        <f>_xlfn.XLOOKUP(tblRequirementMeasureXref[[#This Row],[msr_id]],tblMeasure[msr_id],tblMeasure[msr_min_geo_resolution])</f>
        <v>LA</v>
      </c>
      <c r="L559" s="22" t="str">
        <f>_xlfn.XLOOKUP(tblRequirementMeasureXref[[#This Row],[msr_id]],tblMeasure[msr_id],tblMeasure[src_name])</f>
        <v>Deprivation of Liberty Safeguards</v>
      </c>
    </row>
    <row r="560" spans="1:12" x14ac:dyDescent="0.15">
      <c r="A560" s="1" t="str">
        <f>_xlfn.XLOOKUP(tblRequirementMeasureXref[[#This Row],[dm_id]],tblDataRequirement[dm_id],tblDataRequirement[domain_sub_requirement])</f>
        <v>Service:Integration:NHS secondary care</v>
      </c>
      <c r="B560" s="1" t="str">
        <f>_xlfn.XLOOKUP(tblRequirementMeasureXref[[#This Row],[dm_id]],tblDataRequirement[dm_id],tblDataRequirement[dm_phase])</f>
        <v>operate</v>
      </c>
      <c r="C560" s="1">
        <v>37</v>
      </c>
      <c r="D560" s="1">
        <v>122</v>
      </c>
      <c r="G560" s="1"/>
      <c r="H560" s="62" t="str">
        <f>_xlfn.XLOOKUP(tblRequirementMeasureXref[[#This Row],[msr_id]],tblMeasure[msr_id],tblMeasure[msr_table])</f>
        <v>Table 4</v>
      </c>
      <c r="I560" s="22" t="str">
        <f>_xlfn.XLOOKUP(tblRequirementMeasureXref[[#This Row],[msr_id]],tblMeasure[msr_id],tblMeasure[msr_name])</f>
        <v>Applications completed during 2018-19 by application outcome, urgent / standard status and CQC service type</v>
      </c>
      <c r="J560" s="22" t="str">
        <f>_xlfn.XLOOKUP(tblRequirementMeasureXref[[#This Row],[msr_id]],tblMeasure[msr_id],tblMeasure[primary_dimensions])</f>
        <v>DOLS applications granted/not granted, urgency</v>
      </c>
      <c r="K560" s="22" t="str">
        <f>_xlfn.XLOOKUP(tblRequirementMeasureXref[[#This Row],[msr_id]],tblMeasure[msr_id],tblMeasure[msr_min_geo_resolution])</f>
        <v>LA</v>
      </c>
      <c r="L560" s="22" t="str">
        <f>_xlfn.XLOOKUP(tblRequirementMeasureXref[[#This Row],[msr_id]],tblMeasure[msr_id],tblMeasure[src_name])</f>
        <v>Deprivation of Liberty Safeguards</v>
      </c>
    </row>
    <row r="561" spans="1:12" x14ac:dyDescent="0.15">
      <c r="A561" s="1" t="str">
        <f>_xlfn.XLOOKUP(tblRequirementMeasureXref[[#This Row],[dm_id]],tblDataRequirement[dm_id],tblDataRequirement[domain_sub_requirement])</f>
        <v>Service:Support setting:Residential care home</v>
      </c>
      <c r="B561" s="1" t="str">
        <f>_xlfn.XLOOKUP(tblRequirementMeasureXref[[#This Row],[dm_id]],tblDataRequirement[dm_id],tblDataRequirement[dm_phase])</f>
        <v>operate</v>
      </c>
      <c r="C561" s="1">
        <v>41</v>
      </c>
      <c r="D561" s="1">
        <v>122</v>
      </c>
      <c r="G561" s="1"/>
      <c r="H561" s="62" t="str">
        <f>_xlfn.XLOOKUP(tblRequirementMeasureXref[[#This Row],[msr_id]],tblMeasure[msr_id],tblMeasure[msr_table])</f>
        <v>Table 4</v>
      </c>
      <c r="I561" s="22" t="str">
        <f>_xlfn.XLOOKUP(tblRequirementMeasureXref[[#This Row],[msr_id]],tblMeasure[msr_id],tblMeasure[msr_name])</f>
        <v>Applications completed during 2018-19 by application outcome, urgent / standard status and CQC service type</v>
      </c>
      <c r="J561" s="22" t="str">
        <f>_xlfn.XLOOKUP(tblRequirementMeasureXref[[#This Row],[msr_id]],tblMeasure[msr_id],tblMeasure[primary_dimensions])</f>
        <v>DOLS applications granted/not granted, urgency</v>
      </c>
      <c r="K561" s="22" t="str">
        <f>_xlfn.XLOOKUP(tblRequirementMeasureXref[[#This Row],[msr_id]],tblMeasure[msr_id],tblMeasure[msr_min_geo_resolution])</f>
        <v>LA</v>
      </c>
      <c r="L561" s="22" t="str">
        <f>_xlfn.XLOOKUP(tblRequirementMeasureXref[[#This Row],[msr_id]],tblMeasure[msr_id],tblMeasure[src_name])</f>
        <v>Deprivation of Liberty Safeguards</v>
      </c>
    </row>
    <row r="562" spans="1:12" x14ac:dyDescent="0.15">
      <c r="A562" s="1" t="str">
        <f>_xlfn.XLOOKUP(tblRequirementMeasureXref[[#This Row],[dm_id]],tblDataRequirement[dm_id],tblDataRequirement[domain_sub_requirement])</f>
        <v>Service:Support setting:Nursing home</v>
      </c>
      <c r="B562" s="1" t="str">
        <f>_xlfn.XLOOKUP(tblRequirementMeasureXref[[#This Row],[dm_id]],tblDataRequirement[dm_id],tblDataRequirement[dm_phase])</f>
        <v>operate</v>
      </c>
      <c r="C562" s="1">
        <v>42</v>
      </c>
      <c r="D562" s="1">
        <v>122</v>
      </c>
      <c r="G562" s="1"/>
      <c r="H562" s="62" t="str">
        <f>_xlfn.XLOOKUP(tblRequirementMeasureXref[[#This Row],[msr_id]],tblMeasure[msr_id],tblMeasure[msr_table])</f>
        <v>Table 4</v>
      </c>
      <c r="I562" s="22" t="str">
        <f>_xlfn.XLOOKUP(tblRequirementMeasureXref[[#This Row],[msr_id]],tblMeasure[msr_id],tblMeasure[msr_name])</f>
        <v>Applications completed during 2018-19 by application outcome, urgent / standard status and CQC service type</v>
      </c>
      <c r="J562" s="22" t="str">
        <f>_xlfn.XLOOKUP(tblRequirementMeasureXref[[#This Row],[msr_id]],tblMeasure[msr_id],tblMeasure[primary_dimensions])</f>
        <v>DOLS applications granted/not granted, urgency</v>
      </c>
      <c r="K562" s="22" t="str">
        <f>_xlfn.XLOOKUP(tblRequirementMeasureXref[[#This Row],[msr_id]],tblMeasure[msr_id],tblMeasure[msr_min_geo_resolution])</f>
        <v>LA</v>
      </c>
      <c r="L562" s="22" t="str">
        <f>_xlfn.XLOOKUP(tblRequirementMeasureXref[[#This Row],[msr_id]],tblMeasure[msr_id],tblMeasure[src_name])</f>
        <v>Deprivation of Liberty Safeguards</v>
      </c>
    </row>
    <row r="563" spans="1:12" x14ac:dyDescent="0.15">
      <c r="A563" s="1" t="str">
        <f>_xlfn.XLOOKUP(tblRequirementMeasureXref[[#This Row],[dm_id]],tblDataRequirement[dm_id],tblDataRequirement[domain_sub_requirement])</f>
        <v>Service:Quality:Safety</v>
      </c>
      <c r="B563" s="1" t="str">
        <f>_xlfn.XLOOKUP(tblRequirementMeasureXref[[#This Row],[dm_id]],tblDataRequirement[dm_id],tblDataRequirement[dm_phase])</f>
        <v>outcome</v>
      </c>
      <c r="C563" s="1">
        <v>74</v>
      </c>
      <c r="D563" s="1">
        <v>123</v>
      </c>
      <c r="G563" s="1"/>
      <c r="H563" s="62" t="str">
        <f>_xlfn.XLOOKUP(tblRequirementMeasureXref[[#This Row],[msr_id]],tblMeasure[msr_id],tblMeasure[msr_table])</f>
        <v>Table 5</v>
      </c>
      <c r="I563" s="22" t="str">
        <f>_xlfn.XLOOKUP(tblRequirementMeasureXref[[#This Row],[msr_id]],tblMeasure[msr_id],tblMeasure[msr_name])</f>
        <v>Applications completed and not granted during 2018-19 by reason not granted</v>
      </c>
      <c r="J563" s="22" t="str">
        <f>_xlfn.XLOOKUP(tblRequirementMeasureXref[[#This Row],[msr_id]],tblMeasure[msr_id],tblMeasure[primary_dimensions])</f>
        <v>DOLs applications, reasons not granted</v>
      </c>
      <c r="K563" s="22" t="str">
        <f>_xlfn.XLOOKUP(tblRequirementMeasureXref[[#This Row],[msr_id]],tblMeasure[msr_id],tblMeasure[msr_min_geo_resolution])</f>
        <v>LA</v>
      </c>
      <c r="L563" s="22" t="str">
        <f>_xlfn.XLOOKUP(tblRequirementMeasureXref[[#This Row],[msr_id]],tblMeasure[msr_id],tblMeasure[src_name])</f>
        <v>Deprivation of Liberty Safeguards</v>
      </c>
    </row>
    <row r="564" spans="1:12" x14ac:dyDescent="0.15">
      <c r="A564" s="1" t="str">
        <f>_xlfn.XLOOKUP(tblRequirementMeasureXref[[#This Row],[dm_id]],tblDataRequirement[dm_id],tblDataRequirement[domain_sub_requirement])</f>
        <v>Service:Quality:Safety</v>
      </c>
      <c r="B564" s="1" t="str">
        <f>_xlfn.XLOOKUP(tblRequirementMeasureXref[[#This Row],[dm_id]],tblDataRequirement[dm_id],tblDataRequirement[dm_phase])</f>
        <v>outcome</v>
      </c>
      <c r="C564" s="1">
        <v>74</v>
      </c>
      <c r="D564" s="1">
        <v>124</v>
      </c>
      <c r="G564" s="1"/>
      <c r="H564" s="62" t="str">
        <f>_xlfn.XLOOKUP(tblRequirementMeasureXref[[#This Row],[msr_id]],tblMeasure[msr_id],tblMeasure[msr_table])</f>
        <v>Table 6</v>
      </c>
      <c r="I564" s="22" t="str">
        <f>_xlfn.XLOOKUP(tblRequirementMeasureXref[[#This Row],[msr_id]],tblMeasure[msr_id],tblMeasure[msr_name])</f>
        <v>Applications completed and not granted during 2018-19 due to one assessment criteria not being met by assessment criteria</v>
      </c>
      <c r="J564" s="22" t="str">
        <f>_xlfn.XLOOKUP(tblRequirementMeasureXref[[#This Row],[msr_id]],tblMeasure[msr_id],tblMeasure[primary_dimensions])</f>
        <v>DOLs applications, assessment criteria not met</v>
      </c>
      <c r="K564" s="22" t="str">
        <f>_xlfn.XLOOKUP(tblRequirementMeasureXref[[#This Row],[msr_id]],tblMeasure[msr_id],tblMeasure[msr_min_geo_resolution])</f>
        <v>LA</v>
      </c>
      <c r="L564" s="22" t="str">
        <f>_xlfn.XLOOKUP(tblRequirementMeasureXref[[#This Row],[msr_id]],tblMeasure[msr_id],tblMeasure[src_name])</f>
        <v>Deprivation of Liberty Safeguards</v>
      </c>
    </row>
    <row r="565" spans="1:12" x14ac:dyDescent="0.15">
      <c r="A565" s="1" t="str">
        <f>_xlfn.XLOOKUP(tblRequirementMeasureXref[[#This Row],[dm_id]],tblDataRequirement[dm_id],tblDataRequirement[domain_sub_requirement])</f>
        <v>Service:Quality:Safety</v>
      </c>
      <c r="B565" s="1" t="str">
        <f>_xlfn.XLOOKUP(tblRequirementMeasureXref[[#This Row],[dm_id]],tblDataRequirement[dm_id],tblDataRequirement[dm_phase])</f>
        <v>outcome</v>
      </c>
      <c r="C565" s="1">
        <v>74</v>
      </c>
      <c r="D565" s="1">
        <v>125</v>
      </c>
      <c r="G565" s="1"/>
      <c r="H565" s="62" t="str">
        <f>_xlfn.XLOOKUP(tblRequirementMeasureXref[[#This Row],[msr_id]],tblMeasure[msr_id],tblMeasure[msr_table])</f>
        <v>Table 7</v>
      </c>
      <c r="I565" s="22" t="str">
        <f>_xlfn.XLOOKUP(tblRequirementMeasureXref[[#This Row],[msr_id]],tblMeasure[msr_id],tblMeasure[msr_name])</f>
        <v>Applications completed during 2018-19 per individual</v>
      </c>
      <c r="J565" s="22" t="str">
        <f>_xlfn.XLOOKUP(tblRequirementMeasureXref[[#This Row],[msr_id]],tblMeasure[msr_id],tblMeasure[primary_dimensions])</f>
        <v>DoLS applications completed per individual</v>
      </c>
      <c r="K565" s="22" t="str">
        <f>_xlfn.XLOOKUP(tblRequirementMeasureXref[[#This Row],[msr_id]],tblMeasure[msr_id],tblMeasure[msr_min_geo_resolution])</f>
        <v>LA</v>
      </c>
      <c r="L565" s="22" t="str">
        <f>_xlfn.XLOOKUP(tblRequirementMeasureXref[[#This Row],[msr_id]],tblMeasure[msr_id],tblMeasure[src_name])</f>
        <v>Deprivation of Liberty Safeguards</v>
      </c>
    </row>
    <row r="566" spans="1:12" x14ac:dyDescent="0.15">
      <c r="A566" s="1" t="str">
        <f>_xlfn.XLOOKUP(tblRequirementMeasureXref[[#This Row],[dm_id]],tblDataRequirement[dm_id],tblDataRequirement[domain_sub_requirement])</f>
        <v>Service:Quality:Safety</v>
      </c>
      <c r="B566" s="1" t="str">
        <f>_xlfn.XLOOKUP(tblRequirementMeasureXref[[#This Row],[dm_id]],tblDataRequirement[dm_id],tblDataRequirement[dm_phase])</f>
        <v>outcome</v>
      </c>
      <c r="C566" s="1">
        <v>74</v>
      </c>
      <c r="D566" s="1">
        <v>126</v>
      </c>
      <c r="G566" s="1"/>
      <c r="H566" s="62" t="str">
        <f>_xlfn.XLOOKUP(tblRequirementMeasureXref[[#This Row],[msr_id]],tblMeasure[msr_id],tblMeasure[msr_table])</f>
        <v>Table 8</v>
      </c>
      <c r="I566" s="22" t="str">
        <f>_xlfn.XLOOKUP(tblRequirementMeasureXref[[#This Row],[msr_id]],tblMeasure[msr_id],tblMeasure[msr_name])</f>
        <v>Applications completed during 2018-19 per 100,000 adults by age group and age standardised rate</v>
      </c>
      <c r="J566" s="22" t="str">
        <f>_xlfn.XLOOKUP(tblRequirementMeasureXref[[#This Row],[msr_id]],tblMeasure[msr_id],tblMeasure[primary_dimensions])</f>
        <v>DoLS applications completed</v>
      </c>
      <c r="K566" s="22" t="str">
        <f>_xlfn.XLOOKUP(tblRequirementMeasureXref[[#This Row],[msr_id]],tblMeasure[msr_id],tblMeasure[msr_min_geo_resolution])</f>
        <v>LA</v>
      </c>
      <c r="L566" s="22" t="str">
        <f>_xlfn.XLOOKUP(tblRequirementMeasureXref[[#This Row],[msr_id]],tblMeasure[msr_id],tblMeasure[src_name])</f>
        <v>Deprivation of Liberty Safeguards</v>
      </c>
    </row>
    <row r="567" spans="1:12" x14ac:dyDescent="0.15">
      <c r="A567" s="1" t="str">
        <f>_xlfn.XLOOKUP(tblRequirementMeasureXref[[#This Row],[dm_id]],tblDataRequirement[dm_id],tblDataRequirement[domain_sub_requirement])</f>
        <v>Users:Demographics:Age</v>
      </c>
      <c r="B567" s="1" t="str">
        <f>_xlfn.XLOOKUP(tblRequirementMeasureXref[[#This Row],[dm_id]],tblDataRequirement[dm_id],tblDataRequirement[dm_phase])</f>
        <v>demand</v>
      </c>
      <c r="C567" s="1">
        <v>51</v>
      </c>
      <c r="D567" s="1">
        <v>126</v>
      </c>
      <c r="G567" s="1"/>
      <c r="H567" s="62" t="str">
        <f>_xlfn.XLOOKUP(tblRequirementMeasureXref[[#This Row],[msr_id]],tblMeasure[msr_id],tblMeasure[msr_table])</f>
        <v>Table 8</v>
      </c>
      <c r="I567" s="22" t="str">
        <f>_xlfn.XLOOKUP(tblRequirementMeasureXref[[#This Row],[msr_id]],tblMeasure[msr_id],tblMeasure[msr_name])</f>
        <v>Applications completed during 2018-19 per 100,000 adults by age group and age standardised rate</v>
      </c>
      <c r="J567" s="22" t="str">
        <f>_xlfn.XLOOKUP(tblRequirementMeasureXref[[#This Row],[msr_id]],tblMeasure[msr_id],tblMeasure[primary_dimensions])</f>
        <v>DoLS applications completed</v>
      </c>
      <c r="K567" s="22" t="str">
        <f>_xlfn.XLOOKUP(tblRequirementMeasureXref[[#This Row],[msr_id]],tblMeasure[msr_id],tblMeasure[msr_min_geo_resolution])</f>
        <v>LA</v>
      </c>
      <c r="L567" s="22" t="str">
        <f>_xlfn.XLOOKUP(tblRequirementMeasureXref[[#This Row],[msr_id]],tblMeasure[msr_id],tblMeasure[src_name])</f>
        <v>Deprivation of Liberty Safeguards</v>
      </c>
    </row>
    <row r="568" spans="1:12" x14ac:dyDescent="0.15">
      <c r="A568" s="1" t="str">
        <f>_xlfn.XLOOKUP(tblRequirementMeasureXref[[#This Row],[dm_id]],tblDataRequirement[dm_id],tblDataRequirement[domain_sub_requirement])</f>
        <v>Service:Quality:Safety</v>
      </c>
      <c r="B568" s="1" t="str">
        <f>_xlfn.XLOOKUP(tblRequirementMeasureXref[[#This Row],[dm_id]],tblDataRequirement[dm_id],tblDataRequirement[dm_phase])</f>
        <v>outcome</v>
      </c>
      <c r="C568" s="1">
        <v>74</v>
      </c>
      <c r="D568" s="1">
        <v>127</v>
      </c>
      <c r="G568" s="1"/>
      <c r="H568" s="62" t="str">
        <f>_xlfn.XLOOKUP(tblRequirementMeasureXref[[#This Row],[msr_id]],tblMeasure[msr_id],tblMeasure[msr_table])</f>
        <v>Table 9</v>
      </c>
      <c r="I568" s="22" t="str">
        <f>_xlfn.XLOOKUP(tblRequirementMeasureXref[[#This Row],[msr_id]],tblMeasure[msr_id],tblMeasure[msr_name])</f>
        <v>Applications not completed as at 1st April 2019 by duration of application, urgent/standard status and CQC service type</v>
      </c>
      <c r="J568" s="22" t="str">
        <f>_xlfn.XLOOKUP(tblRequirementMeasureXref[[#This Row],[msr_id]],tblMeasure[msr_id],tblMeasure[primary_dimensions])</f>
        <v>DoLS applications not completed, urgency, duration</v>
      </c>
      <c r="K568" s="22" t="str">
        <f>_xlfn.XLOOKUP(tblRequirementMeasureXref[[#This Row],[msr_id]],tblMeasure[msr_id],tblMeasure[msr_min_geo_resolution])</f>
        <v>LA</v>
      </c>
      <c r="L568" s="22" t="str">
        <f>_xlfn.XLOOKUP(tblRequirementMeasureXref[[#This Row],[msr_id]],tblMeasure[msr_id],tblMeasure[src_name])</f>
        <v>Deprivation of Liberty Safeguards</v>
      </c>
    </row>
    <row r="569" spans="1:12" x14ac:dyDescent="0.15">
      <c r="A569" s="1" t="str">
        <f>_xlfn.XLOOKUP(tblRequirementMeasureXref[[#This Row],[dm_id]],tblDataRequirement[dm_id],tblDataRequirement[domain_sub_requirement])</f>
        <v>Service:Integration:NHS secondary care</v>
      </c>
      <c r="B569" s="1" t="str">
        <f>_xlfn.XLOOKUP(tblRequirementMeasureXref[[#This Row],[dm_id]],tblDataRequirement[dm_id],tblDataRequirement[dm_phase])</f>
        <v>operate</v>
      </c>
      <c r="C569" s="1">
        <v>37</v>
      </c>
      <c r="D569" s="1">
        <v>127</v>
      </c>
      <c r="G569" s="1"/>
      <c r="H569" s="62" t="str">
        <f>_xlfn.XLOOKUP(tblRequirementMeasureXref[[#This Row],[msr_id]],tblMeasure[msr_id],tblMeasure[msr_table])</f>
        <v>Table 9</v>
      </c>
      <c r="I569" s="22" t="str">
        <f>_xlfn.XLOOKUP(tblRequirementMeasureXref[[#This Row],[msr_id]],tblMeasure[msr_id],tblMeasure[msr_name])</f>
        <v>Applications not completed as at 1st April 2019 by duration of application, urgent/standard status and CQC service type</v>
      </c>
      <c r="J569" s="22" t="str">
        <f>_xlfn.XLOOKUP(tblRequirementMeasureXref[[#This Row],[msr_id]],tblMeasure[msr_id],tblMeasure[primary_dimensions])</f>
        <v>DoLS applications not completed, urgency, duration</v>
      </c>
      <c r="K569" s="22" t="str">
        <f>_xlfn.XLOOKUP(tblRequirementMeasureXref[[#This Row],[msr_id]],tblMeasure[msr_id],tblMeasure[msr_min_geo_resolution])</f>
        <v>LA</v>
      </c>
      <c r="L569" s="22" t="str">
        <f>_xlfn.XLOOKUP(tblRequirementMeasureXref[[#This Row],[msr_id]],tblMeasure[msr_id],tblMeasure[src_name])</f>
        <v>Deprivation of Liberty Safeguards</v>
      </c>
    </row>
    <row r="570" spans="1:12" x14ac:dyDescent="0.15">
      <c r="A570" s="1" t="str">
        <f>_xlfn.XLOOKUP(tblRequirementMeasureXref[[#This Row],[dm_id]],tblDataRequirement[dm_id],tblDataRequirement[domain_sub_requirement])</f>
        <v>Service:Support setting:Residential care home</v>
      </c>
      <c r="B570" s="1" t="str">
        <f>_xlfn.XLOOKUP(tblRequirementMeasureXref[[#This Row],[dm_id]],tblDataRequirement[dm_id],tblDataRequirement[dm_phase])</f>
        <v>operate</v>
      </c>
      <c r="C570" s="1">
        <v>41</v>
      </c>
      <c r="D570" s="1">
        <v>127</v>
      </c>
      <c r="G570" s="1"/>
      <c r="H570" s="62" t="str">
        <f>_xlfn.XLOOKUP(tblRequirementMeasureXref[[#This Row],[msr_id]],tblMeasure[msr_id],tblMeasure[msr_table])</f>
        <v>Table 9</v>
      </c>
      <c r="I570" s="22" t="str">
        <f>_xlfn.XLOOKUP(tblRequirementMeasureXref[[#This Row],[msr_id]],tblMeasure[msr_id],tblMeasure[msr_name])</f>
        <v>Applications not completed as at 1st April 2019 by duration of application, urgent/standard status and CQC service type</v>
      </c>
      <c r="J570" s="22" t="str">
        <f>_xlfn.XLOOKUP(tblRequirementMeasureXref[[#This Row],[msr_id]],tblMeasure[msr_id],tblMeasure[primary_dimensions])</f>
        <v>DoLS applications not completed, urgency, duration</v>
      </c>
      <c r="K570" s="22" t="str">
        <f>_xlfn.XLOOKUP(tblRequirementMeasureXref[[#This Row],[msr_id]],tblMeasure[msr_id],tblMeasure[msr_min_geo_resolution])</f>
        <v>LA</v>
      </c>
      <c r="L570" s="22" t="str">
        <f>_xlfn.XLOOKUP(tblRequirementMeasureXref[[#This Row],[msr_id]],tblMeasure[msr_id],tblMeasure[src_name])</f>
        <v>Deprivation of Liberty Safeguards</v>
      </c>
    </row>
    <row r="571" spans="1:12" x14ac:dyDescent="0.15">
      <c r="A571" s="1" t="str">
        <f>_xlfn.XLOOKUP(tblRequirementMeasureXref[[#This Row],[dm_id]],tblDataRequirement[dm_id],tblDataRequirement[domain_sub_requirement])</f>
        <v>Service:Support setting:Nursing home</v>
      </c>
      <c r="B571" s="1" t="str">
        <f>_xlfn.XLOOKUP(tblRequirementMeasureXref[[#This Row],[dm_id]],tblDataRequirement[dm_id],tblDataRequirement[dm_phase])</f>
        <v>operate</v>
      </c>
      <c r="C571" s="1">
        <v>42</v>
      </c>
      <c r="D571" s="1">
        <v>127</v>
      </c>
      <c r="G571" s="1"/>
      <c r="H571" s="62" t="str">
        <f>_xlfn.XLOOKUP(tblRequirementMeasureXref[[#This Row],[msr_id]],tblMeasure[msr_id],tblMeasure[msr_table])</f>
        <v>Table 9</v>
      </c>
      <c r="I571" s="22" t="str">
        <f>_xlfn.XLOOKUP(tblRequirementMeasureXref[[#This Row],[msr_id]],tblMeasure[msr_id],tblMeasure[msr_name])</f>
        <v>Applications not completed as at 1st April 2019 by duration of application, urgent/standard status and CQC service type</v>
      </c>
      <c r="J571" s="22" t="str">
        <f>_xlfn.XLOOKUP(tblRequirementMeasureXref[[#This Row],[msr_id]],tblMeasure[msr_id],tblMeasure[primary_dimensions])</f>
        <v>DoLS applications not completed, urgency, duration</v>
      </c>
      <c r="K571" s="22" t="str">
        <f>_xlfn.XLOOKUP(tblRequirementMeasureXref[[#This Row],[msr_id]],tblMeasure[msr_id],tblMeasure[msr_min_geo_resolution])</f>
        <v>LA</v>
      </c>
      <c r="L571" s="22" t="str">
        <f>_xlfn.XLOOKUP(tblRequirementMeasureXref[[#This Row],[msr_id]],tblMeasure[msr_id],tblMeasure[src_name])</f>
        <v>Deprivation of Liberty Safeguards</v>
      </c>
    </row>
    <row r="572" spans="1:12" x14ac:dyDescent="0.15">
      <c r="A572" s="1" t="str">
        <f>_xlfn.XLOOKUP(tblRequirementMeasureXref[[#This Row],[dm_id]],tblDataRequirement[dm_id],tblDataRequirement[domain_sub_requirement])</f>
        <v>Service:Quality:Safety</v>
      </c>
      <c r="B572" s="1" t="str">
        <f>_xlfn.XLOOKUP(tblRequirementMeasureXref[[#This Row],[dm_id]],tblDataRequirement[dm_id],tblDataRequirement[dm_phase])</f>
        <v>outcome</v>
      </c>
      <c r="C572" s="1">
        <v>74</v>
      </c>
      <c r="D572" s="1">
        <v>128</v>
      </c>
      <c r="G572" s="1"/>
      <c r="H572" s="62" t="str">
        <f>_xlfn.XLOOKUP(tblRequirementMeasureXref[[#This Row],[msr_id]],tblMeasure[msr_id],tblMeasure[msr_table])</f>
        <v>Table 1</v>
      </c>
      <c r="I572" s="22" t="str">
        <f>_xlfn.XLOOKUP(tblRequirementMeasureXref[[#This Row],[msr_id]],tblMeasure[msr_id],tblMeasure[msr_name])</f>
        <v>Number of individuals that have had at least one application submitted and received by the council during 2018-19 by age group and gender, ethnicity and sexual orientation</v>
      </c>
      <c r="J572" s="22" t="str">
        <f>_xlfn.XLOOKUP(tblRequirementMeasureXref[[#This Row],[msr_id]],tblMeasure[msr_id],tblMeasure[primary_dimensions])</f>
        <v>Individuals with at least one DoLS application</v>
      </c>
      <c r="K572" s="22" t="str">
        <f>_xlfn.XLOOKUP(tblRequirementMeasureXref[[#This Row],[msr_id]],tblMeasure[msr_id],tblMeasure[msr_min_geo_resolution])</f>
        <v>LA</v>
      </c>
      <c r="L572" s="22" t="str">
        <f>_xlfn.XLOOKUP(tblRequirementMeasureXref[[#This Row],[msr_id]],tblMeasure[msr_id],tblMeasure[src_name])</f>
        <v>Deprivation of Liberty Safeguards</v>
      </c>
    </row>
    <row r="573" spans="1:12" x14ac:dyDescent="0.15">
      <c r="A573" s="1" t="str">
        <f>_xlfn.XLOOKUP(tblRequirementMeasureXref[[#This Row],[dm_id]],tblDataRequirement[dm_id],tblDataRequirement[domain_sub_requirement])</f>
        <v>Users:Demographics:Age</v>
      </c>
      <c r="B573" s="1" t="str">
        <f>_xlfn.XLOOKUP(tblRequirementMeasureXref[[#This Row],[dm_id]],tblDataRequirement[dm_id],tblDataRequirement[dm_phase])</f>
        <v>demand</v>
      </c>
      <c r="C573" s="1">
        <v>51</v>
      </c>
      <c r="D573" s="1">
        <v>128</v>
      </c>
      <c r="G573" s="1"/>
      <c r="H573" s="62" t="str">
        <f>_xlfn.XLOOKUP(tblRequirementMeasureXref[[#This Row],[msr_id]],tblMeasure[msr_id],tblMeasure[msr_table])</f>
        <v>Table 1</v>
      </c>
      <c r="I573" s="22" t="str">
        <f>_xlfn.XLOOKUP(tblRequirementMeasureXref[[#This Row],[msr_id]],tblMeasure[msr_id],tblMeasure[msr_name])</f>
        <v>Number of individuals that have had at least one application submitted and received by the council during 2018-19 by age group and gender, ethnicity and sexual orientation</v>
      </c>
      <c r="J573" s="22" t="str">
        <f>_xlfn.XLOOKUP(tblRequirementMeasureXref[[#This Row],[msr_id]],tblMeasure[msr_id],tblMeasure[primary_dimensions])</f>
        <v>Individuals with at least one DoLS application</v>
      </c>
      <c r="K573" s="22" t="str">
        <f>_xlfn.XLOOKUP(tblRequirementMeasureXref[[#This Row],[msr_id]],tblMeasure[msr_id],tblMeasure[msr_min_geo_resolution])</f>
        <v>LA</v>
      </c>
      <c r="L573" s="22" t="str">
        <f>_xlfn.XLOOKUP(tblRequirementMeasureXref[[#This Row],[msr_id]],tblMeasure[msr_id],tblMeasure[src_name])</f>
        <v>Deprivation of Liberty Safeguards</v>
      </c>
    </row>
    <row r="574" spans="1:12" x14ac:dyDescent="0.15">
      <c r="A574" s="1" t="str">
        <f>_xlfn.XLOOKUP(tblRequirementMeasureXref[[#This Row],[dm_id]],tblDataRequirement[dm_id],tblDataRequirement[domain_sub_requirement])</f>
        <v>Users:Demographics:Gender</v>
      </c>
      <c r="B574" s="1" t="str">
        <f>_xlfn.XLOOKUP(tblRequirementMeasureXref[[#This Row],[dm_id]],tblDataRequirement[dm_id],tblDataRequirement[dm_phase])</f>
        <v>demand</v>
      </c>
      <c r="C574" s="1">
        <v>62</v>
      </c>
      <c r="D574" s="1">
        <v>128</v>
      </c>
      <c r="G574" s="1"/>
      <c r="H574" s="62" t="str">
        <f>_xlfn.XLOOKUP(tblRequirementMeasureXref[[#This Row],[msr_id]],tblMeasure[msr_id],tblMeasure[msr_table])</f>
        <v>Table 1</v>
      </c>
      <c r="I574" s="22" t="str">
        <f>_xlfn.XLOOKUP(tblRequirementMeasureXref[[#This Row],[msr_id]],tblMeasure[msr_id],tblMeasure[msr_name])</f>
        <v>Number of individuals that have had at least one application submitted and received by the council during 2018-19 by age group and gender, ethnicity and sexual orientation</v>
      </c>
      <c r="J574" s="22" t="str">
        <f>_xlfn.XLOOKUP(tblRequirementMeasureXref[[#This Row],[msr_id]],tblMeasure[msr_id],tblMeasure[primary_dimensions])</f>
        <v>Individuals with at least one DoLS application</v>
      </c>
      <c r="K574" s="22" t="str">
        <f>_xlfn.XLOOKUP(tblRequirementMeasureXref[[#This Row],[msr_id]],tblMeasure[msr_id],tblMeasure[msr_min_geo_resolution])</f>
        <v>LA</v>
      </c>
      <c r="L574" s="22" t="str">
        <f>_xlfn.XLOOKUP(tblRequirementMeasureXref[[#This Row],[msr_id]],tblMeasure[msr_id],tblMeasure[src_name])</f>
        <v>Deprivation of Liberty Safeguards</v>
      </c>
    </row>
    <row r="575" spans="1:12" x14ac:dyDescent="0.15">
      <c r="A575" s="1" t="str">
        <f>_xlfn.XLOOKUP(tblRequirementMeasureXref[[#This Row],[dm_id]],tblDataRequirement[dm_id],tblDataRequirement[domain_sub_requirement])</f>
        <v>Users:Demographics:Ethnicity</v>
      </c>
      <c r="B575" s="1" t="str">
        <f>_xlfn.XLOOKUP(tblRequirementMeasureXref[[#This Row],[dm_id]],tblDataRequirement[dm_id],tblDataRequirement[dm_phase])</f>
        <v>demand</v>
      </c>
      <c r="C575" s="1">
        <v>73</v>
      </c>
      <c r="D575" s="1">
        <v>128</v>
      </c>
      <c r="G575" s="1"/>
      <c r="H575" s="62" t="str">
        <f>_xlfn.XLOOKUP(tblRequirementMeasureXref[[#This Row],[msr_id]],tblMeasure[msr_id],tblMeasure[msr_table])</f>
        <v>Table 1</v>
      </c>
      <c r="I575" s="22" t="str">
        <f>_xlfn.XLOOKUP(tblRequirementMeasureXref[[#This Row],[msr_id]],tblMeasure[msr_id],tblMeasure[msr_name])</f>
        <v>Number of individuals that have had at least one application submitted and received by the council during 2018-19 by age group and gender, ethnicity and sexual orientation</v>
      </c>
      <c r="J575" s="22" t="str">
        <f>_xlfn.XLOOKUP(tblRequirementMeasureXref[[#This Row],[msr_id]],tblMeasure[msr_id],tblMeasure[primary_dimensions])</f>
        <v>Individuals with at least one DoLS application</v>
      </c>
      <c r="K575" s="22" t="str">
        <f>_xlfn.XLOOKUP(tblRequirementMeasureXref[[#This Row],[msr_id]],tblMeasure[msr_id],tblMeasure[msr_min_geo_resolution])</f>
        <v>LA</v>
      </c>
      <c r="L575" s="22" t="str">
        <f>_xlfn.XLOOKUP(tblRequirementMeasureXref[[#This Row],[msr_id]],tblMeasure[msr_id],tblMeasure[src_name])</f>
        <v>Deprivation of Liberty Safeguards</v>
      </c>
    </row>
    <row r="576" spans="1:12" x14ac:dyDescent="0.15">
      <c r="A576" s="1" t="str">
        <f>_xlfn.XLOOKUP(tblRequirementMeasureXref[[#This Row],[dm_id]],tblDataRequirement[dm_id],tblDataRequirement[domain_sub_requirement])</f>
        <v>Users:Demographics:Sexual Orientation</v>
      </c>
      <c r="B576" s="1" t="str">
        <f>_xlfn.XLOOKUP(tblRequirementMeasureXref[[#This Row],[dm_id]],tblDataRequirement[dm_id],tblDataRequirement[dm_phase])</f>
        <v>demand</v>
      </c>
      <c r="C576" s="1">
        <v>76</v>
      </c>
      <c r="D576" s="1">
        <v>128</v>
      </c>
      <c r="G576" s="1"/>
      <c r="H576" s="62" t="str">
        <f>_xlfn.XLOOKUP(tblRequirementMeasureXref[[#This Row],[msr_id]],tblMeasure[msr_id],tblMeasure[msr_table])</f>
        <v>Table 1</v>
      </c>
      <c r="I576" s="22" t="str">
        <f>_xlfn.XLOOKUP(tblRequirementMeasureXref[[#This Row],[msr_id]],tblMeasure[msr_id],tblMeasure[msr_name])</f>
        <v>Number of individuals that have had at least one application submitted and received by the council during 2018-19 by age group and gender, ethnicity and sexual orientation</v>
      </c>
      <c r="J576" s="22" t="str">
        <f>_xlfn.XLOOKUP(tblRequirementMeasureXref[[#This Row],[msr_id]],tblMeasure[msr_id],tblMeasure[primary_dimensions])</f>
        <v>Individuals with at least one DoLS application</v>
      </c>
      <c r="K576" s="22" t="str">
        <f>_xlfn.XLOOKUP(tblRequirementMeasureXref[[#This Row],[msr_id]],tblMeasure[msr_id],tblMeasure[msr_min_geo_resolution])</f>
        <v>LA</v>
      </c>
      <c r="L576" s="22" t="str">
        <f>_xlfn.XLOOKUP(tblRequirementMeasureXref[[#This Row],[msr_id]],tblMeasure[msr_id],tblMeasure[src_name])</f>
        <v>Deprivation of Liberty Safeguards</v>
      </c>
    </row>
    <row r="577" spans="1:12" x14ac:dyDescent="0.15">
      <c r="A577" s="1" t="str">
        <f>_xlfn.XLOOKUP(tblRequirementMeasureXref[[#This Row],[dm_id]],tblDataRequirement[dm_id],tblDataRequirement[domain_sub_requirement])</f>
        <v>Service:Quality:Safety</v>
      </c>
      <c r="B577" s="1" t="str">
        <f>_xlfn.XLOOKUP(tblRequirementMeasureXref[[#This Row],[dm_id]],tblDataRequirement[dm_id],tblDataRequirement[dm_phase])</f>
        <v>outcome</v>
      </c>
      <c r="C577" s="1">
        <v>74</v>
      </c>
      <c r="D577" s="1">
        <v>130</v>
      </c>
      <c r="G577" s="1"/>
      <c r="H577" s="62" t="str">
        <f>_xlfn.XLOOKUP(tblRequirementMeasureXref[[#This Row],[msr_id]],tblMeasure[msr_id],tblMeasure[msr_table])</f>
        <v>Table 1</v>
      </c>
      <c r="I577" s="22" t="str">
        <f>_xlfn.XLOOKUP(tblRequirementMeasureXref[[#This Row],[msr_id]],tblMeasure[msr_id],tblMeasure[msr_name])</f>
        <v>Number of completed applications and the shortest, longest and mean duration (days) from receiving the application to completing</v>
      </c>
      <c r="J577" s="22" t="str">
        <f>_xlfn.XLOOKUP(tblRequirementMeasureXref[[#This Row],[msr_id]],tblMeasure[msr_id],tblMeasure[primary_dimensions])</f>
        <v>DoLS applications completed, duration</v>
      </c>
      <c r="K577" s="22" t="str">
        <f>_xlfn.XLOOKUP(tblRequirementMeasureXref[[#This Row],[msr_id]],tblMeasure[msr_id],tblMeasure[msr_min_geo_resolution])</f>
        <v>LA</v>
      </c>
      <c r="L577" s="22" t="str">
        <f>_xlfn.XLOOKUP(tblRequirementMeasureXref[[#This Row],[msr_id]],tblMeasure[msr_id],tblMeasure[src_name])</f>
        <v>Deprivation of Liberty Safeguards</v>
      </c>
    </row>
    <row r="578" spans="1:12" x14ac:dyDescent="0.15">
      <c r="A578" s="1" t="str">
        <f>_xlfn.XLOOKUP(tblRequirementMeasureXref[[#This Row],[dm_id]],tblDataRequirement[dm_id],tblDataRequirement[domain_sub_requirement])</f>
        <v>Service:Quality:Safety</v>
      </c>
      <c r="B578" s="1" t="str">
        <f>_xlfn.XLOOKUP(tblRequirementMeasureXref[[#This Row],[dm_id]],tblDataRequirement[dm_id],tblDataRequirement[dm_phase])</f>
        <v>outcome</v>
      </c>
      <c r="C578" s="1">
        <v>74</v>
      </c>
      <c r="D578" s="1">
        <v>131</v>
      </c>
      <c r="G578" s="1"/>
      <c r="H578" s="62" t="str">
        <f>_xlfn.XLOOKUP(tblRequirementMeasureXref[[#This Row],[msr_id]],tblMeasure[msr_id],tblMeasure[msr_table])</f>
        <v>Table 2</v>
      </c>
      <c r="I578" s="22" t="str">
        <f>_xlfn.XLOOKUP(tblRequirementMeasureXref[[#This Row],[msr_id]],tblMeasure[msr_id],tblMeasure[msr_name])</f>
        <v>Number of completed applications and the mean duration (days) from receiving the application to completing for granted and not granted applications by urgent / standard status, and not granted applications by reason not granted</v>
      </c>
      <c r="J578" s="22" t="str">
        <f>_xlfn.XLOOKUP(tblRequirementMeasureXref[[#This Row],[msr_id]],tblMeasure[msr_id],tblMeasure[primary_dimensions])</f>
        <v>DoLS applications completed, duration, reason not granted</v>
      </c>
      <c r="K578" s="22" t="str">
        <f>_xlfn.XLOOKUP(tblRequirementMeasureXref[[#This Row],[msr_id]],tblMeasure[msr_id],tblMeasure[msr_min_geo_resolution])</f>
        <v>LA</v>
      </c>
      <c r="L578" s="22" t="str">
        <f>_xlfn.XLOOKUP(tblRequirementMeasureXref[[#This Row],[msr_id]],tblMeasure[msr_id],tblMeasure[src_name])</f>
        <v>Deprivation of Liberty Safeguards</v>
      </c>
    </row>
    <row r="579" spans="1:12" x14ac:dyDescent="0.15">
      <c r="A579" s="1" t="str">
        <f>_xlfn.XLOOKUP(tblRequirementMeasureXref[[#This Row],[dm_id]],tblDataRequirement[dm_id],tblDataRequirement[domain_sub_requirement])</f>
        <v>Service:Quality:Safety</v>
      </c>
      <c r="B579" s="1" t="str">
        <f>_xlfn.XLOOKUP(tblRequirementMeasureXref[[#This Row],[dm_id]],tblDataRequirement[dm_id],tblDataRequirement[dm_phase])</f>
        <v>outcome</v>
      </c>
      <c r="C579" s="1">
        <v>74</v>
      </c>
      <c r="D579" s="1">
        <v>132</v>
      </c>
      <c r="G579" s="1"/>
      <c r="H579" s="62" t="str">
        <f>_xlfn.XLOOKUP(tblRequirementMeasureXref[[#This Row],[msr_id]],tblMeasure[msr_id],tblMeasure[msr_table])</f>
        <v>Table 3</v>
      </c>
      <c r="I579" s="22" t="str">
        <f>_xlfn.XLOOKUP(tblRequirementMeasureXref[[#This Row],[msr_id]],tblMeasure[msr_id],tblMeasure[msr_name])</f>
        <v>Number of completed and granted applications and number of applications by duration (days) from application completion to the start of the authorisation</v>
      </c>
      <c r="J579" s="22" t="str">
        <f>_xlfn.XLOOKUP(tblRequirementMeasureXref[[#This Row],[msr_id]],tblMeasure[msr_id],tblMeasure[primary_dimensions])</f>
        <v>DoLS applications completed, duration, reason not granted</v>
      </c>
      <c r="K579" s="22" t="str">
        <f>_xlfn.XLOOKUP(tblRequirementMeasureXref[[#This Row],[msr_id]],tblMeasure[msr_id],tblMeasure[msr_min_geo_resolution])</f>
        <v>LA</v>
      </c>
      <c r="L579" s="22" t="str">
        <f>_xlfn.XLOOKUP(tblRequirementMeasureXref[[#This Row],[msr_id]],tblMeasure[msr_id],tblMeasure[src_name])</f>
        <v>Deprivation of Liberty Safeguards</v>
      </c>
    </row>
    <row r="580" spans="1:12" x14ac:dyDescent="0.15">
      <c r="A580" s="1" t="str">
        <f>_xlfn.XLOOKUP(tblRequirementMeasureXref[[#This Row],[dm_id]],tblDataRequirement[dm_id],tblDataRequirement[domain_sub_requirement])</f>
        <v>Service:Quality:Safety</v>
      </c>
      <c r="B580" s="1" t="str">
        <f>_xlfn.XLOOKUP(tblRequirementMeasureXref[[#This Row],[dm_id]],tblDataRequirement[dm_id],tblDataRequirement[dm_phase])</f>
        <v>outcome</v>
      </c>
      <c r="C580" s="1">
        <v>74</v>
      </c>
      <c r="D580" s="1">
        <v>133</v>
      </c>
      <c r="G580" s="1"/>
      <c r="H580" s="62" t="str">
        <f>_xlfn.XLOOKUP(tblRequirementMeasureXref[[#This Row],[msr_id]],tblMeasure[msr_id],tblMeasure[msr_table])</f>
        <v>Table 4</v>
      </c>
      <c r="I580" s="22" t="str">
        <f>_xlfn.XLOOKUP(tblRequirementMeasureXref[[#This Row],[msr_id]],tblMeasure[msr_id],tblMeasure[msr_name])</f>
        <v>Authorisations which ended during the year and authorisations which ended earlier than planned</v>
      </c>
      <c r="J580" s="22" t="str">
        <f>_xlfn.XLOOKUP(tblRequirementMeasureXref[[#This Row],[msr_id]],tblMeasure[msr_id],tblMeasure[primary_dimensions])</f>
        <v>DoLS applications authorised early</v>
      </c>
      <c r="K580" s="22" t="str">
        <f>_xlfn.XLOOKUP(tblRequirementMeasureXref[[#This Row],[msr_id]],tblMeasure[msr_id],tblMeasure[msr_min_geo_resolution])</f>
        <v>LA</v>
      </c>
      <c r="L580" s="22" t="str">
        <f>_xlfn.XLOOKUP(tblRequirementMeasureXref[[#This Row],[msr_id]],tblMeasure[msr_id],tblMeasure[src_name])</f>
        <v>Deprivation of Liberty Safeguards</v>
      </c>
    </row>
    <row r="581" spans="1:12" x14ac:dyDescent="0.15">
      <c r="A581" s="1" t="str">
        <f>_xlfn.XLOOKUP(tblRequirementMeasureXref[[#This Row],[dm_id]],tblDataRequirement[dm_id],tblDataRequirement[domain_sub_requirement])</f>
        <v>Service:Quality:Safety</v>
      </c>
      <c r="B581" s="1" t="str">
        <f>_xlfn.XLOOKUP(tblRequirementMeasureXref[[#This Row],[dm_id]],tblDataRequirement[dm_id],tblDataRequirement[dm_phase])</f>
        <v>outcome</v>
      </c>
      <c r="C581" s="1">
        <v>74</v>
      </c>
      <c r="D581" s="1">
        <v>134</v>
      </c>
      <c r="G581" s="1"/>
      <c r="H581" s="62" t="str">
        <f>_xlfn.XLOOKUP(tblRequirementMeasureXref[[#This Row],[msr_id]],tblMeasure[msr_id],tblMeasure[msr_table])</f>
        <v>Table 5</v>
      </c>
      <c r="I581" s="22" t="str">
        <f>_xlfn.XLOOKUP(tblRequirementMeasureXref[[#This Row],[msr_id]],tblMeasure[msr_id],tblMeasure[msr_name])</f>
        <v>Authorisations active during the year, where at least one review took place during the authorisation, and outcome of most recent review</v>
      </c>
      <c r="J581" s="22" t="str">
        <f>_xlfn.XLOOKUP(tblRequirementMeasureXref[[#This Row],[msr_id]],tblMeasure[msr_id],tblMeasure[primary_dimensions])</f>
        <v>DoLS application authorisation reviews</v>
      </c>
      <c r="K581" s="22" t="str">
        <f>_xlfn.XLOOKUP(tblRequirementMeasureXref[[#This Row],[msr_id]],tblMeasure[msr_id],tblMeasure[msr_min_geo_resolution])</f>
        <v>LA</v>
      </c>
      <c r="L581" s="22" t="str">
        <f>_xlfn.XLOOKUP(tblRequirementMeasureXref[[#This Row],[msr_id]],tblMeasure[msr_id],tblMeasure[src_name])</f>
        <v>Deprivation of Liberty Safeguards</v>
      </c>
    </row>
    <row r="582" spans="1:12" x14ac:dyDescent="0.15">
      <c r="A582" s="1" t="str">
        <f>_xlfn.XLOOKUP(tblRequirementMeasureXref[[#This Row],[dm_id]],tblDataRequirement[dm_id],tblDataRequirement[domain_sub_requirement])</f>
        <v>Service:Quality:Safety</v>
      </c>
      <c r="B582" s="1" t="str">
        <f>_xlfn.XLOOKUP(tblRequirementMeasureXref[[#This Row],[dm_id]],tblDataRequirement[dm_id],tblDataRequirement[dm_phase])</f>
        <v>outcome</v>
      </c>
      <c r="C582" s="1">
        <v>74</v>
      </c>
      <c r="D582" s="1">
        <v>135</v>
      </c>
      <c r="G582" s="1"/>
      <c r="H582" s="62" t="str">
        <f>_xlfn.XLOOKUP(tblRequirementMeasureXref[[#This Row],[msr_id]],tblMeasure[msr_id],tblMeasure[msr_table])</f>
        <v>Table 6</v>
      </c>
      <c r="I582" s="22" t="str">
        <f>_xlfn.XLOOKUP(tblRequirementMeasureXref[[#This Row],[msr_id]],tblMeasure[msr_id],tblMeasure[msr_name])</f>
        <v>Authorisations active at year end</v>
      </c>
      <c r="J582" s="22" t="str">
        <f>_xlfn.XLOOKUP(tblRequirementMeasureXref[[#This Row],[msr_id]],tblMeasure[msr_id],tblMeasure[primary_dimensions])</f>
        <v>DoLS authorisations active</v>
      </c>
      <c r="K582" s="22" t="str">
        <f>_xlfn.XLOOKUP(tblRequirementMeasureXref[[#This Row],[msr_id]],tblMeasure[msr_id],tblMeasure[msr_min_geo_resolution])</f>
        <v>LA</v>
      </c>
      <c r="L582" s="22" t="str">
        <f>_xlfn.XLOOKUP(tblRequirementMeasureXref[[#This Row],[msr_id]],tblMeasure[msr_id],tblMeasure[src_name])</f>
        <v>Deprivation of Liberty Safeguards</v>
      </c>
    </row>
    <row r="583" spans="1:12" x14ac:dyDescent="0.15">
      <c r="A583" s="1" t="str">
        <f>_xlfn.XLOOKUP(tblRequirementMeasureXref[[#This Row],[dm_id]],tblDataRequirement[dm_id],tblDataRequirement[domain_sub_requirement])</f>
        <v>Service:Support type:Guardianship</v>
      </c>
      <c r="B583" s="1" t="str">
        <f>_xlfn.XLOOKUP(tblRequirementMeasureXref[[#This Row],[dm_id]],tblDataRequirement[dm_id],tblDataRequirement[dm_phase])</f>
        <v>operate</v>
      </c>
      <c r="C583" s="1">
        <v>77</v>
      </c>
      <c r="D583" s="1">
        <v>136</v>
      </c>
      <c r="G583" s="1"/>
      <c r="H583" s="62" t="str">
        <f>_xlfn.XLOOKUP(tblRequirementMeasureXref[[#This Row],[msr_id]],tblMeasure[msr_id],tblMeasure[msr_table])</f>
        <v>Table 1</v>
      </c>
      <c r="I583" s="22" t="str">
        <f>_xlfn.XLOOKUP(tblRequirementMeasureXref[[#This Row],[msr_id]],tblMeasure[msr_id],tblMeasure[msr_name])</f>
        <v>Cases of Guardianship under the Mental Health Act 1983 by year, Section and relationship of guardian, 2003-04 to 2017-18 England</v>
      </c>
      <c r="J583" s="22" t="str">
        <f>_xlfn.XLOOKUP(tblRequirementMeasureXref[[#This Row],[msr_id]],tblMeasure[msr_id],tblMeasure[primary_dimensions])</f>
        <v>guardianship cases</v>
      </c>
      <c r="K583" s="22" t="str">
        <f>_xlfn.XLOOKUP(tblRequirementMeasureXref[[#This Row],[msr_id]],tblMeasure[msr_id],tblMeasure[msr_min_geo_resolution])</f>
        <v>England</v>
      </c>
      <c r="L583" s="22" t="str">
        <f>_xlfn.XLOOKUP(tblRequirementMeasureXref[[#This Row],[msr_id]],tblMeasure[msr_id],tblMeasure[src_name])</f>
        <v>Guardianship under the Mental Health Act</v>
      </c>
    </row>
    <row r="584" spans="1:12" x14ac:dyDescent="0.15">
      <c r="A584" s="1" t="str">
        <f>_xlfn.XLOOKUP(tblRequirementMeasureXref[[#This Row],[dm_id]],tblDataRequirement[dm_id],tblDataRequirement[domain_sub_requirement])</f>
        <v>Service:Access:Eligible for local authority funded care</v>
      </c>
      <c r="B584" s="1" t="str">
        <f>_xlfn.XLOOKUP(tblRequirementMeasureXref[[#This Row],[dm_id]],tblDataRequirement[dm_id],tblDataRequirement[dm_phase])</f>
        <v>demand</v>
      </c>
      <c r="C584" s="1">
        <v>28</v>
      </c>
      <c r="D584" s="1">
        <v>136</v>
      </c>
      <c r="G584" s="1"/>
      <c r="H584" s="62" t="str">
        <f>_xlfn.XLOOKUP(tblRequirementMeasureXref[[#This Row],[msr_id]],tblMeasure[msr_id],tblMeasure[msr_table])</f>
        <v>Table 1</v>
      </c>
      <c r="I584" s="22" t="str">
        <f>_xlfn.XLOOKUP(tblRequirementMeasureXref[[#This Row],[msr_id]],tblMeasure[msr_id],tblMeasure[msr_name])</f>
        <v>Cases of Guardianship under the Mental Health Act 1983 by year, Section and relationship of guardian, 2003-04 to 2017-18 England</v>
      </c>
      <c r="J584" s="22" t="str">
        <f>_xlfn.XLOOKUP(tblRequirementMeasureXref[[#This Row],[msr_id]],tblMeasure[msr_id],tblMeasure[primary_dimensions])</f>
        <v>guardianship cases</v>
      </c>
      <c r="K584" s="22" t="str">
        <f>_xlfn.XLOOKUP(tblRequirementMeasureXref[[#This Row],[msr_id]],tblMeasure[msr_id],tblMeasure[msr_min_geo_resolution])</f>
        <v>England</v>
      </c>
      <c r="L584" s="22" t="str">
        <f>_xlfn.XLOOKUP(tblRequirementMeasureXref[[#This Row],[msr_id]],tblMeasure[msr_id],tblMeasure[src_name])</f>
        <v>Guardianship under the Mental Health Act</v>
      </c>
    </row>
    <row r="585" spans="1:12" x14ac:dyDescent="0.15">
      <c r="A585" s="1" t="str">
        <f>_xlfn.XLOOKUP(tblRequirementMeasureXref[[#This Row],[dm_id]],tblDataRequirement[dm_id],tblDataRequirement[domain_sub_requirement])</f>
        <v>Unpaid Carers:Workforce:Workforce</v>
      </c>
      <c r="B585" s="1" t="str">
        <f>_xlfn.XLOOKUP(tblRequirementMeasureXref[[#This Row],[dm_id]],tblDataRequirement[dm_id],tblDataRequirement[dm_phase])</f>
        <v>supply</v>
      </c>
      <c r="C585" s="1">
        <v>19</v>
      </c>
      <c r="D585" s="1">
        <v>136</v>
      </c>
      <c r="G585" s="1"/>
      <c r="H585" s="62" t="str">
        <f>_xlfn.XLOOKUP(tblRequirementMeasureXref[[#This Row],[msr_id]],tblMeasure[msr_id],tblMeasure[msr_table])</f>
        <v>Table 1</v>
      </c>
      <c r="I585" s="22" t="str">
        <f>_xlfn.XLOOKUP(tblRequirementMeasureXref[[#This Row],[msr_id]],tblMeasure[msr_id],tblMeasure[msr_name])</f>
        <v>Cases of Guardianship under the Mental Health Act 1983 by year, Section and relationship of guardian, 2003-04 to 2017-18 England</v>
      </c>
      <c r="J585" s="22" t="str">
        <f>_xlfn.XLOOKUP(tblRequirementMeasureXref[[#This Row],[msr_id]],tblMeasure[msr_id],tblMeasure[primary_dimensions])</f>
        <v>guardianship cases</v>
      </c>
      <c r="K585" s="22" t="str">
        <f>_xlfn.XLOOKUP(tblRequirementMeasureXref[[#This Row],[msr_id]],tblMeasure[msr_id],tblMeasure[msr_min_geo_resolution])</f>
        <v>England</v>
      </c>
      <c r="L585" s="22" t="str">
        <f>_xlfn.XLOOKUP(tblRequirementMeasureXref[[#This Row],[msr_id]],tblMeasure[msr_id],tblMeasure[src_name])</f>
        <v>Guardianship under the Mental Health Act</v>
      </c>
    </row>
    <row r="586" spans="1:12" x14ac:dyDescent="0.15">
      <c r="A586" s="1" t="str">
        <f>_xlfn.XLOOKUP(tblRequirementMeasureXref[[#This Row],[dm_id]],tblDataRequirement[dm_id],tblDataRequirement[domain_sub_requirement])</f>
        <v>Service:Support type:Guardianship</v>
      </c>
      <c r="B586" s="1" t="str">
        <f>_xlfn.XLOOKUP(tblRequirementMeasureXref[[#This Row],[dm_id]],tblDataRequirement[dm_id],tblDataRequirement[dm_phase])</f>
        <v>operate</v>
      </c>
      <c r="C586" s="1">
        <v>77</v>
      </c>
      <c r="D586" s="1">
        <v>137</v>
      </c>
      <c r="G586" s="1"/>
      <c r="H586" s="62" t="str">
        <f>_xlfn.XLOOKUP(tblRequirementMeasureXref[[#This Row],[msr_id]],tblMeasure[msr_id],tblMeasure[msr_table])</f>
        <v>Table 2</v>
      </c>
      <c r="I586" s="22" t="str">
        <f>_xlfn.XLOOKUP(tblRequirementMeasureXref[[#This Row],[msr_id]],tblMeasure[msr_id],tblMeasure[msr_name])</f>
        <v>Cases of Guardianship under the Mental Health Act 1983 by gender, Section, and relationship of guardian, 2016-17 and 2017-18 England</v>
      </c>
      <c r="J586" s="22" t="str">
        <f>_xlfn.XLOOKUP(tblRequirementMeasureXref[[#This Row],[msr_id]],tblMeasure[msr_id],tblMeasure[primary_dimensions])</f>
        <v>guardianship cases</v>
      </c>
      <c r="K586" s="22" t="str">
        <f>_xlfn.XLOOKUP(tblRequirementMeasureXref[[#This Row],[msr_id]],tblMeasure[msr_id],tblMeasure[msr_min_geo_resolution])</f>
        <v>England</v>
      </c>
      <c r="L586" s="22" t="str">
        <f>_xlfn.XLOOKUP(tblRequirementMeasureXref[[#This Row],[msr_id]],tblMeasure[msr_id],tblMeasure[src_name])</f>
        <v>Guardianship under the Mental Health Act</v>
      </c>
    </row>
    <row r="587" spans="1:12" x14ac:dyDescent="0.15">
      <c r="A587" s="1" t="str">
        <f>_xlfn.XLOOKUP(tblRequirementMeasureXref[[#This Row],[dm_id]],tblDataRequirement[dm_id],tblDataRequirement[domain_sub_requirement])</f>
        <v>Service:Access:Eligible for local authority funded care</v>
      </c>
      <c r="B587" s="1" t="str">
        <f>_xlfn.XLOOKUP(tblRequirementMeasureXref[[#This Row],[dm_id]],tblDataRequirement[dm_id],tblDataRequirement[dm_phase])</f>
        <v>demand</v>
      </c>
      <c r="C587" s="1">
        <v>28</v>
      </c>
      <c r="D587" s="1">
        <v>137</v>
      </c>
      <c r="G587" s="1"/>
      <c r="H587" s="62" t="str">
        <f>_xlfn.XLOOKUP(tblRequirementMeasureXref[[#This Row],[msr_id]],tblMeasure[msr_id],tblMeasure[msr_table])</f>
        <v>Table 2</v>
      </c>
      <c r="I587" s="22" t="str">
        <f>_xlfn.XLOOKUP(tblRequirementMeasureXref[[#This Row],[msr_id]],tblMeasure[msr_id],tblMeasure[msr_name])</f>
        <v>Cases of Guardianship under the Mental Health Act 1983 by gender, Section, and relationship of guardian, 2016-17 and 2017-18 England</v>
      </c>
      <c r="J587" s="22" t="str">
        <f>_xlfn.XLOOKUP(tblRequirementMeasureXref[[#This Row],[msr_id]],tblMeasure[msr_id],tblMeasure[primary_dimensions])</f>
        <v>guardianship cases</v>
      </c>
      <c r="K587" s="22" t="str">
        <f>_xlfn.XLOOKUP(tblRequirementMeasureXref[[#This Row],[msr_id]],tblMeasure[msr_id],tblMeasure[msr_min_geo_resolution])</f>
        <v>England</v>
      </c>
      <c r="L587" s="22" t="str">
        <f>_xlfn.XLOOKUP(tblRequirementMeasureXref[[#This Row],[msr_id]],tblMeasure[msr_id],tblMeasure[src_name])</f>
        <v>Guardianship under the Mental Health Act</v>
      </c>
    </row>
    <row r="588" spans="1:12" x14ac:dyDescent="0.15">
      <c r="A588" s="1" t="str">
        <f>_xlfn.XLOOKUP(tblRequirementMeasureXref[[#This Row],[dm_id]],tblDataRequirement[dm_id],tblDataRequirement[domain_sub_requirement])</f>
        <v>Unpaid Carers:Workforce:Workforce</v>
      </c>
      <c r="B588" s="1" t="str">
        <f>_xlfn.XLOOKUP(tblRequirementMeasureXref[[#This Row],[dm_id]],tblDataRequirement[dm_id],tblDataRequirement[dm_phase])</f>
        <v>supply</v>
      </c>
      <c r="C588" s="1">
        <v>19</v>
      </c>
      <c r="D588" s="1">
        <v>137</v>
      </c>
      <c r="G588" s="1"/>
      <c r="H588" s="62" t="str">
        <f>_xlfn.XLOOKUP(tblRequirementMeasureXref[[#This Row],[msr_id]],tblMeasure[msr_id],tblMeasure[msr_table])</f>
        <v>Table 2</v>
      </c>
      <c r="I588" s="22" t="str">
        <f>_xlfn.XLOOKUP(tblRequirementMeasureXref[[#This Row],[msr_id]],tblMeasure[msr_id],tblMeasure[msr_name])</f>
        <v>Cases of Guardianship under the Mental Health Act 1983 by gender, Section, and relationship of guardian, 2016-17 and 2017-18 England</v>
      </c>
      <c r="J588" s="22" t="str">
        <f>_xlfn.XLOOKUP(tblRequirementMeasureXref[[#This Row],[msr_id]],tblMeasure[msr_id],tblMeasure[primary_dimensions])</f>
        <v>guardianship cases</v>
      </c>
      <c r="K588" s="22" t="str">
        <f>_xlfn.XLOOKUP(tblRequirementMeasureXref[[#This Row],[msr_id]],tblMeasure[msr_id],tblMeasure[msr_min_geo_resolution])</f>
        <v>England</v>
      </c>
      <c r="L588" s="22" t="str">
        <f>_xlfn.XLOOKUP(tblRequirementMeasureXref[[#This Row],[msr_id]],tblMeasure[msr_id],tblMeasure[src_name])</f>
        <v>Guardianship under the Mental Health Act</v>
      </c>
    </row>
    <row r="589" spans="1:12" x14ac:dyDescent="0.15">
      <c r="A589" s="1" t="str">
        <f>_xlfn.XLOOKUP(tblRequirementMeasureXref[[#This Row],[dm_id]],tblDataRequirement[dm_id],tblDataRequirement[domain_sub_requirement])</f>
        <v>Users:Demographics:Gender</v>
      </c>
      <c r="B589" s="1" t="str">
        <f>_xlfn.XLOOKUP(tblRequirementMeasureXref[[#This Row],[dm_id]],tblDataRequirement[dm_id],tblDataRequirement[dm_phase])</f>
        <v>demand</v>
      </c>
      <c r="C589" s="1">
        <v>62</v>
      </c>
      <c r="D589" s="1">
        <v>137</v>
      </c>
      <c r="G589" s="1"/>
      <c r="H589" s="62" t="str">
        <f>_xlfn.XLOOKUP(tblRequirementMeasureXref[[#This Row],[msr_id]],tblMeasure[msr_id],tblMeasure[msr_table])</f>
        <v>Table 2</v>
      </c>
      <c r="I589" s="22" t="str">
        <f>_xlfn.XLOOKUP(tblRequirementMeasureXref[[#This Row],[msr_id]],tblMeasure[msr_id],tblMeasure[msr_name])</f>
        <v>Cases of Guardianship under the Mental Health Act 1983 by gender, Section, and relationship of guardian, 2016-17 and 2017-18 England</v>
      </c>
      <c r="J589" s="22" t="str">
        <f>_xlfn.XLOOKUP(tblRequirementMeasureXref[[#This Row],[msr_id]],tblMeasure[msr_id],tblMeasure[primary_dimensions])</f>
        <v>guardianship cases</v>
      </c>
      <c r="K589" s="22" t="str">
        <f>_xlfn.XLOOKUP(tblRequirementMeasureXref[[#This Row],[msr_id]],tblMeasure[msr_id],tblMeasure[msr_min_geo_resolution])</f>
        <v>England</v>
      </c>
      <c r="L589" s="22" t="str">
        <f>_xlfn.XLOOKUP(tblRequirementMeasureXref[[#This Row],[msr_id]],tblMeasure[msr_id],tblMeasure[src_name])</f>
        <v>Guardianship under the Mental Health Act</v>
      </c>
    </row>
    <row r="590" spans="1:12" x14ac:dyDescent="0.15">
      <c r="A590" s="1" t="str">
        <f>_xlfn.XLOOKUP(tblRequirementMeasureXref[[#This Row],[dm_id]],tblDataRequirement[dm_id],tblDataRequirement[domain_sub_requirement])</f>
        <v>Service:Support type:Guardianship</v>
      </c>
      <c r="B590" s="1" t="str">
        <f>_xlfn.XLOOKUP(tblRequirementMeasureXref[[#This Row],[dm_id]],tblDataRequirement[dm_id],tblDataRequirement[dm_phase])</f>
        <v>operate</v>
      </c>
      <c r="C590" s="1">
        <v>77</v>
      </c>
      <c r="D590" s="1">
        <v>139</v>
      </c>
      <c r="G590" s="1"/>
      <c r="H590" s="62" t="str">
        <f>_xlfn.XLOOKUP(tblRequirementMeasureXref[[#This Row],[msr_id]],tblMeasure[msr_id],tblMeasure[msr_table])</f>
        <v>Table 4</v>
      </c>
      <c r="I590" s="22" t="str">
        <f>_xlfn.XLOOKUP(tblRequirementMeasureXref[[#This Row],[msr_id]],tblMeasure[msr_id],tblMeasure[msr_name])</f>
        <v>Duration of continuing cases of Guardianship under the Mental Health Act 1983 by local authority region, 2007-08 and 2017-18</v>
      </c>
      <c r="J590" s="22" t="str">
        <f>_xlfn.XLOOKUP(tblRequirementMeasureXref[[#This Row],[msr_id]],tblMeasure[msr_id],tblMeasure[primary_dimensions])</f>
        <v>guardianship duration continuing cases</v>
      </c>
      <c r="K590" s="22" t="str">
        <f>_xlfn.XLOOKUP(tblRequirementMeasureXref[[#This Row],[msr_id]],tblMeasure[msr_id],tblMeasure[msr_min_geo_resolution])</f>
        <v>LA</v>
      </c>
      <c r="L590" s="22" t="str">
        <f>_xlfn.XLOOKUP(tblRequirementMeasureXref[[#This Row],[msr_id]],tblMeasure[msr_id],tblMeasure[src_name])</f>
        <v>Guardianship under the Mental Health Act</v>
      </c>
    </row>
    <row r="591" spans="1:12" x14ac:dyDescent="0.15">
      <c r="A591" s="1" t="str">
        <f>_xlfn.XLOOKUP(tblRequirementMeasureXref[[#This Row],[dm_id]],tblDataRequirement[dm_id],tblDataRequirement[domain_sub_requirement])</f>
        <v>Service:Support type:Guardianship</v>
      </c>
      <c r="B591" s="1" t="str">
        <f>_xlfn.XLOOKUP(tblRequirementMeasureXref[[#This Row],[dm_id]],tblDataRequirement[dm_id],tblDataRequirement[dm_phase])</f>
        <v>operate</v>
      </c>
      <c r="C591" s="1">
        <v>77</v>
      </c>
      <c r="D591" s="1">
        <v>140</v>
      </c>
      <c r="G591" s="1"/>
      <c r="H591" s="62" t="str">
        <f>_xlfn.XLOOKUP(tblRequirementMeasureXref[[#This Row],[msr_id]],tblMeasure[msr_id],tblMeasure[msr_table])</f>
        <v>Table 5</v>
      </c>
      <c r="I591" s="22" t="str">
        <f>_xlfn.XLOOKUP(tblRequirementMeasureXref[[#This Row],[msr_id]],tblMeasure[msr_id],tblMeasure[msr_name])</f>
        <v>Duration of closed cases of Guardianship under the Mental Health Act 1983 by local authority region, 2016-17 and 2017-18</v>
      </c>
      <c r="J591" s="22" t="str">
        <f>_xlfn.XLOOKUP(tblRequirementMeasureXref[[#This Row],[msr_id]],tblMeasure[msr_id],tblMeasure[primary_dimensions])</f>
        <v>guardianship duration closed cases</v>
      </c>
      <c r="K591" s="22" t="str">
        <f>_xlfn.XLOOKUP(tblRequirementMeasureXref[[#This Row],[msr_id]],tblMeasure[msr_id],tblMeasure[msr_min_geo_resolution])</f>
        <v>LA</v>
      </c>
      <c r="L591" s="22" t="str">
        <f>_xlfn.XLOOKUP(tblRequirementMeasureXref[[#This Row],[msr_id]],tblMeasure[msr_id],tblMeasure[src_name])</f>
        <v>Guardianship under the Mental Health Act</v>
      </c>
    </row>
    <row r="592" spans="1:12" x14ac:dyDescent="0.15">
      <c r="A592" s="1" t="str">
        <f>_xlfn.XLOOKUP(tblRequirementMeasureXref[[#This Row],[dm_id]],tblDataRequirement[dm_id],tblDataRequirement[domain_sub_requirement])</f>
        <v>Service:Support type:Guardianship</v>
      </c>
      <c r="B592" s="1" t="str">
        <f>_xlfn.XLOOKUP(tblRequirementMeasureXref[[#This Row],[dm_id]],tblDataRequirement[dm_id],tblDataRequirement[dm_phase])</f>
        <v>operate</v>
      </c>
      <c r="C592" s="1">
        <v>77</v>
      </c>
      <c r="D592" s="1">
        <v>141</v>
      </c>
      <c r="G592" s="1"/>
      <c r="H592" s="62" t="str">
        <f>_xlfn.XLOOKUP(tblRequirementMeasureXref[[#This Row],[msr_id]],tblMeasure[msr_id],tblMeasure[msr_table])</f>
        <v>Table 6</v>
      </c>
      <c r="I592" s="22" t="str">
        <f>_xlfn.XLOOKUP(tblRequirementMeasureXref[[#This Row],[msr_id]],tblMeasure[msr_id],tblMeasure[msr_name])</f>
        <v>Cases of guardianship under the Mental Health Act 1983 by region and local authority, 2016-17 and 2017-18 (including duration of closed cases)</v>
      </c>
      <c r="J592" s="22" t="str">
        <f>_xlfn.XLOOKUP(tblRequirementMeasureXref[[#This Row],[msr_id]],tblMeasure[msr_id],tblMeasure[primary_dimensions])</f>
        <v>guardianship cases new/continuing/closed</v>
      </c>
      <c r="K592" s="22" t="str">
        <f>_xlfn.XLOOKUP(tblRequirementMeasureXref[[#This Row],[msr_id]],tblMeasure[msr_id],tblMeasure[msr_min_geo_resolution])</f>
        <v>LA</v>
      </c>
      <c r="L592" s="22" t="str">
        <f>_xlfn.XLOOKUP(tblRequirementMeasureXref[[#This Row],[msr_id]],tblMeasure[msr_id],tblMeasure[src_name])</f>
        <v>Guardianship under the Mental Health Act</v>
      </c>
    </row>
    <row r="593" spans="1:12" x14ac:dyDescent="0.15">
      <c r="A593" s="1" t="str">
        <f>_xlfn.XLOOKUP(tblRequirementMeasureXref[[#This Row],[dm_id]],tblDataRequirement[dm_id],tblDataRequirement[domain_sub_requirement])</f>
        <v>Users:Care need:Disability/Dependence</v>
      </c>
      <c r="B593" s="1" t="str">
        <f>_xlfn.XLOOKUP(tblRequirementMeasureXref[[#This Row],[dm_id]],tblDataRequirement[dm_id],tblDataRequirement[dm_phase])</f>
        <v>demand</v>
      </c>
      <c r="C593" s="1">
        <v>61</v>
      </c>
      <c r="D593" s="1">
        <v>142</v>
      </c>
      <c r="G593" s="1"/>
      <c r="H593" s="62" t="str">
        <f>_xlfn.XLOOKUP(tblRequirementMeasureXref[[#This Row],[msr_id]],tblMeasure[msr_id],tblMeasure[msr_table])</f>
        <v>Table 1</v>
      </c>
      <c r="I593" s="22" t="str">
        <f>_xlfn.XLOOKUP(tblRequirementMeasureXref[[#This Row],[msr_id]],tblMeasure[msr_id],tblMeasure[msr_name])</f>
        <v>Commissioners by submission status and revised patient counts and flow calculated using all submissions</v>
      </c>
      <c r="J593" s="22" t="str">
        <f>_xlfn.XLOOKUP(tblRequirementMeasureXref[[#This Row],[msr_id]],tblMeasure[msr_id],tblMeasure[primary_dimensions])</f>
        <v>commissioners</v>
      </c>
      <c r="K593" s="22" t="str">
        <f>_xlfn.XLOOKUP(tblRequirementMeasureXref[[#This Row],[msr_id]],tblMeasure[msr_id],tblMeasure[msr_min_geo_resolution])</f>
        <v>England</v>
      </c>
      <c r="L593" s="22" t="str">
        <f>_xlfn.XLOOKUP(tblRequirementMeasureXref[[#This Row],[msr_id]],tblMeasure[msr_id],tblMeasure[src_name])</f>
        <v>Learning Disability Services Statistics</v>
      </c>
    </row>
    <row r="594" spans="1:12" x14ac:dyDescent="0.15">
      <c r="A594" s="1" t="str">
        <f>_xlfn.XLOOKUP(tblRequirementMeasureXref[[#This Row],[dm_id]],tblDataRequirement[dm_id],tblDataRequirement[domain_sub_requirement])</f>
        <v>Users:Care need:Disability/Dependence</v>
      </c>
      <c r="B594" s="1" t="str">
        <f>_xlfn.XLOOKUP(tblRequirementMeasureXref[[#This Row],[dm_id]],tblDataRequirement[dm_id],tblDataRequirement[dm_phase])</f>
        <v>demand</v>
      </c>
      <c r="C594" s="1">
        <v>61</v>
      </c>
      <c r="D594" s="1">
        <v>143</v>
      </c>
      <c r="G594" s="1"/>
      <c r="H594" s="62" t="str">
        <f>_xlfn.XLOOKUP(tblRequirementMeasureXref[[#This Row],[msr_id]],tblMeasure[msr_id],tblMeasure[msr_table])</f>
        <v>Table 2</v>
      </c>
      <c r="I594" s="22" t="str">
        <f>_xlfn.XLOOKUP(tblRequirementMeasureXref[[#This Row],[msr_id]],tblMeasure[msr_id],tblMeasure[msr_name])</f>
        <v>Patients by age, gender, ethnicity, diagnoses of learning disability/autism and main diagnostic category on admission.</v>
      </c>
      <c r="J594" s="22" t="str">
        <f>_xlfn.XLOOKUP(tblRequirementMeasureXref[[#This Row],[msr_id]],tblMeasure[msr_id],tblMeasure[primary_dimensions])</f>
        <v>patients, admission type, respite</v>
      </c>
      <c r="K594" s="22" t="str">
        <f>_xlfn.XLOOKUP(tblRequirementMeasureXref[[#This Row],[msr_id]],tblMeasure[msr_id],tblMeasure[msr_min_geo_resolution])</f>
        <v>England</v>
      </c>
      <c r="L594" s="22" t="str">
        <f>_xlfn.XLOOKUP(tblRequirementMeasureXref[[#This Row],[msr_id]],tblMeasure[msr_id],tblMeasure[src_name])</f>
        <v>Learning Disability Services Statistics</v>
      </c>
    </row>
    <row r="595" spans="1:12" x14ac:dyDescent="0.15">
      <c r="A595" s="1" t="str">
        <f>_xlfn.XLOOKUP(tblRequirementMeasureXref[[#This Row],[dm_id]],tblDataRequirement[dm_id],tblDataRequirement[domain_sub_requirement])</f>
        <v>Users:Demographics:Age</v>
      </c>
      <c r="B595" s="1" t="str">
        <f>_xlfn.XLOOKUP(tblRequirementMeasureXref[[#This Row],[dm_id]],tblDataRequirement[dm_id],tblDataRequirement[dm_phase])</f>
        <v>demand</v>
      </c>
      <c r="C595" s="1">
        <v>51</v>
      </c>
      <c r="D595" s="1">
        <v>143</v>
      </c>
      <c r="G595" s="1"/>
      <c r="H595" s="62" t="str">
        <f>_xlfn.XLOOKUP(tblRequirementMeasureXref[[#This Row],[msr_id]],tblMeasure[msr_id],tblMeasure[msr_table])</f>
        <v>Table 2</v>
      </c>
      <c r="I595" s="22" t="str">
        <f>_xlfn.XLOOKUP(tblRequirementMeasureXref[[#This Row],[msr_id]],tblMeasure[msr_id],tblMeasure[msr_name])</f>
        <v>Patients by age, gender, ethnicity, diagnoses of learning disability/autism and main diagnostic category on admission.</v>
      </c>
      <c r="J595" s="22" t="str">
        <f>_xlfn.XLOOKUP(tblRequirementMeasureXref[[#This Row],[msr_id]],tblMeasure[msr_id],tblMeasure[primary_dimensions])</f>
        <v>patients, admission type, respite</v>
      </c>
      <c r="K595" s="22" t="str">
        <f>_xlfn.XLOOKUP(tblRequirementMeasureXref[[#This Row],[msr_id]],tblMeasure[msr_id],tblMeasure[msr_min_geo_resolution])</f>
        <v>England</v>
      </c>
      <c r="L595" s="22" t="str">
        <f>_xlfn.XLOOKUP(tblRequirementMeasureXref[[#This Row],[msr_id]],tblMeasure[msr_id],tblMeasure[src_name])</f>
        <v>Learning Disability Services Statistics</v>
      </c>
    </row>
    <row r="596" spans="1:12" x14ac:dyDescent="0.15">
      <c r="A596" s="1" t="str">
        <f>_xlfn.XLOOKUP(tblRequirementMeasureXref[[#This Row],[dm_id]],tblDataRequirement[dm_id],tblDataRequirement[domain_sub_requirement])</f>
        <v>Users:Demographics:Gender</v>
      </c>
      <c r="B596" s="1" t="str">
        <f>_xlfn.XLOOKUP(tblRequirementMeasureXref[[#This Row],[dm_id]],tblDataRequirement[dm_id],tblDataRequirement[dm_phase])</f>
        <v>demand</v>
      </c>
      <c r="C596" s="1">
        <v>62</v>
      </c>
      <c r="D596" s="1">
        <v>143</v>
      </c>
      <c r="G596" s="1"/>
      <c r="H596" s="62" t="str">
        <f>_xlfn.XLOOKUP(tblRequirementMeasureXref[[#This Row],[msr_id]],tblMeasure[msr_id],tblMeasure[msr_table])</f>
        <v>Table 2</v>
      </c>
      <c r="I596" s="22" t="str">
        <f>_xlfn.XLOOKUP(tblRequirementMeasureXref[[#This Row],[msr_id]],tblMeasure[msr_id],tblMeasure[msr_name])</f>
        <v>Patients by age, gender, ethnicity, diagnoses of learning disability/autism and main diagnostic category on admission.</v>
      </c>
      <c r="J596" s="22" t="str">
        <f>_xlfn.XLOOKUP(tblRequirementMeasureXref[[#This Row],[msr_id]],tblMeasure[msr_id],tblMeasure[primary_dimensions])</f>
        <v>patients, admission type, respite</v>
      </c>
      <c r="K596" s="22" t="str">
        <f>_xlfn.XLOOKUP(tblRequirementMeasureXref[[#This Row],[msr_id]],tblMeasure[msr_id],tblMeasure[msr_min_geo_resolution])</f>
        <v>England</v>
      </c>
      <c r="L596" s="22" t="str">
        <f>_xlfn.XLOOKUP(tblRequirementMeasureXref[[#This Row],[msr_id]],tblMeasure[msr_id],tblMeasure[src_name])</f>
        <v>Learning Disability Services Statistics</v>
      </c>
    </row>
    <row r="597" spans="1:12" x14ac:dyDescent="0.15">
      <c r="A597" s="1" t="str">
        <f>_xlfn.XLOOKUP(tblRequirementMeasureXref[[#This Row],[dm_id]],tblDataRequirement[dm_id],tblDataRequirement[domain_sub_requirement])</f>
        <v>Users:Demographics:Ethnicity</v>
      </c>
      <c r="B597" s="1" t="str">
        <f>_xlfn.XLOOKUP(tblRequirementMeasureXref[[#This Row],[dm_id]],tblDataRequirement[dm_id],tblDataRequirement[dm_phase])</f>
        <v>demand</v>
      </c>
      <c r="C597" s="1">
        <v>73</v>
      </c>
      <c r="D597" s="1">
        <v>143</v>
      </c>
      <c r="G597" s="1"/>
      <c r="H597" s="62" t="str">
        <f>_xlfn.XLOOKUP(tblRequirementMeasureXref[[#This Row],[msr_id]],tblMeasure[msr_id],tblMeasure[msr_table])</f>
        <v>Table 2</v>
      </c>
      <c r="I597" s="22" t="str">
        <f>_xlfn.XLOOKUP(tblRequirementMeasureXref[[#This Row],[msr_id]],tblMeasure[msr_id],tblMeasure[msr_name])</f>
        <v>Patients by age, gender, ethnicity, diagnoses of learning disability/autism and main diagnostic category on admission.</v>
      </c>
      <c r="J597" s="22" t="str">
        <f>_xlfn.XLOOKUP(tblRequirementMeasureXref[[#This Row],[msr_id]],tblMeasure[msr_id],tblMeasure[primary_dimensions])</f>
        <v>patients, admission type, respite</v>
      </c>
      <c r="K597" s="22" t="str">
        <f>_xlfn.XLOOKUP(tblRequirementMeasureXref[[#This Row],[msr_id]],tblMeasure[msr_id],tblMeasure[msr_min_geo_resolution])</f>
        <v>England</v>
      </c>
      <c r="L597" s="22" t="str">
        <f>_xlfn.XLOOKUP(tblRequirementMeasureXref[[#This Row],[msr_id]],tblMeasure[msr_id],tblMeasure[src_name])</f>
        <v>Learning Disability Services Statistics</v>
      </c>
    </row>
    <row r="598" spans="1:12" x14ac:dyDescent="0.15">
      <c r="A598" s="1" t="str">
        <f>_xlfn.XLOOKUP(tblRequirementMeasureXref[[#This Row],[dm_id]],tblDataRequirement[dm_id],tblDataRequirement[domain_sub_requirement])</f>
        <v>Unpaid Carers:Workforce:Workforce</v>
      </c>
      <c r="B598" s="1" t="str">
        <f>_xlfn.XLOOKUP(tblRequirementMeasureXref[[#This Row],[dm_id]],tblDataRequirement[dm_id],tblDataRequirement[dm_phase])</f>
        <v>supply</v>
      </c>
      <c r="C598" s="1">
        <v>19</v>
      </c>
      <c r="D598" s="1">
        <v>143</v>
      </c>
      <c r="G598" s="1"/>
      <c r="H598" s="62" t="str">
        <f>_xlfn.XLOOKUP(tblRequirementMeasureXref[[#This Row],[msr_id]],tblMeasure[msr_id],tblMeasure[msr_table])</f>
        <v>Table 2</v>
      </c>
      <c r="I598" s="22" t="str">
        <f>_xlfn.XLOOKUP(tblRequirementMeasureXref[[#This Row],[msr_id]],tblMeasure[msr_id],tblMeasure[msr_name])</f>
        <v>Patients by age, gender, ethnicity, diagnoses of learning disability/autism and main diagnostic category on admission.</v>
      </c>
      <c r="J598" s="22" t="str">
        <f>_xlfn.XLOOKUP(tblRequirementMeasureXref[[#This Row],[msr_id]],tblMeasure[msr_id],tblMeasure[primary_dimensions])</f>
        <v>patients, admission type, respite</v>
      </c>
      <c r="K598" s="22" t="str">
        <f>_xlfn.XLOOKUP(tblRequirementMeasureXref[[#This Row],[msr_id]],tblMeasure[msr_id],tblMeasure[msr_min_geo_resolution])</f>
        <v>England</v>
      </c>
      <c r="L598" s="22" t="str">
        <f>_xlfn.XLOOKUP(tblRequirementMeasureXref[[#This Row],[msr_id]],tblMeasure[msr_id],tblMeasure[src_name])</f>
        <v>Learning Disability Services Statistics</v>
      </c>
    </row>
    <row r="599" spans="1:12" x14ac:dyDescent="0.15">
      <c r="A599" s="1" t="str">
        <f>_xlfn.XLOOKUP(tblRequirementMeasureXref[[#This Row],[dm_id]],tblDataRequirement[dm_id],tblDataRequirement[domain_sub_requirement])</f>
        <v>Users:Care need:Disability/Dependence</v>
      </c>
      <c r="B599" s="1" t="str">
        <f>_xlfn.XLOOKUP(tblRequirementMeasureXref[[#This Row],[dm_id]],tblDataRequirement[dm_id],tblDataRequirement[dm_phase])</f>
        <v>demand</v>
      </c>
      <c r="C599" s="1">
        <v>61</v>
      </c>
      <c r="D599" s="1">
        <v>144</v>
      </c>
      <c r="G599" s="1"/>
      <c r="H599" s="62" t="str">
        <f>_xlfn.XLOOKUP(tblRequirementMeasureXref[[#This Row],[msr_id]],tblMeasure[msr_id],tblMeasure[msr_table])</f>
        <v>Table 3</v>
      </c>
      <c r="I599" s="22" t="str">
        <f>_xlfn.XLOOKUP(tblRequirementMeasureXref[[#This Row],[msr_id]],tblMeasure[msr_id],tblMeasure[msr_name])</f>
        <v>Patients by inpatient setting, ward security level, CQC compliance, source of admission and legal status.</v>
      </c>
      <c r="J599" s="22" t="str">
        <f>_xlfn.XLOOKUP(tblRequirementMeasureXref[[#This Row],[msr_id]],tblMeasure[msr_id],tblMeasure[primary_dimensions])</f>
        <v>patients, inpatient setting, security, compliance, source, legal status</v>
      </c>
      <c r="K599" s="22" t="str">
        <f>_xlfn.XLOOKUP(tblRequirementMeasureXref[[#This Row],[msr_id]],tblMeasure[msr_id],tblMeasure[msr_min_geo_resolution])</f>
        <v>England</v>
      </c>
      <c r="L599" s="22" t="str">
        <f>_xlfn.XLOOKUP(tblRequirementMeasureXref[[#This Row],[msr_id]],tblMeasure[msr_id],tblMeasure[src_name])</f>
        <v>Learning Disability Services Statistics</v>
      </c>
    </row>
    <row r="600" spans="1:12" x14ac:dyDescent="0.15">
      <c r="A600" s="1" t="str">
        <f>_xlfn.XLOOKUP(tblRequirementMeasureXref[[#This Row],[dm_id]],tblDataRequirement[dm_id],tblDataRequirement[domain_sub_requirement])</f>
        <v>Users:Care need:Support reason</v>
      </c>
      <c r="B600" s="1" t="str">
        <f>_xlfn.XLOOKUP(tblRequirementMeasureXref[[#This Row],[dm_id]],tblDataRequirement[dm_id],tblDataRequirement[dm_phase])</f>
        <v>demand</v>
      </c>
      <c r="C600" s="1">
        <v>56</v>
      </c>
      <c r="D600" s="1">
        <v>144</v>
      </c>
      <c r="G600" s="1"/>
      <c r="H600" s="62" t="str">
        <f>_xlfn.XLOOKUP(tblRequirementMeasureXref[[#This Row],[msr_id]],tblMeasure[msr_id],tblMeasure[msr_table])</f>
        <v>Table 3</v>
      </c>
      <c r="I600" s="22" t="str">
        <f>_xlfn.XLOOKUP(tblRequirementMeasureXref[[#This Row],[msr_id]],tblMeasure[msr_id],tblMeasure[msr_name])</f>
        <v>Patients by inpatient setting, ward security level, CQC compliance, source of admission and legal status.</v>
      </c>
      <c r="J600" s="22" t="str">
        <f>_xlfn.XLOOKUP(tblRequirementMeasureXref[[#This Row],[msr_id]],tblMeasure[msr_id],tblMeasure[primary_dimensions])</f>
        <v>patients, inpatient setting, security, compliance, source, legal status</v>
      </c>
      <c r="K600" s="22" t="str">
        <f>_xlfn.XLOOKUP(tblRequirementMeasureXref[[#This Row],[msr_id]],tblMeasure[msr_id],tblMeasure[msr_min_geo_resolution])</f>
        <v>England</v>
      </c>
      <c r="L600" s="22" t="str">
        <f>_xlfn.XLOOKUP(tblRequirementMeasureXref[[#This Row],[msr_id]],tblMeasure[msr_id],tblMeasure[src_name])</f>
        <v>Learning Disability Services Statistics</v>
      </c>
    </row>
    <row r="601" spans="1:12" x14ac:dyDescent="0.15">
      <c r="A601" s="1" t="str">
        <f>_xlfn.XLOOKUP(tblRequirementMeasureXref[[#This Row],[dm_id]],tblDataRequirement[dm_id],tblDataRequirement[domain_sub_requirement])</f>
        <v>Service:Access:Access route</v>
      </c>
      <c r="B601" s="1" t="str">
        <f>_xlfn.XLOOKUP(tblRequirementMeasureXref[[#This Row],[dm_id]],tblDataRequirement[dm_id],tblDataRequirement[dm_phase])</f>
        <v>demand</v>
      </c>
      <c r="C601" s="1">
        <v>33</v>
      </c>
      <c r="D601" s="1">
        <v>144</v>
      </c>
      <c r="G601" s="1"/>
      <c r="H601" s="62" t="str">
        <f>_xlfn.XLOOKUP(tblRequirementMeasureXref[[#This Row],[msr_id]],tblMeasure[msr_id],tblMeasure[msr_table])</f>
        <v>Table 3</v>
      </c>
      <c r="I601" s="22" t="str">
        <f>_xlfn.XLOOKUP(tblRequirementMeasureXref[[#This Row],[msr_id]],tblMeasure[msr_id],tblMeasure[msr_name])</f>
        <v>Patients by inpatient setting, ward security level, CQC compliance, source of admission and legal status.</v>
      </c>
      <c r="J601" s="22" t="str">
        <f>_xlfn.XLOOKUP(tblRequirementMeasureXref[[#This Row],[msr_id]],tblMeasure[msr_id],tblMeasure[primary_dimensions])</f>
        <v>patients, inpatient setting, security, compliance, source, legal status</v>
      </c>
      <c r="K601" s="22" t="str">
        <f>_xlfn.XLOOKUP(tblRequirementMeasureXref[[#This Row],[msr_id]],tblMeasure[msr_id],tblMeasure[msr_min_geo_resolution])</f>
        <v>England</v>
      </c>
      <c r="L601" s="22" t="str">
        <f>_xlfn.XLOOKUP(tblRequirementMeasureXref[[#This Row],[msr_id]],tblMeasure[msr_id],tblMeasure[src_name])</f>
        <v>Learning Disability Services Statistics</v>
      </c>
    </row>
    <row r="602" spans="1:12" x14ac:dyDescent="0.15">
      <c r="A602" s="1" t="str">
        <f>_xlfn.XLOOKUP(tblRequirementMeasureXref[[#This Row],[dm_id]],tblDataRequirement[dm_id],tblDataRequirement[domain_sub_requirement])</f>
        <v>Service:Support type:Guardianship</v>
      </c>
      <c r="B602" s="1" t="str">
        <f>_xlfn.XLOOKUP(tblRequirementMeasureXref[[#This Row],[dm_id]],tblDataRequirement[dm_id],tblDataRequirement[dm_phase])</f>
        <v>operate</v>
      </c>
      <c r="C602" s="1">
        <v>77</v>
      </c>
      <c r="D602" s="1">
        <v>144</v>
      </c>
      <c r="G602" s="1"/>
      <c r="H602" s="62" t="str">
        <f>_xlfn.XLOOKUP(tblRequirementMeasureXref[[#This Row],[msr_id]],tblMeasure[msr_id],tblMeasure[msr_table])</f>
        <v>Table 3</v>
      </c>
      <c r="I602" s="22" t="str">
        <f>_xlfn.XLOOKUP(tblRequirementMeasureXref[[#This Row],[msr_id]],tblMeasure[msr_id],tblMeasure[msr_name])</f>
        <v>Patients by inpatient setting, ward security level, CQC compliance, source of admission and legal status.</v>
      </c>
      <c r="J602" s="22" t="str">
        <f>_xlfn.XLOOKUP(tblRequirementMeasureXref[[#This Row],[msr_id]],tblMeasure[msr_id],tblMeasure[primary_dimensions])</f>
        <v>patients, inpatient setting, security, compliance, source, legal status</v>
      </c>
      <c r="K602" s="22" t="str">
        <f>_xlfn.XLOOKUP(tblRequirementMeasureXref[[#This Row],[msr_id]],tblMeasure[msr_id],tblMeasure[msr_min_geo_resolution])</f>
        <v>England</v>
      </c>
      <c r="L602" s="22" t="str">
        <f>_xlfn.XLOOKUP(tblRequirementMeasureXref[[#This Row],[msr_id]],tblMeasure[msr_id],tblMeasure[src_name])</f>
        <v>Learning Disability Services Statistics</v>
      </c>
    </row>
    <row r="603" spans="1:12" x14ac:dyDescent="0.15">
      <c r="A603" s="1" t="str">
        <f>_xlfn.XLOOKUP(tblRequirementMeasureXref[[#This Row],[dm_id]],tblDataRequirement[dm_id],tblDataRequirement[domain_sub_requirement])</f>
        <v>Service:Support setting:Residential care home</v>
      </c>
      <c r="B603" s="1" t="str">
        <f>_xlfn.XLOOKUP(tblRequirementMeasureXref[[#This Row],[dm_id]],tblDataRequirement[dm_id],tblDataRequirement[dm_phase])</f>
        <v>operate</v>
      </c>
      <c r="C603" s="1">
        <v>41</v>
      </c>
      <c r="D603" s="1">
        <v>144</v>
      </c>
      <c r="G603" s="1"/>
      <c r="H603" s="62" t="str">
        <f>_xlfn.XLOOKUP(tblRequirementMeasureXref[[#This Row],[msr_id]],tblMeasure[msr_id],tblMeasure[msr_table])</f>
        <v>Table 3</v>
      </c>
      <c r="I603" s="22" t="str">
        <f>_xlfn.XLOOKUP(tblRequirementMeasureXref[[#This Row],[msr_id]],tblMeasure[msr_id],tblMeasure[msr_name])</f>
        <v>Patients by inpatient setting, ward security level, CQC compliance, source of admission and legal status.</v>
      </c>
      <c r="J603" s="22" t="str">
        <f>_xlfn.XLOOKUP(tblRequirementMeasureXref[[#This Row],[msr_id]],tblMeasure[msr_id],tblMeasure[primary_dimensions])</f>
        <v>patients, inpatient setting, security, compliance, source, legal status</v>
      </c>
      <c r="K603" s="22" t="str">
        <f>_xlfn.XLOOKUP(tblRequirementMeasureXref[[#This Row],[msr_id]],tblMeasure[msr_id],tblMeasure[msr_min_geo_resolution])</f>
        <v>England</v>
      </c>
      <c r="L603" s="22" t="str">
        <f>_xlfn.XLOOKUP(tblRequirementMeasureXref[[#This Row],[msr_id]],tblMeasure[msr_id],tblMeasure[src_name])</f>
        <v>Learning Disability Services Statistics</v>
      </c>
    </row>
    <row r="604" spans="1:12" x14ac:dyDescent="0.15">
      <c r="A604" s="1" t="str">
        <f>_xlfn.XLOOKUP(tblRequirementMeasureXref[[#This Row],[dm_id]],tblDataRequirement[dm_id],tblDataRequirement[domain_sub_requirement])</f>
        <v>Service:Support setting:Nursing home</v>
      </c>
      <c r="B604" s="1" t="str">
        <f>_xlfn.XLOOKUP(tblRequirementMeasureXref[[#This Row],[dm_id]],tblDataRequirement[dm_id],tblDataRequirement[dm_phase])</f>
        <v>operate</v>
      </c>
      <c r="C604" s="1">
        <v>42</v>
      </c>
      <c r="D604" s="1">
        <v>144</v>
      </c>
      <c r="G604" s="1"/>
      <c r="H604" s="62" t="str">
        <f>_xlfn.XLOOKUP(tblRequirementMeasureXref[[#This Row],[msr_id]],tblMeasure[msr_id],tblMeasure[msr_table])</f>
        <v>Table 3</v>
      </c>
      <c r="I604" s="22" t="str">
        <f>_xlfn.XLOOKUP(tblRequirementMeasureXref[[#This Row],[msr_id]],tblMeasure[msr_id],tblMeasure[msr_name])</f>
        <v>Patients by inpatient setting, ward security level, CQC compliance, source of admission and legal status.</v>
      </c>
      <c r="J604" s="22" t="str">
        <f>_xlfn.XLOOKUP(tblRequirementMeasureXref[[#This Row],[msr_id]],tblMeasure[msr_id],tblMeasure[primary_dimensions])</f>
        <v>patients, inpatient setting, security, compliance, source, legal status</v>
      </c>
      <c r="K604" s="22" t="str">
        <f>_xlfn.XLOOKUP(tblRequirementMeasureXref[[#This Row],[msr_id]],tblMeasure[msr_id],tblMeasure[msr_min_geo_resolution])</f>
        <v>England</v>
      </c>
      <c r="L604" s="22" t="str">
        <f>_xlfn.XLOOKUP(tblRequirementMeasureXref[[#This Row],[msr_id]],tblMeasure[msr_id],tblMeasure[src_name])</f>
        <v>Learning Disability Services Statistics</v>
      </c>
    </row>
    <row r="605" spans="1:12" x14ac:dyDescent="0.15">
      <c r="A605" s="1" t="str">
        <f>_xlfn.XLOOKUP(tblRequirementMeasureXref[[#This Row],[dm_id]],tblDataRequirement[dm_id],tblDataRequirement[domain_sub_requirement])</f>
        <v>Service:Integration:NHS secondary care</v>
      </c>
      <c r="B605" s="1" t="str">
        <f>_xlfn.XLOOKUP(tblRequirementMeasureXref[[#This Row],[dm_id]],tblDataRequirement[dm_id],tblDataRequirement[dm_phase])</f>
        <v>operate</v>
      </c>
      <c r="C605" s="1">
        <v>37</v>
      </c>
      <c r="D605" s="1">
        <v>144</v>
      </c>
      <c r="G605" s="1"/>
      <c r="H605" s="62" t="str">
        <f>_xlfn.XLOOKUP(tblRequirementMeasureXref[[#This Row],[msr_id]],tblMeasure[msr_id],tblMeasure[msr_table])</f>
        <v>Table 3</v>
      </c>
      <c r="I605" s="22" t="str">
        <f>_xlfn.XLOOKUP(tblRequirementMeasureXref[[#This Row],[msr_id]],tblMeasure[msr_id],tblMeasure[msr_name])</f>
        <v>Patients by inpatient setting, ward security level, CQC compliance, source of admission and legal status.</v>
      </c>
      <c r="J605" s="22" t="str">
        <f>_xlfn.XLOOKUP(tblRequirementMeasureXref[[#This Row],[msr_id]],tblMeasure[msr_id],tblMeasure[primary_dimensions])</f>
        <v>patients, inpatient setting, security, compliance, source, legal status</v>
      </c>
      <c r="K605" s="22" t="str">
        <f>_xlfn.XLOOKUP(tblRequirementMeasureXref[[#This Row],[msr_id]],tblMeasure[msr_id],tblMeasure[msr_min_geo_resolution])</f>
        <v>England</v>
      </c>
      <c r="L605" s="22" t="str">
        <f>_xlfn.XLOOKUP(tblRequirementMeasureXref[[#This Row],[msr_id]],tblMeasure[msr_id],tblMeasure[src_name])</f>
        <v>Learning Disability Services Statistics</v>
      </c>
    </row>
    <row r="606" spans="1:12" x14ac:dyDescent="0.15">
      <c r="A606" s="1" t="str">
        <f>_xlfn.XLOOKUP(tblRequirementMeasureXref[[#This Row],[dm_id]],tblDataRequirement[dm_id],tblDataRequirement[domain_sub_requirement])</f>
        <v>Users:Care need:Disability/Dependence</v>
      </c>
      <c r="B606" s="1" t="str">
        <f>_xlfn.XLOOKUP(tblRequirementMeasureXref[[#This Row],[dm_id]],tblDataRequirement[dm_id],tblDataRequirement[dm_phase])</f>
        <v>demand</v>
      </c>
      <c r="C606" s="1">
        <v>61</v>
      </c>
      <c r="D606" s="1">
        <v>145</v>
      </c>
      <c r="G606" s="1"/>
      <c r="H606" s="62" t="str">
        <f>_xlfn.XLOOKUP(tblRequirementMeasureXref[[#This Row],[msr_id]],tblMeasure[msr_id],tblMeasure[msr_table])</f>
        <v>Table 4</v>
      </c>
      <c r="I606" s="22" t="str">
        <f>_xlfn.XLOOKUP(tblRequirementMeasureXref[[#This Row],[msr_id]],tblMeasure[msr_id],tblMeasure[msr_name])</f>
        <v>Patients by named care coordinator and time since last review.</v>
      </c>
      <c r="J606" s="22" t="str">
        <f>_xlfn.XLOOKUP(tblRequirementMeasureXref[[#This Row],[msr_id]],tblMeasure[msr_id],tblMeasure[primary_dimensions])</f>
        <v>patients, coordinator, review</v>
      </c>
      <c r="K606" s="22" t="str">
        <f>_xlfn.XLOOKUP(tblRequirementMeasureXref[[#This Row],[msr_id]],tblMeasure[msr_id],tblMeasure[msr_min_geo_resolution])</f>
        <v>England</v>
      </c>
      <c r="L606" s="22" t="str">
        <f>_xlfn.XLOOKUP(tblRequirementMeasureXref[[#This Row],[msr_id]],tblMeasure[msr_id],tblMeasure[src_name])</f>
        <v>Learning Disability Services Statistics</v>
      </c>
    </row>
    <row r="607" spans="1:12" x14ac:dyDescent="0.15">
      <c r="A607" s="1" t="str">
        <f>_xlfn.XLOOKUP(tblRequirementMeasureXref[[#This Row],[dm_id]],tblDataRequirement[dm_id],tblDataRequirement[domain_sub_requirement])</f>
        <v>Users:Care need:Disability/Dependence</v>
      </c>
      <c r="B607" s="1" t="str">
        <f>_xlfn.XLOOKUP(tblRequirementMeasureXref[[#This Row],[dm_id]],tblDataRequirement[dm_id],tblDataRequirement[dm_phase])</f>
        <v>demand</v>
      </c>
      <c r="C607" s="1">
        <v>61</v>
      </c>
      <c r="D607" s="1">
        <v>146</v>
      </c>
      <c r="G607" s="1"/>
      <c r="H607" s="62" t="str">
        <f>_xlfn.XLOOKUP(tblRequirementMeasureXref[[#This Row],[msr_id]],tblMeasure[msr_id],tblMeasure[msr_table])</f>
        <v>Table 5</v>
      </c>
      <c r="I607" s="22" t="str">
        <f>_xlfn.XLOOKUP(tblRequirementMeasureXref[[#This Row],[msr_id]],tblMeasure[msr_id],tblMeasure[msr_name])</f>
        <v>Patients by planned transfer; time to planned transfer; local authority awareness; setting patient will transfer to; and agreements of transfer plan.</v>
      </c>
      <c r="J607" s="22" t="str">
        <f>_xlfn.XLOOKUP(tblRequirementMeasureXref[[#This Row],[msr_id]],tblMeasure[msr_id],tblMeasure[primary_dimensions])</f>
        <v>patients, planned transfer, LA awareness</v>
      </c>
      <c r="K607" s="22" t="str">
        <f>_xlfn.XLOOKUP(tblRequirementMeasureXref[[#This Row],[msr_id]],tblMeasure[msr_id],tblMeasure[msr_min_geo_resolution])</f>
        <v>England</v>
      </c>
      <c r="L607" s="22" t="str">
        <f>_xlfn.XLOOKUP(tblRequirementMeasureXref[[#This Row],[msr_id]],tblMeasure[msr_id],tblMeasure[src_name])</f>
        <v>Learning Disability Services Statistics</v>
      </c>
    </row>
    <row r="608" spans="1:12" x14ac:dyDescent="0.15">
      <c r="A608" s="1" t="str">
        <f>_xlfn.XLOOKUP(tblRequirementMeasureXref[[#This Row],[dm_id]],tblDataRequirement[dm_id],tblDataRequirement[domain_sub_requirement])</f>
        <v>Users:Care need:Support reason</v>
      </c>
      <c r="B608" s="1" t="str">
        <f>_xlfn.XLOOKUP(tblRequirementMeasureXref[[#This Row],[dm_id]],tblDataRequirement[dm_id],tblDataRequirement[dm_phase])</f>
        <v>demand</v>
      </c>
      <c r="C608" s="1">
        <v>56</v>
      </c>
      <c r="D608" s="1">
        <v>146</v>
      </c>
      <c r="G608" s="1"/>
      <c r="H608" s="62" t="str">
        <f>_xlfn.XLOOKUP(tblRequirementMeasureXref[[#This Row],[msr_id]],tblMeasure[msr_id],tblMeasure[msr_table])</f>
        <v>Table 5</v>
      </c>
      <c r="I608" s="22" t="str">
        <f>_xlfn.XLOOKUP(tblRequirementMeasureXref[[#This Row],[msr_id]],tblMeasure[msr_id],tblMeasure[msr_name])</f>
        <v>Patients by planned transfer; time to planned transfer; local authority awareness; setting patient will transfer to; and agreements of transfer plan.</v>
      </c>
      <c r="J608" s="22" t="str">
        <f>_xlfn.XLOOKUP(tblRequirementMeasureXref[[#This Row],[msr_id]],tblMeasure[msr_id],tblMeasure[primary_dimensions])</f>
        <v>patients, planned transfer, LA awareness</v>
      </c>
      <c r="K608" s="22" t="str">
        <f>_xlfn.XLOOKUP(tblRequirementMeasureXref[[#This Row],[msr_id]],tblMeasure[msr_id],tblMeasure[msr_min_geo_resolution])</f>
        <v>England</v>
      </c>
      <c r="L608" s="22" t="str">
        <f>_xlfn.XLOOKUP(tblRequirementMeasureXref[[#This Row],[msr_id]],tblMeasure[msr_id],tblMeasure[src_name])</f>
        <v>Learning Disability Services Statistics</v>
      </c>
    </row>
    <row r="609" spans="1:12" x14ac:dyDescent="0.15">
      <c r="A609" s="1" t="str">
        <f>_xlfn.XLOOKUP(tblRequirementMeasureXref[[#This Row],[dm_id]],tblDataRequirement[dm_id],tblDataRequirement[domain_sub_requirement])</f>
        <v>Service:Integration:NHS secondary care</v>
      </c>
      <c r="B609" s="1" t="str">
        <f>_xlfn.XLOOKUP(tblRequirementMeasureXref[[#This Row],[dm_id]],tblDataRequirement[dm_id],tblDataRequirement[dm_phase])</f>
        <v>operate</v>
      </c>
      <c r="C609" s="1">
        <v>37</v>
      </c>
      <c r="D609" s="1">
        <v>146</v>
      </c>
      <c r="G609" s="1"/>
      <c r="H609" s="62" t="str">
        <f>_xlfn.XLOOKUP(tblRequirementMeasureXref[[#This Row],[msr_id]],tblMeasure[msr_id],tblMeasure[msr_table])</f>
        <v>Table 5</v>
      </c>
      <c r="I609" s="22" t="str">
        <f>_xlfn.XLOOKUP(tblRequirementMeasureXref[[#This Row],[msr_id]],tblMeasure[msr_id],tblMeasure[msr_name])</f>
        <v>Patients by planned transfer; time to planned transfer; local authority awareness; setting patient will transfer to; and agreements of transfer plan.</v>
      </c>
      <c r="J609" s="22" t="str">
        <f>_xlfn.XLOOKUP(tblRequirementMeasureXref[[#This Row],[msr_id]],tblMeasure[msr_id],tblMeasure[primary_dimensions])</f>
        <v>patients, planned transfer, LA awareness</v>
      </c>
      <c r="K609" s="22" t="str">
        <f>_xlfn.XLOOKUP(tblRequirementMeasureXref[[#This Row],[msr_id]],tblMeasure[msr_id],tblMeasure[msr_min_geo_resolution])</f>
        <v>England</v>
      </c>
      <c r="L609" s="22" t="str">
        <f>_xlfn.XLOOKUP(tblRequirementMeasureXref[[#This Row],[msr_id]],tblMeasure[msr_id],tblMeasure[src_name])</f>
        <v>Learning Disability Services Statistics</v>
      </c>
    </row>
    <row r="610" spans="1:12" x14ac:dyDescent="0.15">
      <c r="A610" s="1" t="str">
        <f>_xlfn.XLOOKUP(tblRequirementMeasureXref[[#This Row],[dm_id]],tblDataRequirement[dm_id],tblDataRequirement[domain_sub_requirement])</f>
        <v>Service:Support setting:Residential care home</v>
      </c>
      <c r="B610" s="1" t="str">
        <f>_xlfn.XLOOKUP(tblRequirementMeasureXref[[#This Row],[dm_id]],tblDataRequirement[dm_id],tblDataRequirement[dm_phase])</f>
        <v>operate</v>
      </c>
      <c r="C610" s="1">
        <v>41</v>
      </c>
      <c r="D610" s="1">
        <v>146</v>
      </c>
      <c r="G610" s="1"/>
      <c r="H610" s="62" t="str">
        <f>_xlfn.XLOOKUP(tblRequirementMeasureXref[[#This Row],[msr_id]],tblMeasure[msr_id],tblMeasure[msr_table])</f>
        <v>Table 5</v>
      </c>
      <c r="I610" s="22" t="str">
        <f>_xlfn.XLOOKUP(tblRequirementMeasureXref[[#This Row],[msr_id]],tblMeasure[msr_id],tblMeasure[msr_name])</f>
        <v>Patients by planned transfer; time to planned transfer; local authority awareness; setting patient will transfer to; and agreements of transfer plan.</v>
      </c>
      <c r="J610" s="22" t="str">
        <f>_xlfn.XLOOKUP(tblRequirementMeasureXref[[#This Row],[msr_id]],tblMeasure[msr_id],tblMeasure[primary_dimensions])</f>
        <v>patients, planned transfer, LA awareness</v>
      </c>
      <c r="K610" s="22" t="str">
        <f>_xlfn.XLOOKUP(tblRequirementMeasureXref[[#This Row],[msr_id]],tblMeasure[msr_id],tblMeasure[msr_min_geo_resolution])</f>
        <v>England</v>
      </c>
      <c r="L610" s="22" t="str">
        <f>_xlfn.XLOOKUP(tblRequirementMeasureXref[[#This Row],[msr_id]],tblMeasure[msr_id],tblMeasure[src_name])</f>
        <v>Learning Disability Services Statistics</v>
      </c>
    </row>
    <row r="611" spans="1:12" x14ac:dyDescent="0.15">
      <c r="A611" s="1" t="str">
        <f>_xlfn.XLOOKUP(tblRequirementMeasureXref[[#This Row],[dm_id]],tblDataRequirement[dm_id],tblDataRequirement[domain_sub_requirement])</f>
        <v>Service:Support setting:Nursing home</v>
      </c>
      <c r="B611" s="1" t="str">
        <f>_xlfn.XLOOKUP(tblRequirementMeasureXref[[#This Row],[dm_id]],tblDataRequirement[dm_id],tblDataRequirement[dm_phase])</f>
        <v>operate</v>
      </c>
      <c r="C611" s="1">
        <v>42</v>
      </c>
      <c r="D611" s="1">
        <v>146</v>
      </c>
      <c r="G611" s="1"/>
      <c r="H611" s="62" t="str">
        <f>_xlfn.XLOOKUP(tblRequirementMeasureXref[[#This Row],[msr_id]],tblMeasure[msr_id],tblMeasure[msr_table])</f>
        <v>Table 5</v>
      </c>
      <c r="I611" s="22" t="str">
        <f>_xlfn.XLOOKUP(tblRequirementMeasureXref[[#This Row],[msr_id]],tblMeasure[msr_id],tblMeasure[msr_name])</f>
        <v>Patients by planned transfer; time to planned transfer; local authority awareness; setting patient will transfer to; and agreements of transfer plan.</v>
      </c>
      <c r="J611" s="22" t="str">
        <f>_xlfn.XLOOKUP(tblRequirementMeasureXref[[#This Row],[msr_id]],tblMeasure[msr_id],tblMeasure[primary_dimensions])</f>
        <v>patients, planned transfer, LA awareness</v>
      </c>
      <c r="K611" s="22" t="str">
        <f>_xlfn.XLOOKUP(tblRequirementMeasureXref[[#This Row],[msr_id]],tblMeasure[msr_id],tblMeasure[msr_min_geo_resolution])</f>
        <v>England</v>
      </c>
      <c r="L611" s="22" t="str">
        <f>_xlfn.XLOOKUP(tblRequirementMeasureXref[[#This Row],[msr_id]],tblMeasure[msr_id],tblMeasure[src_name])</f>
        <v>Learning Disability Services Statistics</v>
      </c>
    </row>
    <row r="612" spans="1:12" x14ac:dyDescent="0.15">
      <c r="A612" s="1" t="str">
        <f>_xlfn.XLOOKUP(tblRequirementMeasureXref[[#This Row],[dm_id]],tblDataRequirement[dm_id],tblDataRequirement[domain_sub_requirement])</f>
        <v>Service:Support setting:Community</v>
      </c>
      <c r="B612" s="1" t="str">
        <f>_xlfn.XLOOKUP(tblRequirementMeasureXref[[#This Row],[dm_id]],tblDataRequirement[dm_id],tblDataRequirement[dm_phase])</f>
        <v>operate</v>
      </c>
      <c r="C612" s="1">
        <v>43</v>
      </c>
      <c r="D612" s="1">
        <v>146</v>
      </c>
      <c r="G612" s="1"/>
      <c r="H612" s="62" t="str">
        <f>_xlfn.XLOOKUP(tblRequirementMeasureXref[[#This Row],[msr_id]],tblMeasure[msr_id],tblMeasure[msr_table])</f>
        <v>Table 5</v>
      </c>
      <c r="I612" s="22" t="str">
        <f>_xlfn.XLOOKUP(tblRequirementMeasureXref[[#This Row],[msr_id]],tblMeasure[msr_id],tblMeasure[msr_name])</f>
        <v>Patients by planned transfer; time to planned transfer; local authority awareness; setting patient will transfer to; and agreements of transfer plan.</v>
      </c>
      <c r="J612" s="22" t="str">
        <f>_xlfn.XLOOKUP(tblRequirementMeasureXref[[#This Row],[msr_id]],tblMeasure[msr_id],tblMeasure[primary_dimensions])</f>
        <v>patients, planned transfer, LA awareness</v>
      </c>
      <c r="K612" s="22" t="str">
        <f>_xlfn.XLOOKUP(tblRequirementMeasureXref[[#This Row],[msr_id]],tblMeasure[msr_id],tblMeasure[msr_min_geo_resolution])</f>
        <v>England</v>
      </c>
      <c r="L612" s="22" t="str">
        <f>_xlfn.XLOOKUP(tblRequirementMeasureXref[[#This Row],[msr_id]],tblMeasure[msr_id],tblMeasure[src_name])</f>
        <v>Learning Disability Services Statistics</v>
      </c>
    </row>
    <row r="613" spans="1:12" x14ac:dyDescent="0.15">
      <c r="A613" s="1" t="str">
        <f>_xlfn.XLOOKUP(tblRequirementMeasureXref[[#This Row],[dm_id]],tblDataRequirement[dm_id],tblDataRequirement[domain_sub_requirement])</f>
        <v>Unpaid Carers:Workforce:Workforce</v>
      </c>
      <c r="B613" s="1" t="str">
        <f>_xlfn.XLOOKUP(tblRequirementMeasureXref[[#This Row],[dm_id]],tblDataRequirement[dm_id],tblDataRequirement[dm_phase])</f>
        <v>supply</v>
      </c>
      <c r="C613" s="1">
        <v>19</v>
      </c>
      <c r="D613" s="1">
        <v>146</v>
      </c>
      <c r="G613" s="1"/>
      <c r="H613" s="62" t="str">
        <f>_xlfn.XLOOKUP(tblRequirementMeasureXref[[#This Row],[msr_id]],tblMeasure[msr_id],tblMeasure[msr_table])</f>
        <v>Table 5</v>
      </c>
      <c r="I613" s="22" t="str">
        <f>_xlfn.XLOOKUP(tblRequirementMeasureXref[[#This Row],[msr_id]],tblMeasure[msr_id],tblMeasure[msr_name])</f>
        <v>Patients by planned transfer; time to planned transfer; local authority awareness; setting patient will transfer to; and agreements of transfer plan.</v>
      </c>
      <c r="J613" s="22" t="str">
        <f>_xlfn.XLOOKUP(tblRequirementMeasureXref[[#This Row],[msr_id]],tblMeasure[msr_id],tblMeasure[primary_dimensions])</f>
        <v>patients, planned transfer, LA awareness</v>
      </c>
      <c r="K613" s="22" t="str">
        <f>_xlfn.XLOOKUP(tblRequirementMeasureXref[[#This Row],[msr_id]],tblMeasure[msr_id],tblMeasure[msr_min_geo_resolution])</f>
        <v>England</v>
      </c>
      <c r="L613" s="22" t="str">
        <f>_xlfn.XLOOKUP(tblRequirementMeasureXref[[#This Row],[msr_id]],tblMeasure[msr_id],tblMeasure[src_name])</f>
        <v>Learning Disability Services Statistics</v>
      </c>
    </row>
    <row r="614" spans="1:12" x14ac:dyDescent="0.15">
      <c r="A614" s="1" t="str">
        <f>_xlfn.XLOOKUP(tblRequirementMeasureXref[[#This Row],[dm_id]],tblDataRequirement[dm_id],tblDataRequirement[domain_sub_requirement])</f>
        <v>Users:Care need:Disability/Dependence</v>
      </c>
      <c r="B614" s="1" t="str">
        <f>_xlfn.XLOOKUP(tblRequirementMeasureXref[[#This Row],[dm_id]],tblDataRequirement[dm_id],tblDataRequirement[dm_phase])</f>
        <v>demand</v>
      </c>
      <c r="C614" s="1">
        <v>61</v>
      </c>
      <c r="D614" s="1">
        <v>147</v>
      </c>
      <c r="G614" s="1"/>
      <c r="H614" s="62" t="str">
        <f>_xlfn.XLOOKUP(tblRequirementMeasureXref[[#This Row],[msr_id]],tblMeasure[msr_id],tblMeasure[msr_table])</f>
        <v>Table 6</v>
      </c>
      <c r="I614" s="22" t="str">
        <f>_xlfn.XLOOKUP(tblRequirementMeasureXref[[#This Row],[msr_id]],tblMeasure[msr_id],tblMeasure[msr_name])</f>
        <v>Patients by whether considered for discharge through CTO, care plan details, reasons for delayed discharge and family involvement.</v>
      </c>
      <c r="J614" s="22" t="str">
        <f>_xlfn.XLOOKUP(tblRequirementMeasureXref[[#This Row],[msr_id]],tblMeasure[msr_id],tblMeasure[primary_dimensions])</f>
        <v>patients, discharge, care plan</v>
      </c>
      <c r="K614" s="22" t="str">
        <f>_xlfn.XLOOKUP(tblRequirementMeasureXref[[#This Row],[msr_id]],tblMeasure[msr_id],tblMeasure[msr_min_geo_resolution])</f>
        <v>England</v>
      </c>
      <c r="L614" s="22" t="str">
        <f>_xlfn.XLOOKUP(tblRequirementMeasureXref[[#This Row],[msr_id]],tblMeasure[msr_id],tblMeasure[src_name])</f>
        <v>Learning Disability Services Statistics</v>
      </c>
    </row>
    <row r="615" spans="1:12" x14ac:dyDescent="0.15">
      <c r="A615" s="1" t="str">
        <f>_xlfn.XLOOKUP(tblRequirementMeasureXref[[#This Row],[dm_id]],tblDataRequirement[dm_id],tblDataRequirement[domain_sub_requirement])</f>
        <v>Users:Care need:Support reason</v>
      </c>
      <c r="B615" s="1" t="str">
        <f>_xlfn.XLOOKUP(tblRequirementMeasureXref[[#This Row],[dm_id]],tblDataRequirement[dm_id],tblDataRequirement[dm_phase])</f>
        <v>demand</v>
      </c>
      <c r="C615" s="1">
        <v>56</v>
      </c>
      <c r="D615" s="1">
        <v>147</v>
      </c>
      <c r="G615" s="1"/>
      <c r="H615" s="62" t="str">
        <f>_xlfn.XLOOKUP(tblRequirementMeasureXref[[#This Row],[msr_id]],tblMeasure[msr_id],tblMeasure[msr_table])</f>
        <v>Table 6</v>
      </c>
      <c r="I615" s="22" t="str">
        <f>_xlfn.XLOOKUP(tblRequirementMeasureXref[[#This Row],[msr_id]],tblMeasure[msr_id],tblMeasure[msr_name])</f>
        <v>Patients by whether considered for discharge through CTO, care plan details, reasons for delayed discharge and family involvement.</v>
      </c>
      <c r="J615" s="22" t="str">
        <f>_xlfn.XLOOKUP(tblRequirementMeasureXref[[#This Row],[msr_id]],tblMeasure[msr_id],tblMeasure[primary_dimensions])</f>
        <v>patients, discharge, care plan</v>
      </c>
      <c r="K615" s="22" t="str">
        <f>_xlfn.XLOOKUP(tblRequirementMeasureXref[[#This Row],[msr_id]],tblMeasure[msr_id],tblMeasure[msr_min_geo_resolution])</f>
        <v>England</v>
      </c>
      <c r="L615" s="22" t="str">
        <f>_xlfn.XLOOKUP(tblRequirementMeasureXref[[#This Row],[msr_id]],tblMeasure[msr_id],tblMeasure[src_name])</f>
        <v>Learning Disability Services Statistics</v>
      </c>
    </row>
    <row r="616" spans="1:12" x14ac:dyDescent="0.15">
      <c r="A616" s="1" t="str">
        <f>_xlfn.XLOOKUP(tblRequirementMeasureXref[[#This Row],[dm_id]],tblDataRequirement[dm_id],tblDataRequirement[domain_sub_requirement])</f>
        <v>Service:Integration:NHS secondary care</v>
      </c>
      <c r="B616" s="1" t="str">
        <f>_xlfn.XLOOKUP(tblRequirementMeasureXref[[#This Row],[dm_id]],tblDataRequirement[dm_id],tblDataRequirement[dm_phase])</f>
        <v>operate</v>
      </c>
      <c r="C616" s="1">
        <v>37</v>
      </c>
      <c r="D616" s="1">
        <v>147</v>
      </c>
      <c r="G616" s="1"/>
      <c r="H616" s="62" t="str">
        <f>_xlfn.XLOOKUP(tblRequirementMeasureXref[[#This Row],[msr_id]],tblMeasure[msr_id],tblMeasure[msr_table])</f>
        <v>Table 6</v>
      </c>
      <c r="I616" s="22" t="str">
        <f>_xlfn.XLOOKUP(tblRequirementMeasureXref[[#This Row],[msr_id]],tblMeasure[msr_id],tblMeasure[msr_name])</f>
        <v>Patients by whether considered for discharge through CTO, care plan details, reasons for delayed discharge and family involvement.</v>
      </c>
      <c r="J616" s="22" t="str">
        <f>_xlfn.XLOOKUP(tblRequirementMeasureXref[[#This Row],[msr_id]],tblMeasure[msr_id],tblMeasure[primary_dimensions])</f>
        <v>patients, discharge, care plan</v>
      </c>
      <c r="K616" s="22" t="str">
        <f>_xlfn.XLOOKUP(tblRequirementMeasureXref[[#This Row],[msr_id]],tblMeasure[msr_id],tblMeasure[msr_min_geo_resolution])</f>
        <v>England</v>
      </c>
      <c r="L616" s="22" t="str">
        <f>_xlfn.XLOOKUP(tblRequirementMeasureXref[[#This Row],[msr_id]],tblMeasure[msr_id],tblMeasure[src_name])</f>
        <v>Learning Disability Services Statistics</v>
      </c>
    </row>
    <row r="617" spans="1:12" x14ac:dyDescent="0.15">
      <c r="A617" s="1" t="str">
        <f>_xlfn.XLOOKUP(tblRequirementMeasureXref[[#This Row],[dm_id]],tblDataRequirement[dm_id],tblDataRequirement[domain_sub_requirement])</f>
        <v>Service:Support setting:Home</v>
      </c>
      <c r="B617" s="1" t="str">
        <f>_xlfn.XLOOKUP(tblRequirementMeasureXref[[#This Row],[dm_id]],tblDataRequirement[dm_id],tblDataRequirement[dm_phase])</f>
        <v>operate</v>
      </c>
      <c r="C617" s="1">
        <v>40</v>
      </c>
      <c r="D617" s="1">
        <v>147</v>
      </c>
      <c r="G617" s="1"/>
      <c r="H617" s="62" t="str">
        <f>_xlfn.XLOOKUP(tblRequirementMeasureXref[[#This Row],[msr_id]],tblMeasure[msr_id],tblMeasure[msr_table])</f>
        <v>Table 6</v>
      </c>
      <c r="I617" s="22" t="str">
        <f>_xlfn.XLOOKUP(tblRequirementMeasureXref[[#This Row],[msr_id]],tblMeasure[msr_id],tblMeasure[msr_name])</f>
        <v>Patients by whether considered for discharge through CTO, care plan details, reasons for delayed discharge and family involvement.</v>
      </c>
      <c r="J617" s="22" t="str">
        <f>_xlfn.XLOOKUP(tblRequirementMeasureXref[[#This Row],[msr_id]],tblMeasure[msr_id],tblMeasure[primary_dimensions])</f>
        <v>patients, discharge, care plan</v>
      </c>
      <c r="K617" s="22" t="str">
        <f>_xlfn.XLOOKUP(tblRequirementMeasureXref[[#This Row],[msr_id]],tblMeasure[msr_id],tblMeasure[msr_min_geo_resolution])</f>
        <v>England</v>
      </c>
      <c r="L617" s="22" t="str">
        <f>_xlfn.XLOOKUP(tblRequirementMeasureXref[[#This Row],[msr_id]],tblMeasure[msr_id],tblMeasure[src_name])</f>
        <v>Learning Disability Services Statistics</v>
      </c>
    </row>
    <row r="618" spans="1:12" x14ac:dyDescent="0.15">
      <c r="A618" s="1" t="str">
        <f>_xlfn.XLOOKUP(tblRequirementMeasureXref[[#This Row],[dm_id]],tblDataRequirement[dm_id],tblDataRequirement[domain_sub_requirement])</f>
        <v>Service:Support setting:Residential care home</v>
      </c>
      <c r="B618" s="1" t="str">
        <f>_xlfn.XLOOKUP(tblRequirementMeasureXref[[#This Row],[dm_id]],tblDataRequirement[dm_id],tblDataRequirement[dm_phase])</f>
        <v>operate</v>
      </c>
      <c r="C618" s="1">
        <v>41</v>
      </c>
      <c r="D618" s="1">
        <v>147</v>
      </c>
      <c r="G618" s="1"/>
      <c r="H618" s="62" t="str">
        <f>_xlfn.XLOOKUP(tblRequirementMeasureXref[[#This Row],[msr_id]],tblMeasure[msr_id],tblMeasure[msr_table])</f>
        <v>Table 6</v>
      </c>
      <c r="I618" s="22" t="str">
        <f>_xlfn.XLOOKUP(tblRequirementMeasureXref[[#This Row],[msr_id]],tblMeasure[msr_id],tblMeasure[msr_name])</f>
        <v>Patients by whether considered for discharge through CTO, care plan details, reasons for delayed discharge and family involvement.</v>
      </c>
      <c r="J618" s="22" t="str">
        <f>_xlfn.XLOOKUP(tblRequirementMeasureXref[[#This Row],[msr_id]],tblMeasure[msr_id],tblMeasure[primary_dimensions])</f>
        <v>patients, discharge, care plan</v>
      </c>
      <c r="K618" s="22" t="str">
        <f>_xlfn.XLOOKUP(tblRequirementMeasureXref[[#This Row],[msr_id]],tblMeasure[msr_id],tblMeasure[msr_min_geo_resolution])</f>
        <v>England</v>
      </c>
      <c r="L618" s="22" t="str">
        <f>_xlfn.XLOOKUP(tblRequirementMeasureXref[[#This Row],[msr_id]],tblMeasure[msr_id],tblMeasure[src_name])</f>
        <v>Learning Disability Services Statistics</v>
      </c>
    </row>
    <row r="619" spans="1:12" x14ac:dyDescent="0.15">
      <c r="A619" s="1" t="str">
        <f>_xlfn.XLOOKUP(tblRequirementMeasureXref[[#This Row],[dm_id]],tblDataRequirement[dm_id],tblDataRequirement[domain_sub_requirement])</f>
        <v>Service:Support setting:Nursing home</v>
      </c>
      <c r="B619" s="1" t="str">
        <f>_xlfn.XLOOKUP(tblRequirementMeasureXref[[#This Row],[dm_id]],tblDataRequirement[dm_id],tblDataRequirement[dm_phase])</f>
        <v>operate</v>
      </c>
      <c r="C619" s="1">
        <v>42</v>
      </c>
      <c r="D619" s="1">
        <v>147</v>
      </c>
      <c r="G619" s="1"/>
      <c r="H619" s="62" t="str">
        <f>_xlfn.XLOOKUP(tblRequirementMeasureXref[[#This Row],[msr_id]],tblMeasure[msr_id],tblMeasure[msr_table])</f>
        <v>Table 6</v>
      </c>
      <c r="I619" s="22" t="str">
        <f>_xlfn.XLOOKUP(tblRequirementMeasureXref[[#This Row],[msr_id]],tblMeasure[msr_id],tblMeasure[msr_name])</f>
        <v>Patients by whether considered for discharge through CTO, care plan details, reasons for delayed discharge and family involvement.</v>
      </c>
      <c r="J619" s="22" t="str">
        <f>_xlfn.XLOOKUP(tblRequirementMeasureXref[[#This Row],[msr_id]],tblMeasure[msr_id],tblMeasure[primary_dimensions])</f>
        <v>patients, discharge, care plan</v>
      </c>
      <c r="K619" s="22" t="str">
        <f>_xlfn.XLOOKUP(tblRequirementMeasureXref[[#This Row],[msr_id]],tblMeasure[msr_id],tblMeasure[msr_min_geo_resolution])</f>
        <v>England</v>
      </c>
      <c r="L619" s="22" t="str">
        <f>_xlfn.XLOOKUP(tblRequirementMeasureXref[[#This Row],[msr_id]],tblMeasure[msr_id],tblMeasure[src_name])</f>
        <v>Learning Disability Services Statistics</v>
      </c>
    </row>
    <row r="620" spans="1:12" x14ac:dyDescent="0.15">
      <c r="A620" s="1" t="str">
        <f>_xlfn.XLOOKUP(tblRequirementMeasureXref[[#This Row],[dm_id]],tblDataRequirement[dm_id],tblDataRequirement[domain_sub_requirement])</f>
        <v>Service:Support setting:Community</v>
      </c>
      <c r="B620" s="1" t="str">
        <f>_xlfn.XLOOKUP(tblRequirementMeasureXref[[#This Row],[dm_id]],tblDataRequirement[dm_id],tblDataRequirement[dm_phase])</f>
        <v>operate</v>
      </c>
      <c r="C620" s="1">
        <v>43</v>
      </c>
      <c r="D620" s="1">
        <v>147</v>
      </c>
      <c r="G620" s="1"/>
      <c r="H620" s="62" t="str">
        <f>_xlfn.XLOOKUP(tblRequirementMeasureXref[[#This Row],[msr_id]],tblMeasure[msr_id],tblMeasure[msr_table])</f>
        <v>Table 6</v>
      </c>
      <c r="I620" s="22" t="str">
        <f>_xlfn.XLOOKUP(tblRequirementMeasureXref[[#This Row],[msr_id]],tblMeasure[msr_id],tblMeasure[msr_name])</f>
        <v>Patients by whether considered for discharge through CTO, care plan details, reasons for delayed discharge and family involvement.</v>
      </c>
      <c r="J620" s="22" t="str">
        <f>_xlfn.XLOOKUP(tblRequirementMeasureXref[[#This Row],[msr_id]],tblMeasure[msr_id],tblMeasure[primary_dimensions])</f>
        <v>patients, discharge, care plan</v>
      </c>
      <c r="K620" s="22" t="str">
        <f>_xlfn.XLOOKUP(tblRequirementMeasureXref[[#This Row],[msr_id]],tblMeasure[msr_id],tblMeasure[msr_min_geo_resolution])</f>
        <v>England</v>
      </c>
      <c r="L620" s="22" t="str">
        <f>_xlfn.XLOOKUP(tblRequirementMeasureXref[[#This Row],[msr_id]],tblMeasure[msr_id],tblMeasure[src_name])</f>
        <v>Learning Disability Services Statistics</v>
      </c>
    </row>
    <row r="621" spans="1:12" x14ac:dyDescent="0.15">
      <c r="A621" s="1" t="str">
        <f>_xlfn.XLOOKUP(tblRequirementMeasureXref[[#This Row],[dm_id]],tblDataRequirement[dm_id],tblDataRequirement[domain_sub_requirement])</f>
        <v>Users:Care need:Disability/Dependence</v>
      </c>
      <c r="B621" s="1" t="str">
        <f>_xlfn.XLOOKUP(tblRequirementMeasureXref[[#This Row],[dm_id]],tblDataRequirement[dm_id],tblDataRequirement[dm_phase])</f>
        <v>demand</v>
      </c>
      <c r="C621" s="1">
        <v>61</v>
      </c>
      <c r="D621" s="1">
        <v>148</v>
      </c>
      <c r="G621" s="1"/>
      <c r="H621" s="62" t="str">
        <f>_xlfn.XLOOKUP(tblRequirementMeasureXref[[#This Row],[msr_id]],tblMeasure[msr_id],tblMeasure[msr_table])</f>
        <v>Table 7</v>
      </c>
      <c r="I621" s="22" t="str">
        <f>_xlfn.XLOOKUP(tblRequirementMeasureXref[[#This Row],[msr_id]],tblMeasure[msr_id],tblMeasure[msr_name])</f>
        <v>Patients by use of independent advocacy, type of advocates used and reason why advocacy was not used.</v>
      </c>
      <c r="J621" s="22" t="str">
        <f>_xlfn.XLOOKUP(tblRequirementMeasureXref[[#This Row],[msr_id]],tblMeasure[msr_id],tblMeasure[primary_dimensions])</f>
        <v>patients, advocacy</v>
      </c>
      <c r="K621" s="22" t="str">
        <f>_xlfn.XLOOKUP(tblRequirementMeasureXref[[#This Row],[msr_id]],tblMeasure[msr_id],tblMeasure[msr_min_geo_resolution])</f>
        <v>England</v>
      </c>
      <c r="L621" s="22" t="str">
        <f>_xlfn.XLOOKUP(tblRequirementMeasureXref[[#This Row],[msr_id]],tblMeasure[msr_id],tblMeasure[src_name])</f>
        <v>Learning Disability Services Statistics</v>
      </c>
    </row>
    <row r="622" spans="1:12" x14ac:dyDescent="0.15">
      <c r="A622" s="1" t="str">
        <f>_xlfn.XLOOKUP(tblRequirementMeasureXref[[#This Row],[dm_id]],tblDataRequirement[dm_id],tblDataRequirement[domain_sub_requirement])</f>
        <v>Users:Care need:Disability/Dependence</v>
      </c>
      <c r="B622" s="1" t="str">
        <f>_xlfn.XLOOKUP(tblRequirementMeasureXref[[#This Row],[dm_id]],tblDataRequirement[dm_id],tblDataRequirement[dm_phase])</f>
        <v>demand</v>
      </c>
      <c r="C622" s="1">
        <v>61</v>
      </c>
      <c r="D622" s="1">
        <v>149</v>
      </c>
      <c r="G622" s="1"/>
      <c r="H622" s="62" t="str">
        <f>_xlfn.XLOOKUP(tblRequirementMeasureXref[[#This Row],[msr_id]],tblMeasure[msr_id],tblMeasure[msr_table])</f>
        <v>Table 8</v>
      </c>
      <c r="I622" s="22" t="str">
        <f>_xlfn.XLOOKUP(tblRequirementMeasureXref[[#This Row],[msr_id]],tblMeasure[msr_id],tblMeasure[msr_name])</f>
        <v>Patients by length of stay with current provider, total length of stay as part of continuous period of care.</v>
      </c>
      <c r="J622" s="22" t="str">
        <f>_xlfn.XLOOKUP(tblRequirementMeasureXref[[#This Row],[msr_id]],tblMeasure[msr_id],tblMeasure[primary_dimensions])</f>
        <v>patients, length of stay</v>
      </c>
      <c r="K622" s="22" t="str">
        <f>_xlfn.XLOOKUP(tblRequirementMeasureXref[[#This Row],[msr_id]],tblMeasure[msr_id],tblMeasure[msr_min_geo_resolution])</f>
        <v>England</v>
      </c>
      <c r="L622" s="22" t="str">
        <f>_xlfn.XLOOKUP(tblRequirementMeasureXref[[#This Row],[msr_id]],tblMeasure[msr_id],tblMeasure[src_name])</f>
        <v>Learning Disability Services Statistics</v>
      </c>
    </row>
    <row r="623" spans="1:12" x14ac:dyDescent="0.15">
      <c r="A623" s="1" t="str">
        <f>_xlfn.XLOOKUP(tblRequirementMeasureXref[[#This Row],[dm_id]],tblDataRequirement[dm_id],tblDataRequirement[domain_sub_requirement])</f>
        <v>Users:Care need:Disability/Dependence</v>
      </c>
      <c r="B623" s="1" t="str">
        <f>_xlfn.XLOOKUP(tblRequirementMeasureXref[[#This Row],[dm_id]],tblDataRequirement[dm_id],tblDataRequirement[dm_phase])</f>
        <v>demand</v>
      </c>
      <c r="C623" s="1">
        <v>61</v>
      </c>
      <c r="D623" s="1">
        <v>151</v>
      </c>
      <c r="G623" s="1"/>
      <c r="H623" s="62" t="str">
        <f>_xlfn.XLOOKUP(tblRequirementMeasureXref[[#This Row],[msr_id]],tblMeasure[msr_id],tblMeasure[msr_table])</f>
        <v>Table 10a</v>
      </c>
      <c r="I623" s="22" t="str">
        <f>_xlfn.XLOOKUP(tblRequirementMeasureXref[[#This Row],[msr_id]],tblMeasure[msr_id],tblMeasure[msr_name])</f>
        <v>Patients by TCP and originating CCG cross referenced by CCG and Hub</v>
      </c>
      <c r="J623" s="22" t="str">
        <f>_xlfn.XLOOKUP(tblRequirementMeasureXref[[#This Row],[msr_id]],tblMeasure[msr_id],tblMeasure[primary_dimensions])</f>
        <v>patients</v>
      </c>
      <c r="K623" s="22" t="str">
        <f>_xlfn.XLOOKUP(tblRequirementMeasureXref[[#This Row],[msr_id]],tblMeasure[msr_id],tblMeasure[msr_min_geo_resolution])</f>
        <v>CCG, TCP</v>
      </c>
      <c r="L623" s="22" t="str">
        <f>_xlfn.XLOOKUP(tblRequirementMeasureXref[[#This Row],[msr_id]],tblMeasure[msr_id],tblMeasure[src_name])</f>
        <v>Learning Disability Services Statistics</v>
      </c>
    </row>
    <row r="624" spans="1:12" x14ac:dyDescent="0.15">
      <c r="A624" s="1" t="str">
        <f>_xlfn.XLOOKUP(tblRequirementMeasureXref[[#This Row],[dm_id]],tblDataRequirement[dm_id],tblDataRequirement[domain_sub_requirement])</f>
        <v>Users:Care need:Disability/Dependence</v>
      </c>
      <c r="B624" s="1" t="str">
        <f>_xlfn.XLOOKUP(tblRequirementMeasureXref[[#This Row],[dm_id]],tblDataRequirement[dm_id],tblDataRequirement[dm_phase])</f>
        <v>demand</v>
      </c>
      <c r="C624" s="1">
        <v>61</v>
      </c>
      <c r="D624" s="1">
        <v>152</v>
      </c>
      <c r="G624" s="1"/>
      <c r="H624" s="62" t="str">
        <f>_xlfn.XLOOKUP(tblRequirementMeasureXref[[#This Row],[msr_id]],tblMeasure[msr_id],tblMeasure[msr_table])</f>
        <v>Table 10b</v>
      </c>
      <c r="I624" s="22" t="str">
        <f>_xlfn.XLOOKUP(tblRequirementMeasureXref[[#This Row],[msr_id]],tblMeasure[msr_id],tblMeasure[msr_name])</f>
        <v>Adult only Learning Disabilities Inpatient Rate by Transforming Care Partnership</v>
      </c>
      <c r="J624" s="22" t="str">
        <f>_xlfn.XLOOKUP(tblRequirementMeasureXref[[#This Row],[msr_id]],tblMeasure[msr_id],tblMeasure[primary_dimensions])</f>
        <v>patients</v>
      </c>
      <c r="K624" s="22" t="str">
        <f>_xlfn.XLOOKUP(tblRequirementMeasureXref[[#This Row],[msr_id]],tblMeasure[msr_id],tblMeasure[msr_min_geo_resolution])</f>
        <v>TCP</v>
      </c>
      <c r="L624" s="22" t="str">
        <f>_xlfn.XLOOKUP(tblRequirementMeasureXref[[#This Row],[msr_id]],tblMeasure[msr_id],tblMeasure[src_name])</f>
        <v>Learning Disability Services Statistics</v>
      </c>
    </row>
    <row r="625" spans="1:12" x14ac:dyDescent="0.15">
      <c r="A625" s="1" t="str">
        <f>_xlfn.XLOOKUP(tblRequirementMeasureXref[[#This Row],[dm_id]],tblDataRequirement[dm_id],tblDataRequirement[domain_sub_requirement])</f>
        <v>Users:Care need:Disability/Dependence</v>
      </c>
      <c r="B625" s="1" t="str">
        <f>_xlfn.XLOOKUP(tblRequirementMeasureXref[[#This Row],[dm_id]],tblDataRequirement[dm_id],tblDataRequirement[dm_phase])</f>
        <v>demand</v>
      </c>
      <c r="C625" s="1">
        <v>61</v>
      </c>
      <c r="D625" s="1">
        <v>153</v>
      </c>
      <c r="G625" s="1"/>
      <c r="H625" s="62" t="str">
        <f>_xlfn.XLOOKUP(tblRequirementMeasureXref[[#This Row],[msr_id]],tblMeasure[msr_id],tblMeasure[msr_table])</f>
        <v>Table 11</v>
      </c>
      <c r="I625" s="22" t="str">
        <f>_xlfn.XLOOKUP(tblRequirementMeasureXref[[#This Row],[msr_id]],tblMeasure[msr_id],tblMeasure[msr_name])</f>
        <v>Patients by provider</v>
      </c>
      <c r="J625" s="22" t="str">
        <f>_xlfn.XLOOKUP(tblRequirementMeasureXref[[#This Row],[msr_id]],tblMeasure[msr_id],tblMeasure[primary_dimensions])</f>
        <v>patients</v>
      </c>
      <c r="K625" s="22" t="str">
        <f>_xlfn.XLOOKUP(tblRequirementMeasureXref[[#This Row],[msr_id]],tblMeasure[msr_id],tblMeasure[msr_min_geo_resolution])</f>
        <v>Trust</v>
      </c>
      <c r="L625" s="22" t="str">
        <f>_xlfn.XLOOKUP(tblRequirementMeasureXref[[#This Row],[msr_id]],tblMeasure[msr_id],tblMeasure[src_name])</f>
        <v>Learning Disability Services Statistics</v>
      </c>
    </row>
    <row r="626" spans="1:12" x14ac:dyDescent="0.15">
      <c r="A626" s="1" t="str">
        <f>_xlfn.XLOOKUP(tblRequirementMeasureXref[[#This Row],[dm_id]],tblDataRequirement[dm_id],tblDataRequirement[domain_sub_requirement])</f>
        <v>Users:Care need:Disability/Dependence</v>
      </c>
      <c r="B626" s="1" t="str">
        <f>_xlfn.XLOOKUP(tblRequirementMeasureXref[[#This Row],[dm_id]],tblDataRequirement[dm_id],tblDataRequirement[dm_phase])</f>
        <v>demand</v>
      </c>
      <c r="C626" s="1">
        <v>61</v>
      </c>
      <c r="D626" s="1">
        <v>154</v>
      </c>
      <c r="G626" s="1"/>
      <c r="H626" s="62" t="str">
        <f>_xlfn.XLOOKUP(tblRequirementMeasureXref[[#This Row],[msr_id]],tblMeasure[msr_id],tblMeasure[msr_table])</f>
        <v>Table 12</v>
      </c>
      <c r="I626" s="22" t="str">
        <f>_xlfn.XLOOKUP(tblRequirementMeasureXref[[#This Row],[msr_id]],tblMeasure[msr_id],tblMeasure[msr_name])</f>
        <v>Patient admissions within the month by admissions status; Care and Treatment Review on admission</v>
      </c>
      <c r="J626" s="22" t="str">
        <f>_xlfn.XLOOKUP(tblRequirementMeasureXref[[#This Row],[msr_id]],tblMeasure[msr_id],tblMeasure[primary_dimensions])</f>
        <v>patient admissions, status, review</v>
      </c>
      <c r="K626" s="22" t="str">
        <f>_xlfn.XLOOKUP(tblRequirementMeasureXref[[#This Row],[msr_id]],tblMeasure[msr_id],tblMeasure[msr_min_geo_resolution])</f>
        <v>England</v>
      </c>
      <c r="L626" s="22" t="str">
        <f>_xlfn.XLOOKUP(tblRequirementMeasureXref[[#This Row],[msr_id]],tblMeasure[msr_id],tblMeasure[src_name])</f>
        <v>Learning Disability Services Statistics</v>
      </c>
    </row>
    <row r="627" spans="1:12" x14ac:dyDescent="0.15">
      <c r="A627" s="1" t="str">
        <f>_xlfn.XLOOKUP(tblRequirementMeasureXref[[#This Row],[dm_id]],tblDataRequirement[dm_id],tblDataRequirement[domain_sub_requirement])</f>
        <v>Users:Care need:Support reason</v>
      </c>
      <c r="B627" s="1" t="str">
        <f>_xlfn.XLOOKUP(tblRequirementMeasureXref[[#This Row],[dm_id]],tblDataRequirement[dm_id],tblDataRequirement[dm_phase])</f>
        <v>demand</v>
      </c>
      <c r="C627" s="1">
        <v>56</v>
      </c>
      <c r="D627" s="1">
        <v>154</v>
      </c>
      <c r="G627" s="1"/>
      <c r="H627" s="62" t="str">
        <f>_xlfn.XLOOKUP(tblRequirementMeasureXref[[#This Row],[msr_id]],tblMeasure[msr_id],tblMeasure[msr_table])</f>
        <v>Table 12</v>
      </c>
      <c r="I627" s="22" t="str">
        <f>_xlfn.XLOOKUP(tblRequirementMeasureXref[[#This Row],[msr_id]],tblMeasure[msr_id],tblMeasure[msr_name])</f>
        <v>Patient admissions within the month by admissions status; Care and Treatment Review on admission</v>
      </c>
      <c r="J627" s="22" t="str">
        <f>_xlfn.XLOOKUP(tblRequirementMeasureXref[[#This Row],[msr_id]],tblMeasure[msr_id],tblMeasure[primary_dimensions])</f>
        <v>patient admissions, status, review</v>
      </c>
      <c r="K627" s="22" t="str">
        <f>_xlfn.XLOOKUP(tblRequirementMeasureXref[[#This Row],[msr_id]],tblMeasure[msr_id],tblMeasure[msr_min_geo_resolution])</f>
        <v>England</v>
      </c>
      <c r="L627" s="22" t="str">
        <f>_xlfn.XLOOKUP(tblRequirementMeasureXref[[#This Row],[msr_id]],tblMeasure[msr_id],tblMeasure[src_name])</f>
        <v>Learning Disability Services Statistics</v>
      </c>
    </row>
    <row r="628" spans="1:12" x14ac:dyDescent="0.15">
      <c r="A628" s="1" t="str">
        <f>_xlfn.XLOOKUP(tblRequirementMeasureXref[[#This Row],[dm_id]],tblDataRequirement[dm_id],tblDataRequirement[domain_sub_requirement])</f>
        <v>Service:Support setting:Residential care home</v>
      </c>
      <c r="B628" s="1" t="str">
        <f>_xlfn.XLOOKUP(tblRequirementMeasureXref[[#This Row],[dm_id]],tblDataRequirement[dm_id],tblDataRequirement[dm_phase])</f>
        <v>operate</v>
      </c>
      <c r="C628" s="1">
        <v>41</v>
      </c>
      <c r="D628" s="1">
        <v>154</v>
      </c>
      <c r="G628" s="1"/>
      <c r="H628" s="62" t="str">
        <f>_xlfn.XLOOKUP(tblRequirementMeasureXref[[#This Row],[msr_id]],tblMeasure[msr_id],tblMeasure[msr_table])</f>
        <v>Table 12</v>
      </c>
      <c r="I628" s="22" t="str">
        <f>_xlfn.XLOOKUP(tblRequirementMeasureXref[[#This Row],[msr_id]],tblMeasure[msr_id],tblMeasure[msr_name])</f>
        <v>Patient admissions within the month by admissions status; Care and Treatment Review on admission</v>
      </c>
      <c r="J628" s="22" t="str">
        <f>_xlfn.XLOOKUP(tblRequirementMeasureXref[[#This Row],[msr_id]],tblMeasure[msr_id],tblMeasure[primary_dimensions])</f>
        <v>patient admissions, status, review</v>
      </c>
      <c r="K628" s="22" t="str">
        <f>_xlfn.XLOOKUP(tblRequirementMeasureXref[[#This Row],[msr_id]],tblMeasure[msr_id],tblMeasure[msr_min_geo_resolution])</f>
        <v>England</v>
      </c>
      <c r="L628" s="22" t="str">
        <f>_xlfn.XLOOKUP(tblRequirementMeasureXref[[#This Row],[msr_id]],tblMeasure[msr_id],tblMeasure[src_name])</f>
        <v>Learning Disability Services Statistics</v>
      </c>
    </row>
    <row r="629" spans="1:12" x14ac:dyDescent="0.15">
      <c r="A629" s="1" t="str">
        <f>_xlfn.XLOOKUP(tblRequirementMeasureXref[[#This Row],[dm_id]],tblDataRequirement[dm_id],tblDataRequirement[domain_sub_requirement])</f>
        <v>Service:Support setting:Nursing home</v>
      </c>
      <c r="B629" s="1" t="str">
        <f>_xlfn.XLOOKUP(tblRequirementMeasureXref[[#This Row],[dm_id]],tblDataRequirement[dm_id],tblDataRequirement[dm_phase])</f>
        <v>operate</v>
      </c>
      <c r="C629" s="1">
        <v>42</v>
      </c>
      <c r="D629" s="1">
        <v>154</v>
      </c>
      <c r="G629" s="1"/>
      <c r="H629" s="62" t="str">
        <f>_xlfn.XLOOKUP(tblRequirementMeasureXref[[#This Row],[msr_id]],tblMeasure[msr_id],tblMeasure[msr_table])</f>
        <v>Table 12</v>
      </c>
      <c r="I629" s="22" t="str">
        <f>_xlfn.XLOOKUP(tblRequirementMeasureXref[[#This Row],[msr_id]],tblMeasure[msr_id],tblMeasure[msr_name])</f>
        <v>Patient admissions within the month by admissions status; Care and Treatment Review on admission</v>
      </c>
      <c r="J629" s="22" t="str">
        <f>_xlfn.XLOOKUP(tblRequirementMeasureXref[[#This Row],[msr_id]],tblMeasure[msr_id],tblMeasure[primary_dimensions])</f>
        <v>patient admissions, status, review</v>
      </c>
      <c r="K629" s="22" t="str">
        <f>_xlfn.XLOOKUP(tblRequirementMeasureXref[[#This Row],[msr_id]],tblMeasure[msr_id],tblMeasure[msr_min_geo_resolution])</f>
        <v>England</v>
      </c>
      <c r="L629" s="22" t="str">
        <f>_xlfn.XLOOKUP(tblRequirementMeasureXref[[#This Row],[msr_id]],tblMeasure[msr_id],tblMeasure[src_name])</f>
        <v>Learning Disability Services Statistics</v>
      </c>
    </row>
    <row r="630" spans="1:12" x14ac:dyDescent="0.15">
      <c r="A630" s="1" t="str">
        <f>_xlfn.XLOOKUP(tblRequirementMeasureXref[[#This Row],[dm_id]],tblDataRequirement[dm_id],tblDataRequirement[domain_sub_requirement])</f>
        <v>Service:Integration:NHS secondary care</v>
      </c>
      <c r="B630" s="1" t="str">
        <f>_xlfn.XLOOKUP(tblRequirementMeasureXref[[#This Row],[dm_id]],tblDataRequirement[dm_id],tblDataRequirement[dm_phase])</f>
        <v>operate</v>
      </c>
      <c r="C630" s="1">
        <v>37</v>
      </c>
      <c r="D630" s="1">
        <v>154</v>
      </c>
      <c r="G630" s="1"/>
      <c r="H630" s="62" t="str">
        <f>_xlfn.XLOOKUP(tblRequirementMeasureXref[[#This Row],[msr_id]],tblMeasure[msr_id],tblMeasure[msr_table])</f>
        <v>Table 12</v>
      </c>
      <c r="I630" s="22" t="str">
        <f>_xlfn.XLOOKUP(tblRequirementMeasureXref[[#This Row],[msr_id]],tblMeasure[msr_id],tblMeasure[msr_name])</f>
        <v>Patient admissions within the month by admissions status; Care and Treatment Review on admission</v>
      </c>
      <c r="J630" s="22" t="str">
        <f>_xlfn.XLOOKUP(tblRequirementMeasureXref[[#This Row],[msr_id]],tblMeasure[msr_id],tblMeasure[primary_dimensions])</f>
        <v>patient admissions, status, review</v>
      </c>
      <c r="K630" s="22" t="str">
        <f>_xlfn.XLOOKUP(tblRequirementMeasureXref[[#This Row],[msr_id]],tblMeasure[msr_id],tblMeasure[msr_min_geo_resolution])</f>
        <v>England</v>
      </c>
      <c r="L630" s="22" t="str">
        <f>_xlfn.XLOOKUP(tblRequirementMeasureXref[[#This Row],[msr_id]],tblMeasure[msr_id],tblMeasure[src_name])</f>
        <v>Learning Disability Services Statistics</v>
      </c>
    </row>
    <row r="631" spans="1:12" x14ac:dyDescent="0.15">
      <c r="A631" s="1" t="str">
        <f>_xlfn.XLOOKUP(tblRequirementMeasureXref[[#This Row],[dm_id]],tblDataRequirement[dm_id],tblDataRequirement[domain_sub_requirement])</f>
        <v>Users:Care need:Disability/Dependence</v>
      </c>
      <c r="B631" s="1" t="str">
        <f>_xlfn.XLOOKUP(tblRequirementMeasureXref[[#This Row],[dm_id]],tblDataRequirement[dm_id],tblDataRequirement[dm_phase])</f>
        <v>demand</v>
      </c>
      <c r="C631" s="1">
        <v>61</v>
      </c>
      <c r="D631" s="1">
        <v>155</v>
      </c>
      <c r="G631" s="1"/>
      <c r="H631" s="62" t="str">
        <f>_xlfn.XLOOKUP(tblRequirementMeasureXref[[#This Row],[msr_id]],tblMeasure[msr_id],tblMeasure[msr_table])</f>
        <v>Table 13</v>
      </c>
      <c r="I631" s="22" t="str">
        <f>_xlfn.XLOOKUP(tblRequirementMeasureXref[[#This Row],[msr_id]],tblMeasure[msr_id],tblMeasure[msr_name])</f>
        <v>Discharges within the month by planned discharge destination and estimated length of stay for patients leaving inpatient care</v>
      </c>
      <c r="J631" s="22" t="str">
        <f>_xlfn.XLOOKUP(tblRequirementMeasureXref[[#This Row],[msr_id]],tblMeasure[msr_id],tblMeasure[primary_dimensions])</f>
        <v>patient discharge, destination, length of stay</v>
      </c>
      <c r="K631" s="22" t="str">
        <f>_xlfn.XLOOKUP(tblRequirementMeasureXref[[#This Row],[msr_id]],tblMeasure[msr_id],tblMeasure[msr_min_geo_resolution])</f>
        <v>England</v>
      </c>
      <c r="L631" s="22" t="str">
        <f>_xlfn.XLOOKUP(tblRequirementMeasureXref[[#This Row],[msr_id]],tblMeasure[msr_id],tblMeasure[src_name])</f>
        <v>Learning Disability Services Statistics</v>
      </c>
    </row>
    <row r="632" spans="1:12" x14ac:dyDescent="0.15">
      <c r="A632" s="1" t="str">
        <f>_xlfn.XLOOKUP(tblRequirementMeasureXref[[#This Row],[dm_id]],tblDataRequirement[dm_id],tblDataRequirement[domain_sub_requirement])</f>
        <v>Users:Care need:Support reason</v>
      </c>
      <c r="B632" s="1" t="str">
        <f>_xlfn.XLOOKUP(tblRequirementMeasureXref[[#This Row],[dm_id]],tblDataRequirement[dm_id],tblDataRequirement[dm_phase])</f>
        <v>demand</v>
      </c>
      <c r="C632" s="1">
        <v>56</v>
      </c>
      <c r="D632" s="1">
        <v>155</v>
      </c>
      <c r="G632" s="1"/>
      <c r="H632" s="62" t="str">
        <f>_xlfn.XLOOKUP(tblRequirementMeasureXref[[#This Row],[msr_id]],tblMeasure[msr_id],tblMeasure[msr_table])</f>
        <v>Table 13</v>
      </c>
      <c r="I632" s="22" t="str">
        <f>_xlfn.XLOOKUP(tblRequirementMeasureXref[[#This Row],[msr_id]],tblMeasure[msr_id],tblMeasure[msr_name])</f>
        <v>Discharges within the month by planned discharge destination and estimated length of stay for patients leaving inpatient care</v>
      </c>
      <c r="J632" s="22" t="str">
        <f>_xlfn.XLOOKUP(tblRequirementMeasureXref[[#This Row],[msr_id]],tblMeasure[msr_id],tblMeasure[primary_dimensions])</f>
        <v>patient discharge, destination, length of stay</v>
      </c>
      <c r="K632" s="22" t="str">
        <f>_xlfn.XLOOKUP(tblRequirementMeasureXref[[#This Row],[msr_id]],tblMeasure[msr_id],tblMeasure[msr_min_geo_resolution])</f>
        <v>England</v>
      </c>
      <c r="L632" s="22" t="str">
        <f>_xlfn.XLOOKUP(tblRequirementMeasureXref[[#This Row],[msr_id]],tblMeasure[msr_id],tblMeasure[src_name])</f>
        <v>Learning Disability Services Statistics</v>
      </c>
    </row>
    <row r="633" spans="1:12" x14ac:dyDescent="0.15">
      <c r="A633" s="1" t="str">
        <f>_xlfn.XLOOKUP(tblRequirementMeasureXref[[#This Row],[dm_id]],tblDataRequirement[dm_id],tblDataRequirement[domain_sub_requirement])</f>
        <v>Service:Support setting:Home</v>
      </c>
      <c r="B633" s="1" t="str">
        <f>_xlfn.XLOOKUP(tblRequirementMeasureXref[[#This Row],[dm_id]],tblDataRequirement[dm_id],tblDataRequirement[dm_phase])</f>
        <v>operate</v>
      </c>
      <c r="C633" s="1">
        <v>40</v>
      </c>
      <c r="D633" s="1">
        <v>155</v>
      </c>
      <c r="G633" s="1"/>
      <c r="H633" s="62" t="str">
        <f>_xlfn.XLOOKUP(tblRequirementMeasureXref[[#This Row],[msr_id]],tblMeasure[msr_id],tblMeasure[msr_table])</f>
        <v>Table 13</v>
      </c>
      <c r="I633" s="22" t="str">
        <f>_xlfn.XLOOKUP(tblRequirementMeasureXref[[#This Row],[msr_id]],tblMeasure[msr_id],tblMeasure[msr_name])</f>
        <v>Discharges within the month by planned discharge destination and estimated length of stay for patients leaving inpatient care</v>
      </c>
      <c r="J633" s="22" t="str">
        <f>_xlfn.XLOOKUP(tblRequirementMeasureXref[[#This Row],[msr_id]],tblMeasure[msr_id],tblMeasure[primary_dimensions])</f>
        <v>patient discharge, destination, length of stay</v>
      </c>
      <c r="K633" s="22" t="str">
        <f>_xlfn.XLOOKUP(tblRequirementMeasureXref[[#This Row],[msr_id]],tblMeasure[msr_id],tblMeasure[msr_min_geo_resolution])</f>
        <v>England</v>
      </c>
      <c r="L633" s="22" t="str">
        <f>_xlfn.XLOOKUP(tblRequirementMeasureXref[[#This Row],[msr_id]],tblMeasure[msr_id],tblMeasure[src_name])</f>
        <v>Learning Disability Services Statistics</v>
      </c>
    </row>
    <row r="634" spans="1:12" x14ac:dyDescent="0.15">
      <c r="A634" s="1" t="str">
        <f>_xlfn.XLOOKUP(tblRequirementMeasureXref[[#This Row],[dm_id]],tblDataRequirement[dm_id],tblDataRequirement[domain_sub_requirement])</f>
        <v>Service:Support setting:Residential care home</v>
      </c>
      <c r="B634" s="1" t="str">
        <f>_xlfn.XLOOKUP(tblRequirementMeasureXref[[#This Row],[dm_id]],tblDataRequirement[dm_id],tblDataRequirement[dm_phase])</f>
        <v>operate</v>
      </c>
      <c r="C634" s="1">
        <v>41</v>
      </c>
      <c r="D634" s="1">
        <v>155</v>
      </c>
      <c r="G634" s="1"/>
      <c r="H634" s="62" t="str">
        <f>_xlfn.XLOOKUP(tblRequirementMeasureXref[[#This Row],[msr_id]],tblMeasure[msr_id],tblMeasure[msr_table])</f>
        <v>Table 13</v>
      </c>
      <c r="I634" s="22" t="str">
        <f>_xlfn.XLOOKUP(tblRequirementMeasureXref[[#This Row],[msr_id]],tblMeasure[msr_id],tblMeasure[msr_name])</f>
        <v>Discharges within the month by planned discharge destination and estimated length of stay for patients leaving inpatient care</v>
      </c>
      <c r="J634" s="22" t="str">
        <f>_xlfn.XLOOKUP(tblRequirementMeasureXref[[#This Row],[msr_id]],tblMeasure[msr_id],tblMeasure[primary_dimensions])</f>
        <v>patient discharge, destination, length of stay</v>
      </c>
      <c r="K634" s="22" t="str">
        <f>_xlfn.XLOOKUP(tblRequirementMeasureXref[[#This Row],[msr_id]],tblMeasure[msr_id],tblMeasure[msr_min_geo_resolution])</f>
        <v>England</v>
      </c>
      <c r="L634" s="22" t="str">
        <f>_xlfn.XLOOKUP(tblRequirementMeasureXref[[#This Row],[msr_id]],tblMeasure[msr_id],tblMeasure[src_name])</f>
        <v>Learning Disability Services Statistics</v>
      </c>
    </row>
    <row r="635" spans="1:12" x14ac:dyDescent="0.15">
      <c r="A635" s="1" t="str">
        <f>_xlfn.XLOOKUP(tblRequirementMeasureXref[[#This Row],[dm_id]],tblDataRequirement[dm_id],tblDataRequirement[domain_sub_requirement])</f>
        <v>Service:Support setting:Nursing home</v>
      </c>
      <c r="B635" s="1" t="str">
        <f>_xlfn.XLOOKUP(tblRequirementMeasureXref[[#This Row],[dm_id]],tblDataRequirement[dm_id],tblDataRequirement[dm_phase])</f>
        <v>operate</v>
      </c>
      <c r="C635" s="1">
        <v>42</v>
      </c>
      <c r="D635" s="1">
        <v>155</v>
      </c>
      <c r="G635" s="1"/>
      <c r="H635" s="62" t="str">
        <f>_xlfn.XLOOKUP(tblRequirementMeasureXref[[#This Row],[msr_id]],tblMeasure[msr_id],tblMeasure[msr_table])</f>
        <v>Table 13</v>
      </c>
      <c r="I635" s="22" t="str">
        <f>_xlfn.XLOOKUP(tblRequirementMeasureXref[[#This Row],[msr_id]],tblMeasure[msr_id],tblMeasure[msr_name])</f>
        <v>Discharges within the month by planned discharge destination and estimated length of stay for patients leaving inpatient care</v>
      </c>
      <c r="J635" s="22" t="str">
        <f>_xlfn.XLOOKUP(tblRequirementMeasureXref[[#This Row],[msr_id]],tblMeasure[msr_id],tblMeasure[primary_dimensions])</f>
        <v>patient discharge, destination, length of stay</v>
      </c>
      <c r="K635" s="22" t="str">
        <f>_xlfn.XLOOKUP(tblRequirementMeasureXref[[#This Row],[msr_id]],tblMeasure[msr_id],tblMeasure[msr_min_geo_resolution])</f>
        <v>England</v>
      </c>
      <c r="L635" s="22" t="str">
        <f>_xlfn.XLOOKUP(tblRequirementMeasureXref[[#This Row],[msr_id]],tblMeasure[msr_id],tblMeasure[src_name])</f>
        <v>Learning Disability Services Statistics</v>
      </c>
    </row>
    <row r="636" spans="1:12" x14ac:dyDescent="0.15">
      <c r="A636" s="1" t="str">
        <f>_xlfn.XLOOKUP(tblRequirementMeasureXref[[#This Row],[dm_id]],tblDataRequirement[dm_id],tblDataRequirement[domain_sub_requirement])</f>
        <v>Service:Support setting:Community</v>
      </c>
      <c r="B636" s="1" t="str">
        <f>_xlfn.XLOOKUP(tblRequirementMeasureXref[[#This Row],[dm_id]],tblDataRequirement[dm_id],tblDataRequirement[dm_phase])</f>
        <v>operate</v>
      </c>
      <c r="C636" s="1">
        <v>43</v>
      </c>
      <c r="D636" s="1">
        <v>155</v>
      </c>
      <c r="G636" s="1"/>
      <c r="H636" s="62" t="str">
        <f>_xlfn.XLOOKUP(tblRequirementMeasureXref[[#This Row],[msr_id]],tblMeasure[msr_id],tblMeasure[msr_table])</f>
        <v>Table 13</v>
      </c>
      <c r="I636" s="22" t="str">
        <f>_xlfn.XLOOKUP(tblRequirementMeasureXref[[#This Row],[msr_id]],tblMeasure[msr_id],tblMeasure[msr_name])</f>
        <v>Discharges within the month by planned discharge destination and estimated length of stay for patients leaving inpatient care</v>
      </c>
      <c r="J636" s="22" t="str">
        <f>_xlfn.XLOOKUP(tblRequirementMeasureXref[[#This Row],[msr_id]],tblMeasure[msr_id],tblMeasure[primary_dimensions])</f>
        <v>patient discharge, destination, length of stay</v>
      </c>
      <c r="K636" s="22" t="str">
        <f>_xlfn.XLOOKUP(tblRequirementMeasureXref[[#This Row],[msr_id]],tblMeasure[msr_id],tblMeasure[msr_min_geo_resolution])</f>
        <v>England</v>
      </c>
      <c r="L636" s="22" t="str">
        <f>_xlfn.XLOOKUP(tblRequirementMeasureXref[[#This Row],[msr_id]],tblMeasure[msr_id],tblMeasure[src_name])</f>
        <v>Learning Disability Services Statistics</v>
      </c>
    </row>
    <row r="637" spans="1:12" x14ac:dyDescent="0.15">
      <c r="A637" s="1" t="str">
        <f>_xlfn.XLOOKUP(tblRequirementMeasureXref[[#This Row],[dm_id]],tblDataRequirement[dm_id],tblDataRequirement[domain_sub_requirement])</f>
        <v>Service:Integration:NHS secondary care</v>
      </c>
      <c r="B637" s="1" t="str">
        <f>_xlfn.XLOOKUP(tblRequirementMeasureXref[[#This Row],[dm_id]],tblDataRequirement[dm_id],tblDataRequirement[dm_phase])</f>
        <v>operate</v>
      </c>
      <c r="C637" s="1">
        <v>37</v>
      </c>
      <c r="D637" s="1">
        <v>155</v>
      </c>
      <c r="G637" s="1"/>
      <c r="H637" s="62" t="str">
        <f>_xlfn.XLOOKUP(tblRequirementMeasureXref[[#This Row],[msr_id]],tblMeasure[msr_id],tblMeasure[msr_table])</f>
        <v>Table 13</v>
      </c>
      <c r="I637" s="22" t="str">
        <f>_xlfn.XLOOKUP(tblRequirementMeasureXref[[#This Row],[msr_id]],tblMeasure[msr_id],tblMeasure[msr_name])</f>
        <v>Discharges within the month by planned discharge destination and estimated length of stay for patients leaving inpatient care</v>
      </c>
      <c r="J637" s="22" t="str">
        <f>_xlfn.XLOOKUP(tblRequirementMeasureXref[[#This Row],[msr_id]],tblMeasure[msr_id],tblMeasure[primary_dimensions])</f>
        <v>patient discharge, destination, length of stay</v>
      </c>
      <c r="K637" s="22" t="str">
        <f>_xlfn.XLOOKUP(tblRequirementMeasureXref[[#This Row],[msr_id]],tblMeasure[msr_id],tblMeasure[msr_min_geo_resolution])</f>
        <v>England</v>
      </c>
      <c r="L637" s="22" t="str">
        <f>_xlfn.XLOOKUP(tblRequirementMeasureXref[[#This Row],[msr_id]],tblMeasure[msr_id],tblMeasure[src_name])</f>
        <v>Learning Disability Services Statistics</v>
      </c>
    </row>
    <row r="638" spans="1:12" x14ac:dyDescent="0.15">
      <c r="A638" s="1" t="str">
        <f>_xlfn.XLOOKUP(tblRequirementMeasureXref[[#This Row],[dm_id]],tblDataRequirement[dm_id],tblDataRequirement[domain_sub_requirement])</f>
        <v>Users:Care need:Disability/Dependence</v>
      </c>
      <c r="B638" s="1" t="str">
        <f>_xlfn.XLOOKUP(tblRequirementMeasureXref[[#This Row],[dm_id]],tblDataRequirement[dm_id],tblDataRequirement[dm_phase])</f>
        <v>demand</v>
      </c>
      <c r="C638" s="1">
        <v>61</v>
      </c>
      <c r="D638" s="1">
        <v>156</v>
      </c>
      <c r="G638" s="1"/>
      <c r="H638" s="62" t="str">
        <f>_xlfn.XLOOKUP(tblRequirementMeasureXref[[#This Row],[msr_id]],tblMeasure[msr_id],tblMeasure[msr_table])</f>
        <v>Table 14</v>
      </c>
      <c r="I638" s="22" t="str">
        <f>_xlfn.XLOOKUP(tblRequirementMeasureXref[[#This Row],[msr_id]],tblMeasure[msr_id],tblMeasure[msr_name])</f>
        <v>Patients by most recent and next scheduled Care and Treatment Review</v>
      </c>
      <c r="J638" s="22" t="str">
        <f>_xlfn.XLOOKUP(tblRequirementMeasureXref[[#This Row],[msr_id]],tblMeasure[msr_id],tblMeasure[primary_dimensions])</f>
        <v>patients, review</v>
      </c>
      <c r="K638" s="22" t="str">
        <f>_xlfn.XLOOKUP(tblRequirementMeasureXref[[#This Row],[msr_id]],tblMeasure[msr_id],tblMeasure[msr_min_geo_resolution])</f>
        <v>England</v>
      </c>
      <c r="L638" s="22" t="str">
        <f>_xlfn.XLOOKUP(tblRequirementMeasureXref[[#This Row],[msr_id]],tblMeasure[msr_id],tblMeasure[src_name])</f>
        <v>Learning Disability Services Statistics</v>
      </c>
    </row>
    <row r="639" spans="1:12" x14ac:dyDescent="0.15">
      <c r="A639" s="1" t="str">
        <f>_xlfn.XLOOKUP(tblRequirementMeasureXref[[#This Row],[dm_id]],tblDataRequirement[dm_id],tblDataRequirement[domain_sub_requirement])</f>
        <v>Users:Care need:Disability/Dependence</v>
      </c>
      <c r="B639" s="1" t="str">
        <f>_xlfn.XLOOKUP(tblRequirementMeasureXref[[#This Row],[dm_id]],tblDataRequirement[dm_id],tblDataRequirement[dm_phase])</f>
        <v>demand</v>
      </c>
      <c r="C639" s="1">
        <v>61</v>
      </c>
      <c r="D639" s="1">
        <v>157</v>
      </c>
      <c r="G639" s="1"/>
      <c r="H639" s="62" t="str">
        <f>_xlfn.XLOOKUP(tblRequirementMeasureXref[[#This Row],[msr_id]],tblMeasure[msr_id],tblMeasure[msr_table])</f>
        <v>Table 15</v>
      </c>
      <c r="I639" s="22" t="str">
        <f>_xlfn.XLOOKUP(tblRequirementMeasureXref[[#This Row],[msr_id]],tblMeasure[msr_id],tblMeasure[msr_name])</f>
        <v>Patients by total length of stay, ward security and legal status</v>
      </c>
      <c r="J639" s="22" t="str">
        <f>_xlfn.XLOOKUP(tblRequirementMeasureXref[[#This Row],[msr_id]],tblMeasure[msr_id],tblMeasure[primary_dimensions])</f>
        <v>patients, length of stay, security, legal status</v>
      </c>
      <c r="K639" s="22" t="str">
        <f>_xlfn.XLOOKUP(tblRequirementMeasureXref[[#This Row],[msr_id]],tblMeasure[msr_id],tblMeasure[msr_min_geo_resolution])</f>
        <v>England</v>
      </c>
      <c r="L639" s="22" t="str">
        <f>_xlfn.XLOOKUP(tblRequirementMeasureXref[[#This Row],[msr_id]],tblMeasure[msr_id],tblMeasure[src_name])</f>
        <v>Learning Disability Services Statistics</v>
      </c>
    </row>
    <row r="640" spans="1:12" x14ac:dyDescent="0.15">
      <c r="A640" s="1" t="str">
        <f>_xlfn.XLOOKUP(tblRequirementMeasureXref[[#This Row],[dm_id]],tblDataRequirement[dm_id],tblDataRequirement[domain_sub_requirement])</f>
        <v>Users:Care need:Disability/Dependence</v>
      </c>
      <c r="B640" s="1" t="str">
        <f>_xlfn.XLOOKUP(tblRequirementMeasureXref[[#This Row],[dm_id]],tblDataRequirement[dm_id],tblDataRequirement[dm_phase])</f>
        <v>demand</v>
      </c>
      <c r="C640" s="1">
        <v>61</v>
      </c>
      <c r="D640" s="1">
        <v>158</v>
      </c>
      <c r="G640" s="1"/>
      <c r="H640" s="62" t="str">
        <f>_xlfn.XLOOKUP(tblRequirementMeasureXref[[#This Row],[msr_id]],tblMeasure[msr_id],tblMeasure[msr_table])</f>
        <v>Table 16</v>
      </c>
      <c r="I640" s="22" t="str">
        <f>_xlfn.XLOOKUP(tblRequirementMeasureXref[[#This Row],[msr_id]],tblMeasure[msr_id],tblMeasure[msr_name])</f>
        <v>Patients by legal status, age and ward security</v>
      </c>
      <c r="J640" s="22" t="str">
        <f>_xlfn.XLOOKUP(tblRequirementMeasureXref[[#This Row],[msr_id]],tblMeasure[msr_id],tblMeasure[primary_dimensions])</f>
        <v>patients, security, legal status</v>
      </c>
      <c r="K640" s="22" t="str">
        <f>_xlfn.XLOOKUP(tblRequirementMeasureXref[[#This Row],[msr_id]],tblMeasure[msr_id],tblMeasure[msr_min_geo_resolution])</f>
        <v>England</v>
      </c>
      <c r="L640" s="22" t="str">
        <f>_xlfn.XLOOKUP(tblRequirementMeasureXref[[#This Row],[msr_id]],tblMeasure[msr_id],tblMeasure[src_name])</f>
        <v>Learning Disability Services Statistics</v>
      </c>
    </row>
    <row r="641" spans="1:12" x14ac:dyDescent="0.15">
      <c r="A641" s="1" t="str">
        <f>_xlfn.XLOOKUP(tblRequirementMeasureXref[[#This Row],[dm_id]],tblDataRequirement[dm_id],tblDataRequirement[domain_sub_requirement])</f>
        <v>Users:Care need:Disability/Dependence</v>
      </c>
      <c r="B641" s="1" t="str">
        <f>_xlfn.XLOOKUP(tblRequirementMeasureXref[[#This Row],[dm_id]],tblDataRequirement[dm_id],tblDataRequirement[dm_phase])</f>
        <v>demand</v>
      </c>
      <c r="C641" s="1">
        <v>61</v>
      </c>
      <c r="D641" s="1">
        <v>159</v>
      </c>
      <c r="G641" s="1"/>
      <c r="H641" s="62" t="str">
        <f>_xlfn.XLOOKUP(tblRequirementMeasureXref[[#This Row],[msr_id]],tblMeasure[msr_id],tblMeasure[msr_table])</f>
        <v>Table 17</v>
      </c>
      <c r="I641" s="22" t="str">
        <f>_xlfn.XLOOKUP(tblRequirementMeasureXref[[#This Row],[msr_id]],tblMeasure[msr_id],tblMeasure[msr_name])</f>
        <v>Patients by age, gender and ward security</v>
      </c>
      <c r="J641" s="22" t="str">
        <f>_xlfn.XLOOKUP(tblRequirementMeasureXref[[#This Row],[msr_id]],tblMeasure[msr_id],tblMeasure[primary_dimensions])</f>
        <v>patients, security</v>
      </c>
      <c r="K641" s="22" t="str">
        <f>_xlfn.XLOOKUP(tblRequirementMeasureXref[[#This Row],[msr_id]],tblMeasure[msr_id],tblMeasure[msr_min_geo_resolution])</f>
        <v>England</v>
      </c>
      <c r="L641" s="22" t="str">
        <f>_xlfn.XLOOKUP(tblRequirementMeasureXref[[#This Row],[msr_id]],tblMeasure[msr_id],tblMeasure[src_name])</f>
        <v>Learning Disability Services Statistics</v>
      </c>
    </row>
    <row r="642" spans="1:12" x14ac:dyDescent="0.15">
      <c r="A642" s="1" t="str">
        <f>_xlfn.XLOOKUP(tblRequirementMeasureXref[[#This Row],[dm_id]],tblDataRequirement[dm_id],tblDataRequirement[domain_sub_requirement])</f>
        <v>Users:Care need:Disability/Dependence</v>
      </c>
      <c r="B642" s="1" t="str">
        <f>_xlfn.XLOOKUP(tblRequirementMeasureXref[[#This Row],[dm_id]],tblDataRequirement[dm_id],tblDataRequirement[dm_phase])</f>
        <v>demand</v>
      </c>
      <c r="C642" s="1">
        <v>61</v>
      </c>
      <c r="D642" s="1">
        <v>160</v>
      </c>
      <c r="G642" s="1"/>
      <c r="H642" s="62" t="str">
        <f>_xlfn.XLOOKUP(tblRequirementMeasureXref[[#This Row],[msr_id]],tblMeasure[msr_id],tblMeasure[msr_table])</f>
        <v>Table 18</v>
      </c>
      <c r="I642" s="22" t="str">
        <f>_xlfn.XLOOKUP(tblRequirementMeasureXref[[#This Row],[msr_id]],tblMeasure[msr_id],tblMeasure[msr_name])</f>
        <v>Ward security by NHS England Regional Teams</v>
      </c>
      <c r="J642" s="22" t="str">
        <f>_xlfn.XLOOKUP(tblRequirementMeasureXref[[#This Row],[msr_id]],tblMeasure[msr_id],tblMeasure[primary_dimensions])</f>
        <v>ward security</v>
      </c>
      <c r="K642" s="22" t="str">
        <f>_xlfn.XLOOKUP(tblRequirementMeasureXref[[#This Row],[msr_id]],tblMeasure[msr_id],tblMeasure[msr_min_geo_resolution])</f>
        <v>Region</v>
      </c>
      <c r="L642" s="22" t="str">
        <f>_xlfn.XLOOKUP(tblRequirementMeasureXref[[#This Row],[msr_id]],tblMeasure[msr_id],tblMeasure[src_name])</f>
        <v>Learning Disability Services Statistics</v>
      </c>
    </row>
    <row r="643" spans="1:12" x14ac:dyDescent="0.15">
      <c r="A643" s="1" t="str">
        <f>_xlfn.XLOOKUP(tblRequirementMeasureXref[[#This Row],[dm_id]],tblDataRequirement[dm_id],tblDataRequirement[domain_sub_requirement])</f>
        <v>Users:Care need:Disability/Dependence</v>
      </c>
      <c r="B643" s="1" t="str">
        <f>_xlfn.XLOOKUP(tblRequirementMeasureXref[[#This Row],[dm_id]],tblDataRequirement[dm_id],tblDataRequirement[dm_phase])</f>
        <v>demand</v>
      </c>
      <c r="C643" s="1">
        <v>61</v>
      </c>
      <c r="D643" s="1">
        <v>161</v>
      </c>
      <c r="G643" s="1"/>
      <c r="H643" s="62" t="str">
        <f>_xlfn.XLOOKUP(tblRequirementMeasureXref[[#This Row],[msr_id]],tblMeasure[msr_id],tblMeasure[msr_table])</f>
        <v>Table 19</v>
      </c>
      <c r="I643" s="22" t="str">
        <f>_xlfn.XLOOKUP(tblRequirementMeasureXref[[#This Row],[msr_id]],tblMeasure[msr_id],tblMeasure[msr_name])</f>
        <v>Care plan outcome by time to review</v>
      </c>
      <c r="J643" s="22" t="str">
        <f>_xlfn.XLOOKUP(tblRequirementMeasureXref[[#This Row],[msr_id]],tblMeasure[msr_id],tblMeasure[primary_dimensions])</f>
        <v>care plan outcome, time to review</v>
      </c>
      <c r="K643" s="22" t="str">
        <f>_xlfn.XLOOKUP(tblRequirementMeasureXref[[#This Row],[msr_id]],tblMeasure[msr_id],tblMeasure[msr_min_geo_resolution])</f>
        <v>Region</v>
      </c>
      <c r="L643" s="22" t="str">
        <f>_xlfn.XLOOKUP(tblRequirementMeasureXref[[#This Row],[msr_id]],tblMeasure[msr_id],tblMeasure[src_name])</f>
        <v>Learning Disability Services Statistics</v>
      </c>
    </row>
    <row r="644" spans="1:12" x14ac:dyDescent="0.15">
      <c r="A644" s="1" t="str">
        <f>_xlfn.XLOOKUP(tblRequirementMeasureXref[[#This Row],[dm_id]],tblDataRequirement[dm_id],tblDataRequirement[domain_sub_requirement])</f>
        <v>Users:Care need:Support reason</v>
      </c>
      <c r="B644" s="1" t="str">
        <f>_xlfn.XLOOKUP(tblRequirementMeasureXref[[#This Row],[dm_id]],tblDataRequirement[dm_id],tblDataRequirement[dm_phase])</f>
        <v>demand</v>
      </c>
      <c r="C644" s="1">
        <v>56</v>
      </c>
      <c r="D644" s="1">
        <v>161</v>
      </c>
      <c r="G644" s="1"/>
      <c r="H644" s="62" t="str">
        <f>_xlfn.XLOOKUP(tblRequirementMeasureXref[[#This Row],[msr_id]],tblMeasure[msr_id],tblMeasure[msr_table])</f>
        <v>Table 19</v>
      </c>
      <c r="I644" s="22" t="str">
        <f>_xlfn.XLOOKUP(tblRequirementMeasureXref[[#This Row],[msr_id]],tblMeasure[msr_id],tblMeasure[msr_name])</f>
        <v>Care plan outcome by time to review</v>
      </c>
      <c r="J644" s="22" t="str">
        <f>_xlfn.XLOOKUP(tblRequirementMeasureXref[[#This Row],[msr_id]],tblMeasure[msr_id],tblMeasure[primary_dimensions])</f>
        <v>care plan outcome, time to review</v>
      </c>
      <c r="K644" s="22" t="str">
        <f>_xlfn.XLOOKUP(tblRequirementMeasureXref[[#This Row],[msr_id]],tblMeasure[msr_id],tblMeasure[msr_min_geo_resolution])</f>
        <v>Region</v>
      </c>
      <c r="L644" s="22" t="str">
        <f>_xlfn.XLOOKUP(tblRequirementMeasureXref[[#This Row],[msr_id]],tblMeasure[msr_id],tblMeasure[src_name])</f>
        <v>Learning Disability Services Statistics</v>
      </c>
    </row>
    <row r="645" spans="1:12" x14ac:dyDescent="0.15">
      <c r="A645" s="1" t="str">
        <f>_xlfn.XLOOKUP(tblRequirementMeasureXref[[#This Row],[dm_id]],tblDataRequirement[dm_id],tblDataRequirement[domain_sub_requirement])</f>
        <v>Service:Integration:NHS secondary care</v>
      </c>
      <c r="B645" s="1" t="str">
        <f>_xlfn.XLOOKUP(tblRequirementMeasureXref[[#This Row],[dm_id]],tblDataRequirement[dm_id],tblDataRequirement[dm_phase])</f>
        <v>operate</v>
      </c>
      <c r="C645" s="1">
        <v>37</v>
      </c>
      <c r="D645" s="1">
        <v>161</v>
      </c>
      <c r="G645" s="1"/>
      <c r="H645" s="62" t="str">
        <f>_xlfn.XLOOKUP(tblRequirementMeasureXref[[#This Row],[msr_id]],tblMeasure[msr_id],tblMeasure[msr_table])</f>
        <v>Table 19</v>
      </c>
      <c r="I645" s="22" t="str">
        <f>_xlfn.XLOOKUP(tblRequirementMeasureXref[[#This Row],[msr_id]],tblMeasure[msr_id],tblMeasure[msr_name])</f>
        <v>Care plan outcome by time to review</v>
      </c>
      <c r="J645" s="22" t="str">
        <f>_xlfn.XLOOKUP(tblRequirementMeasureXref[[#This Row],[msr_id]],tblMeasure[msr_id],tblMeasure[primary_dimensions])</f>
        <v>care plan outcome, time to review</v>
      </c>
      <c r="K645" s="22" t="str">
        <f>_xlfn.XLOOKUP(tblRequirementMeasureXref[[#This Row],[msr_id]],tblMeasure[msr_id],tblMeasure[msr_min_geo_resolution])</f>
        <v>Region</v>
      </c>
      <c r="L645" s="22" t="str">
        <f>_xlfn.XLOOKUP(tblRequirementMeasureXref[[#This Row],[msr_id]],tblMeasure[msr_id],tblMeasure[src_name])</f>
        <v>Learning Disability Services Statistics</v>
      </c>
    </row>
    <row r="646" spans="1:12" x14ac:dyDescent="0.15">
      <c r="A646" s="1" t="str">
        <f>_xlfn.XLOOKUP(tblRequirementMeasureXref[[#This Row],[dm_id]],tblDataRequirement[dm_id],tblDataRequirement[domain_sub_requirement])</f>
        <v>Users:Care need:Disability/Dependence</v>
      </c>
      <c r="B646" s="1" t="str">
        <f>_xlfn.XLOOKUP(tblRequirementMeasureXref[[#This Row],[dm_id]],tblDataRequirement[dm_id],tblDataRequirement[dm_phase])</f>
        <v>demand</v>
      </c>
      <c r="C646" s="1">
        <v>61</v>
      </c>
      <c r="D646" s="1">
        <v>162</v>
      </c>
      <c r="G646" s="1"/>
      <c r="H646" s="62" t="str">
        <f>_xlfn.XLOOKUP(tblRequirementMeasureXref[[#This Row],[msr_id]],tblMeasure[msr_id],tblMeasure[msr_table])</f>
        <v>Table 20</v>
      </c>
      <c r="I646" s="22" t="str">
        <f>_xlfn.XLOOKUP(tblRequirementMeasureXref[[#This Row],[msr_id]],tblMeasure[msr_id],tblMeasure[msr_name])</f>
        <v>Admissions and discharges by learning disability or autism status</v>
      </c>
      <c r="J646" s="22" t="str">
        <f>_xlfn.XLOOKUP(tblRequirementMeasureXref[[#This Row],[msr_id]],tblMeasure[msr_id],tblMeasure[primary_dimensions])</f>
        <v>admissions, discharges, LD/Autism</v>
      </c>
      <c r="K646" s="22" t="str">
        <f>_xlfn.XLOOKUP(tblRequirementMeasureXref[[#This Row],[msr_id]],tblMeasure[msr_id],tblMeasure[msr_min_geo_resolution])</f>
        <v>England</v>
      </c>
      <c r="L646" s="22" t="str">
        <f>_xlfn.XLOOKUP(tblRequirementMeasureXref[[#This Row],[msr_id]],tblMeasure[msr_id],tblMeasure[src_name])</f>
        <v>Learning Disability Services Statistics</v>
      </c>
    </row>
    <row r="647" spans="1:12" x14ac:dyDescent="0.15">
      <c r="A647" s="1" t="str">
        <f>_xlfn.XLOOKUP(tblRequirementMeasureXref[[#This Row],[dm_id]],tblDataRequirement[dm_id],tblDataRequirement[domain_sub_requirement])</f>
        <v>Service:Integration:NHS secondary care</v>
      </c>
      <c r="B647" s="1" t="str">
        <f>_xlfn.XLOOKUP(tblRequirementMeasureXref[[#This Row],[dm_id]],tblDataRequirement[dm_id],tblDataRequirement[dm_phase])</f>
        <v>operate</v>
      </c>
      <c r="C647" s="1">
        <v>37</v>
      </c>
      <c r="D647" s="1">
        <v>162</v>
      </c>
      <c r="G647" s="1"/>
      <c r="H647" s="62" t="str">
        <f>_xlfn.XLOOKUP(tblRequirementMeasureXref[[#This Row],[msr_id]],tblMeasure[msr_id],tblMeasure[msr_table])</f>
        <v>Table 20</v>
      </c>
      <c r="I647" s="22" t="str">
        <f>_xlfn.XLOOKUP(tblRequirementMeasureXref[[#This Row],[msr_id]],tblMeasure[msr_id],tblMeasure[msr_name])</f>
        <v>Admissions and discharges by learning disability or autism status</v>
      </c>
      <c r="J647" s="22" t="str">
        <f>_xlfn.XLOOKUP(tblRequirementMeasureXref[[#This Row],[msr_id]],tblMeasure[msr_id],tblMeasure[primary_dimensions])</f>
        <v>admissions, discharges, LD/Autism</v>
      </c>
      <c r="K647" s="22" t="str">
        <f>_xlfn.XLOOKUP(tblRequirementMeasureXref[[#This Row],[msr_id]],tblMeasure[msr_id],tblMeasure[msr_min_geo_resolution])</f>
        <v>England</v>
      </c>
      <c r="L647" s="22" t="str">
        <f>_xlfn.XLOOKUP(tblRequirementMeasureXref[[#This Row],[msr_id]],tblMeasure[msr_id],tblMeasure[src_name])</f>
        <v>Learning Disability Services Statistics</v>
      </c>
    </row>
    <row r="648" spans="1:12" x14ac:dyDescent="0.15">
      <c r="A648" s="1" t="str">
        <f>_xlfn.XLOOKUP(tblRequirementMeasureXref[[#This Row],[dm_id]],tblDataRequirement[dm_id],tblDataRequirement[domain_sub_requirement])</f>
        <v>Users:Care need:Disability/Dependence</v>
      </c>
      <c r="B648" s="1" t="str">
        <f>_xlfn.XLOOKUP(tblRequirementMeasureXref[[#This Row],[dm_id]],tblDataRequirement[dm_id],tblDataRequirement[dm_phase])</f>
        <v>demand</v>
      </c>
      <c r="C648" s="1">
        <v>61</v>
      </c>
      <c r="D648" s="1">
        <v>163</v>
      </c>
      <c r="G648" s="1"/>
      <c r="H648" s="62" t="str">
        <f>_xlfn.XLOOKUP(tblRequirementMeasureXref[[#This Row],[msr_id]],tblMeasure[msr_id],tblMeasure[msr_table])</f>
        <v>Table 21</v>
      </c>
      <c r="I648" s="22" t="str">
        <f>_xlfn.XLOOKUP(tblRequirementMeasureXref[[#This Row],[msr_id]],tblMeasure[msr_id],tblMeasure[msr_name])</f>
        <v>Patients breakdown by Transforming Care Partnerships and learning disability or autism status</v>
      </c>
      <c r="J648" s="22" t="str">
        <f>_xlfn.XLOOKUP(tblRequirementMeasureXref[[#This Row],[msr_id]],tblMeasure[msr_id],tblMeasure[primary_dimensions])</f>
        <v>patients, LD/Autism</v>
      </c>
      <c r="K648" s="22" t="str">
        <f>_xlfn.XLOOKUP(tblRequirementMeasureXref[[#This Row],[msr_id]],tblMeasure[msr_id],tblMeasure[msr_min_geo_resolution])</f>
        <v>TCP</v>
      </c>
      <c r="L648" s="22" t="str">
        <f>_xlfn.XLOOKUP(tblRequirementMeasureXref[[#This Row],[msr_id]],tblMeasure[msr_id],tblMeasure[src_name])</f>
        <v>Learning Disability Services Statistics</v>
      </c>
    </row>
    <row r="649" spans="1:12" x14ac:dyDescent="0.15">
      <c r="A649" s="1" t="str">
        <f>_xlfn.XLOOKUP(tblRequirementMeasureXref[[#This Row],[dm_id]],tblDataRequirement[dm_id],tblDataRequirement[domain_sub_requirement])</f>
        <v>Users:Care need:Disability/Dependence</v>
      </c>
      <c r="B649" s="1" t="str">
        <f>_xlfn.XLOOKUP(tblRequirementMeasureXref[[#This Row],[dm_id]],tblDataRequirement[dm_id],tblDataRequirement[dm_phase])</f>
        <v>demand</v>
      </c>
      <c r="C649" s="1">
        <v>61</v>
      </c>
      <c r="D649" s="1">
        <v>164</v>
      </c>
      <c r="G649" s="1"/>
      <c r="H649" s="62" t="str">
        <f>_xlfn.XLOOKUP(tblRequirementMeasureXref[[#This Row],[msr_id]],tblMeasure[msr_id],tblMeasure[msr_table])</f>
        <v>Table 22</v>
      </c>
      <c r="I649" s="22" t="str">
        <f>_xlfn.XLOOKUP(tblRequirementMeasureXref[[#This Row],[msr_id]],tblMeasure[msr_id],tblMeasure[msr_name])</f>
        <v>Patients by planned transfer date where the local authority is aware by age and learning disability or autism status</v>
      </c>
      <c r="J649" s="22" t="str">
        <f>_xlfn.XLOOKUP(tblRequirementMeasureXref[[#This Row],[msr_id]],tblMeasure[msr_id],tblMeasure[primary_dimensions])</f>
        <v>patients, LD/Autism, planned transfer, LA aware</v>
      </c>
      <c r="K649" s="22" t="str">
        <f>_xlfn.XLOOKUP(tblRequirementMeasureXref[[#This Row],[msr_id]],tblMeasure[msr_id],tblMeasure[msr_min_geo_resolution])</f>
        <v>England</v>
      </c>
      <c r="L649" s="22" t="str">
        <f>_xlfn.XLOOKUP(tblRequirementMeasureXref[[#This Row],[msr_id]],tblMeasure[msr_id],tblMeasure[src_name])</f>
        <v>Learning Disability Services Statistics</v>
      </c>
    </row>
    <row r="650" spans="1:12" x14ac:dyDescent="0.15">
      <c r="A650" s="1" t="str">
        <f>_xlfn.XLOOKUP(tblRequirementMeasureXref[[#This Row],[dm_id]],tblDataRequirement[dm_id],tblDataRequirement[domain_sub_requirement])</f>
        <v>Users:Care need:Support reason</v>
      </c>
      <c r="B650" s="1" t="str">
        <f>_xlfn.XLOOKUP(tblRequirementMeasureXref[[#This Row],[dm_id]],tblDataRequirement[dm_id],tblDataRequirement[dm_phase])</f>
        <v>demand</v>
      </c>
      <c r="C650" s="1">
        <v>56</v>
      </c>
      <c r="D650" s="1">
        <v>164</v>
      </c>
      <c r="G650" s="1"/>
      <c r="H650" s="62" t="str">
        <f>_xlfn.XLOOKUP(tblRequirementMeasureXref[[#This Row],[msr_id]],tblMeasure[msr_id],tblMeasure[msr_table])</f>
        <v>Table 22</v>
      </c>
      <c r="I650" s="22" t="str">
        <f>_xlfn.XLOOKUP(tblRequirementMeasureXref[[#This Row],[msr_id]],tblMeasure[msr_id],tblMeasure[msr_name])</f>
        <v>Patients by planned transfer date where the local authority is aware by age and learning disability or autism status</v>
      </c>
      <c r="J650" s="22" t="str">
        <f>_xlfn.XLOOKUP(tblRequirementMeasureXref[[#This Row],[msr_id]],tblMeasure[msr_id],tblMeasure[primary_dimensions])</f>
        <v>patients, LD/Autism, planned transfer, LA aware</v>
      </c>
      <c r="K650" s="22" t="str">
        <f>_xlfn.XLOOKUP(tblRequirementMeasureXref[[#This Row],[msr_id]],tblMeasure[msr_id],tblMeasure[msr_min_geo_resolution])</f>
        <v>England</v>
      </c>
      <c r="L650" s="22" t="str">
        <f>_xlfn.XLOOKUP(tblRequirementMeasureXref[[#This Row],[msr_id]],tblMeasure[msr_id],tblMeasure[src_name])</f>
        <v>Learning Disability Services Statistics</v>
      </c>
    </row>
    <row r="651" spans="1:12" x14ac:dyDescent="0.15">
      <c r="A651" s="1" t="str">
        <f>_xlfn.XLOOKUP(tblRequirementMeasureXref[[#This Row],[dm_id]],tblDataRequirement[dm_id],tblDataRequirement[domain_sub_requirement])</f>
        <v>Service:Integration:NHS secondary care</v>
      </c>
      <c r="B651" s="1" t="str">
        <f>_xlfn.XLOOKUP(tblRequirementMeasureXref[[#This Row],[dm_id]],tblDataRequirement[dm_id],tblDataRequirement[dm_phase])</f>
        <v>operate</v>
      </c>
      <c r="C651" s="1">
        <v>37</v>
      </c>
      <c r="D651" s="1">
        <v>164</v>
      </c>
      <c r="G651" s="1"/>
      <c r="H651" s="62" t="str">
        <f>_xlfn.XLOOKUP(tblRequirementMeasureXref[[#This Row],[msr_id]],tblMeasure[msr_id],tblMeasure[msr_table])</f>
        <v>Table 22</v>
      </c>
      <c r="I651" s="22" t="str">
        <f>_xlfn.XLOOKUP(tblRequirementMeasureXref[[#This Row],[msr_id]],tblMeasure[msr_id],tblMeasure[msr_name])</f>
        <v>Patients by planned transfer date where the local authority is aware by age and learning disability or autism status</v>
      </c>
      <c r="J651" s="22" t="str">
        <f>_xlfn.XLOOKUP(tblRequirementMeasureXref[[#This Row],[msr_id]],tblMeasure[msr_id],tblMeasure[primary_dimensions])</f>
        <v>patients, LD/Autism, planned transfer, LA aware</v>
      </c>
      <c r="K651" s="22" t="str">
        <f>_xlfn.XLOOKUP(tblRequirementMeasureXref[[#This Row],[msr_id]],tblMeasure[msr_id],tblMeasure[msr_min_geo_resolution])</f>
        <v>England</v>
      </c>
      <c r="L651" s="22" t="str">
        <f>_xlfn.XLOOKUP(tblRequirementMeasureXref[[#This Row],[msr_id]],tblMeasure[msr_id],tblMeasure[src_name])</f>
        <v>Learning Disability Services Statistics</v>
      </c>
    </row>
    <row r="652" spans="1:12" x14ac:dyDescent="0.15">
      <c r="A652" s="1" t="str">
        <f>_xlfn.XLOOKUP(tblRequirementMeasureXref[[#This Row],[dm_id]],tblDataRequirement[dm_id],tblDataRequirement[domain_sub_requirement])</f>
        <v>Users:Demographics:Age</v>
      </c>
      <c r="B652" s="1" t="str">
        <f>_xlfn.XLOOKUP(tblRequirementMeasureXref[[#This Row],[dm_id]],tblDataRequirement[dm_id],tblDataRequirement[dm_phase])</f>
        <v>demand</v>
      </c>
      <c r="C652" s="1">
        <v>51</v>
      </c>
      <c r="D652" s="1">
        <v>164</v>
      </c>
      <c r="G652" s="1"/>
      <c r="H652" s="62" t="str">
        <f>_xlfn.XLOOKUP(tblRequirementMeasureXref[[#This Row],[msr_id]],tblMeasure[msr_id],tblMeasure[msr_table])</f>
        <v>Table 22</v>
      </c>
      <c r="I652" s="22" t="str">
        <f>_xlfn.XLOOKUP(tblRequirementMeasureXref[[#This Row],[msr_id]],tblMeasure[msr_id],tblMeasure[msr_name])</f>
        <v>Patients by planned transfer date where the local authority is aware by age and learning disability or autism status</v>
      </c>
      <c r="J652" s="22" t="str">
        <f>_xlfn.XLOOKUP(tblRequirementMeasureXref[[#This Row],[msr_id]],tblMeasure[msr_id],tblMeasure[primary_dimensions])</f>
        <v>patients, LD/Autism, planned transfer, LA aware</v>
      </c>
      <c r="K652" s="22" t="str">
        <f>_xlfn.XLOOKUP(tblRequirementMeasureXref[[#This Row],[msr_id]],tblMeasure[msr_id],tblMeasure[msr_min_geo_resolution])</f>
        <v>England</v>
      </c>
      <c r="L652" s="22" t="str">
        <f>_xlfn.XLOOKUP(tblRequirementMeasureXref[[#This Row],[msr_id]],tblMeasure[msr_id],tblMeasure[src_name])</f>
        <v>Learning Disability Services Statistics</v>
      </c>
    </row>
    <row r="653" spans="1:12" x14ac:dyDescent="0.15">
      <c r="A653" s="1" t="str">
        <f>_xlfn.XLOOKUP(tblRequirementMeasureXref[[#This Row],[dm_id]],tblDataRequirement[dm_id],tblDataRequirement[domain_sub_requirement])</f>
        <v>Users:Care need:Disability/Dependence</v>
      </c>
      <c r="B653" s="1" t="str">
        <f>_xlfn.XLOOKUP(tblRequirementMeasureXref[[#This Row],[dm_id]],tblDataRequirement[dm_id],tblDataRequirement[dm_phase])</f>
        <v>demand</v>
      </c>
      <c r="C653" s="1">
        <v>61</v>
      </c>
      <c r="D653" s="1">
        <v>165</v>
      </c>
      <c r="G653" s="1"/>
      <c r="H653" s="62" t="str">
        <f>_xlfn.XLOOKUP(tblRequirementMeasureXref[[#This Row],[msr_id]],tblMeasure[msr_id],tblMeasure[msr_table])</f>
        <v>Table 23</v>
      </c>
      <c r="I653" s="22" t="str">
        <f>_xlfn.XLOOKUP(tblRequirementMeasureXref[[#This Row],[msr_id]],tblMeasure[msr_id],tblMeasure[msr_name])</f>
        <v>Patients by family involvement by age and learning disability or autism status</v>
      </c>
      <c r="J653" s="22" t="str">
        <f>_xlfn.XLOOKUP(tblRequirementMeasureXref[[#This Row],[msr_id]],tblMeasure[msr_id],tblMeasure[primary_dimensions])</f>
        <v>patients, LD/Autism, family involved</v>
      </c>
      <c r="K653" s="22" t="str">
        <f>_xlfn.XLOOKUP(tblRequirementMeasureXref[[#This Row],[msr_id]],tblMeasure[msr_id],tblMeasure[msr_min_geo_resolution])</f>
        <v>England</v>
      </c>
      <c r="L653" s="22" t="str">
        <f>_xlfn.XLOOKUP(tblRequirementMeasureXref[[#This Row],[msr_id]],tblMeasure[msr_id],tblMeasure[src_name])</f>
        <v>Learning Disability Services Statistics</v>
      </c>
    </row>
    <row r="654" spans="1:12" x14ac:dyDescent="0.15">
      <c r="A654" s="1" t="str">
        <f>_xlfn.XLOOKUP(tblRequirementMeasureXref[[#This Row],[dm_id]],tblDataRequirement[dm_id],tblDataRequirement[domain_sub_requirement])</f>
        <v>Users:Care need:Disability/Dependence</v>
      </c>
      <c r="B654" s="1" t="str">
        <f>_xlfn.XLOOKUP(tblRequirementMeasureXref[[#This Row],[dm_id]],tblDataRequirement[dm_id],tblDataRequirement[dm_phase])</f>
        <v>demand</v>
      </c>
      <c r="C654" s="1">
        <v>61</v>
      </c>
      <c r="D654" s="1">
        <v>166</v>
      </c>
      <c r="G654" s="1"/>
      <c r="H654" s="62" t="str">
        <f>_xlfn.XLOOKUP(tblRequirementMeasureXref[[#This Row],[msr_id]],tblMeasure[msr_id],tblMeasure[msr_table])</f>
        <v>Table 24</v>
      </c>
      <c r="I654" s="22" t="str">
        <f>_xlfn.XLOOKUP(tblRequirementMeasureXref[[#This Row],[msr_id]],tblMeasure[msr_id],tblMeasure[msr_name])</f>
        <v>Patients by care needs and inpatient setting by learning disability or autism status</v>
      </c>
      <c r="J654" s="22" t="str">
        <f>_xlfn.XLOOKUP(tblRequirementMeasureXref[[#This Row],[msr_id]],tblMeasure[msr_id],tblMeasure[primary_dimensions])</f>
        <v>patients, LD/Autism, inpatient setting</v>
      </c>
      <c r="K654" s="22" t="str">
        <f>_xlfn.XLOOKUP(tblRequirementMeasureXref[[#This Row],[msr_id]],tblMeasure[msr_id],tblMeasure[msr_min_geo_resolution])</f>
        <v>England</v>
      </c>
      <c r="L654" s="22" t="str">
        <f>_xlfn.XLOOKUP(tblRequirementMeasureXref[[#This Row],[msr_id]],tblMeasure[msr_id],tblMeasure[src_name])</f>
        <v>Learning Disability Services Statistics</v>
      </c>
    </row>
    <row r="655" spans="1:12" x14ac:dyDescent="0.15">
      <c r="A655" s="1" t="str">
        <f>_xlfn.XLOOKUP(tblRequirementMeasureXref[[#This Row],[dm_id]],tblDataRequirement[dm_id],tblDataRequirement[domain_sub_requirement])</f>
        <v>Users:Care need:Disability/Dependence</v>
      </c>
      <c r="B655" s="1" t="str">
        <f>_xlfn.XLOOKUP(tblRequirementMeasureXref[[#This Row],[dm_id]],tblDataRequirement[dm_id],tblDataRequirement[dm_phase])</f>
        <v>demand</v>
      </c>
      <c r="C655" s="1">
        <v>61</v>
      </c>
      <c r="D655" s="1">
        <v>167</v>
      </c>
      <c r="G655" s="1"/>
      <c r="H655" s="62" t="str">
        <f>_xlfn.XLOOKUP(tblRequirementMeasureXref[[#This Row],[msr_id]],tblMeasure[msr_id],tblMeasure[msr_table])</f>
        <v>Table 25</v>
      </c>
      <c r="I655" s="22" t="str">
        <f>_xlfn.XLOOKUP(tblRequirementMeasureXref[[#This Row],[msr_id]],tblMeasure[msr_id],tblMeasure[msr_name])</f>
        <v>Patients by total length of stay and inpatient setting by learning disability or autism status</v>
      </c>
      <c r="J655" s="22" t="str">
        <f>_xlfn.XLOOKUP(tblRequirementMeasureXref[[#This Row],[msr_id]],tblMeasure[msr_id],tblMeasure[primary_dimensions])</f>
        <v>patients, LD/Autism, inpatient setting, length of stay</v>
      </c>
      <c r="K655" s="22" t="str">
        <f>_xlfn.XLOOKUP(tblRequirementMeasureXref[[#This Row],[msr_id]],tblMeasure[msr_id],tblMeasure[msr_min_geo_resolution])</f>
        <v>England</v>
      </c>
      <c r="L655" s="22" t="str">
        <f>_xlfn.XLOOKUP(tblRequirementMeasureXref[[#This Row],[msr_id]],tblMeasure[msr_id],tblMeasure[src_name])</f>
        <v>Learning Disability Services Statistics</v>
      </c>
    </row>
    <row r="656" spans="1:12" x14ac:dyDescent="0.15">
      <c r="A656" s="1" t="str">
        <f>_xlfn.XLOOKUP(tblRequirementMeasureXref[[#This Row],[dm_id]],tblDataRequirement[dm_id],tblDataRequirement[domain_sub_requirement])</f>
        <v>Users:Demographics:Age</v>
      </c>
      <c r="B656" s="1" t="str">
        <f>_xlfn.XLOOKUP(tblRequirementMeasureXref[[#This Row],[dm_id]],tblDataRequirement[dm_id],tblDataRequirement[dm_phase])</f>
        <v>demand</v>
      </c>
      <c r="C656" s="1">
        <v>51</v>
      </c>
      <c r="D656" s="1">
        <v>168</v>
      </c>
      <c r="G656" s="1"/>
      <c r="H656" s="62" t="str">
        <f>_xlfn.XLOOKUP(tblRequirementMeasureXref[[#This Row],[msr_id]],tblMeasure[msr_id],tblMeasure[msr_table])</f>
        <v>T1a</v>
      </c>
      <c r="I656" s="22" t="str">
        <f>_xlfn.XLOOKUP(tblRequirementMeasureXref[[#This Row],[msr_id]],tblMeasure[msr_id],tblMeasure[msr_name])</f>
        <v>Profile of answers for all questions by CASSR, CASSR type and region</v>
      </c>
      <c r="J656"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56" s="22" t="str">
        <f>_xlfn.XLOOKUP(tblRequirementMeasureXref[[#This Row],[msr_id]],tblMeasure[msr_id],tblMeasure[msr_min_geo_resolution])</f>
        <v>LA</v>
      </c>
      <c r="L656" s="22" t="str">
        <f>_xlfn.XLOOKUP(tblRequirementMeasureXref[[#This Row],[msr_id]],tblMeasure[msr_id],tblMeasure[src_name])</f>
        <v>Personal Social Services (SACE) Survey of Adult Carers in England</v>
      </c>
    </row>
    <row r="657" spans="1:12" x14ac:dyDescent="0.15">
      <c r="A657" s="1" t="str">
        <f>_xlfn.XLOOKUP(tblRequirementMeasureXref[[#This Row],[dm_id]],tblDataRequirement[dm_id],tblDataRequirement[domain_sub_requirement])</f>
        <v>Users:Care need:Support reason</v>
      </c>
      <c r="B657" s="1" t="str">
        <f>_xlfn.XLOOKUP(tblRequirementMeasureXref[[#This Row],[dm_id]],tblDataRequirement[dm_id],tblDataRequirement[dm_phase])</f>
        <v>demand</v>
      </c>
      <c r="C657" s="1">
        <v>56</v>
      </c>
      <c r="D657" s="1">
        <v>168</v>
      </c>
      <c r="G657" s="1"/>
      <c r="H657" s="62" t="str">
        <f>_xlfn.XLOOKUP(tblRequirementMeasureXref[[#This Row],[msr_id]],tblMeasure[msr_id],tblMeasure[msr_table])</f>
        <v>T1a</v>
      </c>
      <c r="I657" s="22" t="str">
        <f>_xlfn.XLOOKUP(tblRequirementMeasureXref[[#This Row],[msr_id]],tblMeasure[msr_id],tblMeasure[msr_name])</f>
        <v>Profile of answers for all questions by CASSR, CASSR type and region</v>
      </c>
      <c r="J657"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57" s="22" t="str">
        <f>_xlfn.XLOOKUP(tblRequirementMeasureXref[[#This Row],[msr_id]],tblMeasure[msr_id],tblMeasure[msr_min_geo_resolution])</f>
        <v>LA</v>
      </c>
      <c r="L657" s="22" t="str">
        <f>_xlfn.XLOOKUP(tblRequirementMeasureXref[[#This Row],[msr_id]],tblMeasure[msr_id],tblMeasure[src_name])</f>
        <v>Personal Social Services (SACE) Survey of Adult Carers in England</v>
      </c>
    </row>
    <row r="658" spans="1:12" x14ac:dyDescent="0.15">
      <c r="A658" s="1" t="str">
        <f>_xlfn.XLOOKUP(tblRequirementMeasureXref[[#This Row],[dm_id]],tblDataRequirement[dm_id],tblDataRequirement[domain_sub_requirement])</f>
        <v>Users:Context:Family/Household structure</v>
      </c>
      <c r="B658" s="1" t="str">
        <f>_xlfn.XLOOKUP(tblRequirementMeasureXref[[#This Row],[dm_id]],tblDataRequirement[dm_id],tblDataRequirement[dm_phase])</f>
        <v>demand</v>
      </c>
      <c r="C658" s="1">
        <v>63</v>
      </c>
      <c r="D658" s="1">
        <v>168</v>
      </c>
      <c r="G658" s="1"/>
      <c r="H658" s="62" t="str">
        <f>_xlfn.XLOOKUP(tblRequirementMeasureXref[[#This Row],[msr_id]],tblMeasure[msr_id],tblMeasure[msr_table])</f>
        <v>T1a</v>
      </c>
      <c r="I658" s="22" t="str">
        <f>_xlfn.XLOOKUP(tblRequirementMeasureXref[[#This Row],[msr_id]],tblMeasure[msr_id],tblMeasure[msr_name])</f>
        <v>Profile of answers for all questions by CASSR, CASSR type and region</v>
      </c>
      <c r="J658"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58" s="22" t="str">
        <f>_xlfn.XLOOKUP(tblRequirementMeasureXref[[#This Row],[msr_id]],tblMeasure[msr_id],tblMeasure[msr_min_geo_resolution])</f>
        <v>LA</v>
      </c>
      <c r="L658" s="22" t="str">
        <f>_xlfn.XLOOKUP(tblRequirementMeasureXref[[#This Row],[msr_id]],tblMeasure[msr_id],tblMeasure[src_name])</f>
        <v>Personal Social Services (SACE) Survey of Adult Carers in England</v>
      </c>
    </row>
    <row r="659" spans="1:12" x14ac:dyDescent="0.15">
      <c r="A659" s="1" t="str">
        <f>_xlfn.XLOOKUP(tblRequirementMeasureXref[[#This Row],[dm_id]],tblDataRequirement[dm_id],tblDataRequirement[domain_sub_requirement])</f>
        <v>Service:Quality:Unpaid Carer perception</v>
      </c>
      <c r="B659" s="1" t="str">
        <f>_xlfn.XLOOKUP(tblRequirementMeasureXref[[#This Row],[dm_id]],tblDataRequirement[dm_id],tblDataRequirement[dm_phase])</f>
        <v>outcome</v>
      </c>
      <c r="C659" s="1">
        <v>23</v>
      </c>
      <c r="D659" s="1">
        <v>168</v>
      </c>
      <c r="G659" s="1"/>
      <c r="H659" s="62" t="str">
        <f>_xlfn.XLOOKUP(tblRequirementMeasureXref[[#This Row],[msr_id]],tblMeasure[msr_id],tblMeasure[msr_table])</f>
        <v>T1a</v>
      </c>
      <c r="I659" s="22" t="str">
        <f>_xlfn.XLOOKUP(tblRequirementMeasureXref[[#This Row],[msr_id]],tblMeasure[msr_id],tblMeasure[msr_name])</f>
        <v>Profile of answers for all questions by CASSR, CASSR type and region</v>
      </c>
      <c r="J659"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59" s="22" t="str">
        <f>_xlfn.XLOOKUP(tblRequirementMeasureXref[[#This Row],[msr_id]],tblMeasure[msr_id],tblMeasure[msr_min_geo_resolution])</f>
        <v>LA</v>
      </c>
      <c r="L659" s="22" t="str">
        <f>_xlfn.XLOOKUP(tblRequirementMeasureXref[[#This Row],[msr_id]],tblMeasure[msr_id],tblMeasure[src_name])</f>
        <v>Personal Social Services (SACE) Survey of Adult Carers in England</v>
      </c>
    </row>
    <row r="660" spans="1:12" x14ac:dyDescent="0.15">
      <c r="A660" s="1" t="str">
        <f>_xlfn.XLOOKUP(tblRequirementMeasureXref[[#This Row],[dm_id]],tblDataRequirement[dm_id],tblDataRequirement[domain_sub_requirement])</f>
        <v>Service:Support setting:Home</v>
      </c>
      <c r="B660" s="1" t="str">
        <f>_xlfn.XLOOKUP(tblRequirementMeasureXref[[#This Row],[dm_id]],tblDataRequirement[dm_id],tblDataRequirement[dm_phase])</f>
        <v>operate</v>
      </c>
      <c r="C660" s="1">
        <v>40</v>
      </c>
      <c r="D660" s="1">
        <v>168</v>
      </c>
      <c r="G660" s="1"/>
      <c r="H660" s="62" t="str">
        <f>_xlfn.XLOOKUP(tblRequirementMeasureXref[[#This Row],[msr_id]],tblMeasure[msr_id],tblMeasure[msr_table])</f>
        <v>T1a</v>
      </c>
      <c r="I660" s="22" t="str">
        <f>_xlfn.XLOOKUP(tblRequirementMeasureXref[[#This Row],[msr_id]],tblMeasure[msr_id],tblMeasure[msr_name])</f>
        <v>Profile of answers for all questions by CASSR, CASSR type and region</v>
      </c>
      <c r="J660"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0" s="22" t="str">
        <f>_xlfn.XLOOKUP(tblRequirementMeasureXref[[#This Row],[msr_id]],tblMeasure[msr_id],tblMeasure[msr_min_geo_resolution])</f>
        <v>LA</v>
      </c>
      <c r="L660" s="22" t="str">
        <f>_xlfn.XLOOKUP(tblRequirementMeasureXref[[#This Row],[msr_id]],tblMeasure[msr_id],tblMeasure[src_name])</f>
        <v>Personal Social Services (SACE) Survey of Adult Carers in England</v>
      </c>
    </row>
    <row r="661" spans="1:12" x14ac:dyDescent="0.15">
      <c r="A661" s="1" t="str">
        <f>_xlfn.XLOOKUP(tblRequirementMeasureXref[[#This Row],[dm_id]],tblDataRequirement[dm_id],tblDataRequirement[domain_sub_requirement])</f>
        <v>Service:Support setting:Community</v>
      </c>
      <c r="B661" s="1" t="str">
        <f>_xlfn.XLOOKUP(tblRequirementMeasureXref[[#This Row],[dm_id]],tblDataRequirement[dm_id],tblDataRequirement[dm_phase])</f>
        <v>operate</v>
      </c>
      <c r="C661" s="1">
        <v>43</v>
      </c>
      <c r="D661" s="1">
        <v>168</v>
      </c>
      <c r="G661" s="1"/>
      <c r="H661" s="62" t="str">
        <f>_xlfn.XLOOKUP(tblRequirementMeasureXref[[#This Row],[msr_id]],tblMeasure[msr_id],tblMeasure[msr_table])</f>
        <v>T1a</v>
      </c>
      <c r="I661" s="22" t="str">
        <f>_xlfn.XLOOKUP(tblRequirementMeasureXref[[#This Row],[msr_id]],tblMeasure[msr_id],tblMeasure[msr_name])</f>
        <v>Profile of answers for all questions by CASSR, CASSR type and region</v>
      </c>
      <c r="J661"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1" s="22" t="str">
        <f>_xlfn.XLOOKUP(tblRequirementMeasureXref[[#This Row],[msr_id]],tblMeasure[msr_id],tblMeasure[msr_min_geo_resolution])</f>
        <v>LA</v>
      </c>
      <c r="L661" s="22" t="str">
        <f>_xlfn.XLOOKUP(tblRequirementMeasureXref[[#This Row],[msr_id]],tblMeasure[msr_id],tblMeasure[src_name])</f>
        <v>Personal Social Services (SACE) Survey of Adult Carers in England</v>
      </c>
    </row>
    <row r="662" spans="1:12" x14ac:dyDescent="0.15">
      <c r="A662" s="1" t="str">
        <f>_xlfn.XLOOKUP(tblRequirementMeasureXref[[#This Row],[dm_id]],tblDataRequirement[dm_id],tblDataRequirement[domain_sub_requirement])</f>
        <v>Service:Support type:Other (not ST or LT)</v>
      </c>
      <c r="B662" s="1" t="str">
        <f>_xlfn.XLOOKUP(tblRequirementMeasureXref[[#This Row],[dm_id]],tblDataRequirement[dm_id],tblDataRequirement[dm_phase])</f>
        <v>operate</v>
      </c>
      <c r="C662" s="1">
        <v>68</v>
      </c>
      <c r="D662" s="1">
        <v>168</v>
      </c>
      <c r="G662" s="1"/>
      <c r="H662" s="62" t="str">
        <f>_xlfn.XLOOKUP(tblRequirementMeasureXref[[#This Row],[msr_id]],tblMeasure[msr_id],tblMeasure[msr_table])</f>
        <v>T1a</v>
      </c>
      <c r="I662" s="22" t="str">
        <f>_xlfn.XLOOKUP(tblRequirementMeasureXref[[#This Row],[msr_id]],tblMeasure[msr_id],tblMeasure[msr_name])</f>
        <v>Profile of answers for all questions by CASSR, CASSR type and region</v>
      </c>
      <c r="J662"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2" s="22" t="str">
        <f>_xlfn.XLOOKUP(tblRequirementMeasureXref[[#This Row],[msr_id]],tblMeasure[msr_id],tblMeasure[msr_min_geo_resolution])</f>
        <v>LA</v>
      </c>
      <c r="L662" s="22" t="str">
        <f>_xlfn.XLOOKUP(tblRequirementMeasureXref[[#This Row],[msr_id]],tblMeasure[msr_id],tblMeasure[src_name])</f>
        <v>Personal Social Services (SACE) Survey of Adult Carers in England</v>
      </c>
    </row>
    <row r="663" spans="1:12" x14ac:dyDescent="0.15">
      <c r="A663" s="1" t="str">
        <f>_xlfn.XLOOKUP(tblRequirementMeasureXref[[#This Row],[dm_id]],tblDataRequirement[dm_id],tblDataRequirement[domain_sub_requirement])</f>
        <v>Service:Support setting:Residential care home</v>
      </c>
      <c r="B663" s="1" t="str">
        <f>_xlfn.XLOOKUP(tblRequirementMeasureXref[[#This Row],[dm_id]],tblDataRequirement[dm_id],tblDataRequirement[dm_phase])</f>
        <v>operate</v>
      </c>
      <c r="C663" s="1">
        <v>41</v>
      </c>
      <c r="D663" s="1">
        <v>168</v>
      </c>
      <c r="G663" s="1"/>
      <c r="H663" s="62" t="str">
        <f>_xlfn.XLOOKUP(tblRequirementMeasureXref[[#This Row],[msr_id]],tblMeasure[msr_id],tblMeasure[msr_table])</f>
        <v>T1a</v>
      </c>
      <c r="I663" s="22" t="str">
        <f>_xlfn.XLOOKUP(tblRequirementMeasureXref[[#This Row],[msr_id]],tblMeasure[msr_id],tblMeasure[msr_name])</f>
        <v>Profile of answers for all questions by CASSR, CASSR type and region</v>
      </c>
      <c r="J663"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3" s="22" t="str">
        <f>_xlfn.XLOOKUP(tblRequirementMeasureXref[[#This Row],[msr_id]],tblMeasure[msr_id],tblMeasure[msr_min_geo_resolution])</f>
        <v>LA</v>
      </c>
      <c r="L663" s="22" t="str">
        <f>_xlfn.XLOOKUP(tblRequirementMeasureXref[[#This Row],[msr_id]],tblMeasure[msr_id],tblMeasure[src_name])</f>
        <v>Personal Social Services (SACE) Survey of Adult Carers in England</v>
      </c>
    </row>
    <row r="664" spans="1:12" x14ac:dyDescent="0.15">
      <c r="A664" s="1" t="str">
        <f>_xlfn.XLOOKUP(tblRequirementMeasureXref[[#This Row],[dm_id]],tblDataRequirement[dm_id],tblDataRequirement[domain_sub_requirement])</f>
        <v>Service:Support setting:Nursing home</v>
      </c>
      <c r="B664" s="1" t="str">
        <f>_xlfn.XLOOKUP(tblRequirementMeasureXref[[#This Row],[dm_id]],tblDataRequirement[dm_id],tblDataRequirement[dm_phase])</f>
        <v>operate</v>
      </c>
      <c r="C664" s="1">
        <v>42</v>
      </c>
      <c r="D664" s="1">
        <v>168</v>
      </c>
      <c r="G664" s="1"/>
      <c r="H664" s="62" t="str">
        <f>_xlfn.XLOOKUP(tblRequirementMeasureXref[[#This Row],[msr_id]],tblMeasure[msr_id],tblMeasure[msr_table])</f>
        <v>T1a</v>
      </c>
      <c r="I664" s="22" t="str">
        <f>_xlfn.XLOOKUP(tblRequirementMeasureXref[[#This Row],[msr_id]],tblMeasure[msr_id],tblMeasure[msr_name])</f>
        <v>Profile of answers for all questions by CASSR, CASSR type and region</v>
      </c>
      <c r="J664"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4" s="22" t="str">
        <f>_xlfn.XLOOKUP(tblRequirementMeasureXref[[#This Row],[msr_id]],tblMeasure[msr_id],tblMeasure[msr_min_geo_resolution])</f>
        <v>LA</v>
      </c>
      <c r="L664" s="22" t="str">
        <f>_xlfn.XLOOKUP(tblRequirementMeasureXref[[#This Row],[msr_id]],tblMeasure[msr_id],tblMeasure[src_name])</f>
        <v>Personal Social Services (SACE) Survey of Adult Carers in England</v>
      </c>
    </row>
    <row r="665" spans="1:12" x14ac:dyDescent="0.15">
      <c r="A665" s="1" t="str">
        <f>_xlfn.XLOOKUP(tblRequirementMeasureXref[[#This Row],[dm_id]],tblDataRequirement[dm_id],tblDataRequirement[domain_sub_requirement])</f>
        <v>Service:Support type:Unpaid Carer support</v>
      </c>
      <c r="B665" s="1" t="str">
        <f>_xlfn.XLOOKUP(tblRequirementMeasureXref[[#This Row],[dm_id]],tblDataRequirement[dm_id],tblDataRequirement[dm_phase])</f>
        <v>operate</v>
      </c>
      <c r="C665" s="1">
        <v>80</v>
      </c>
      <c r="D665" s="1">
        <v>168</v>
      </c>
      <c r="G665" s="1"/>
      <c r="H665" s="62" t="str">
        <f>_xlfn.XLOOKUP(tblRequirementMeasureXref[[#This Row],[msr_id]],tblMeasure[msr_id],tblMeasure[msr_table])</f>
        <v>T1a</v>
      </c>
      <c r="I665" s="22" t="str">
        <f>_xlfn.XLOOKUP(tblRequirementMeasureXref[[#This Row],[msr_id]],tblMeasure[msr_id],tblMeasure[msr_name])</f>
        <v>Profile of answers for all questions by CASSR, CASSR type and region</v>
      </c>
      <c r="J665"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5" s="22" t="str">
        <f>_xlfn.XLOOKUP(tblRequirementMeasureXref[[#This Row],[msr_id]],tblMeasure[msr_id],tblMeasure[msr_min_geo_resolution])</f>
        <v>LA</v>
      </c>
      <c r="L665" s="22" t="str">
        <f>_xlfn.XLOOKUP(tblRequirementMeasureXref[[#This Row],[msr_id]],tblMeasure[msr_id],tblMeasure[src_name])</f>
        <v>Personal Social Services (SACE) Survey of Adult Carers in England</v>
      </c>
    </row>
    <row r="666" spans="1:12" x14ac:dyDescent="0.15">
      <c r="A666" s="1" t="str">
        <f>_xlfn.XLOOKUP(tblRequirementMeasureXref[[#This Row],[dm_id]],tblDataRequirement[dm_id],tblDataRequirement[domain_sub_requirement])</f>
        <v>Unpaid Carers:Quality of life:Employment/Income</v>
      </c>
      <c r="B666" s="1" t="str">
        <f>_xlfn.XLOOKUP(tblRequirementMeasureXref[[#This Row],[dm_id]],tblDataRequirement[dm_id],tblDataRequirement[dm_phase])</f>
        <v>outcome</v>
      </c>
      <c r="C666" s="1">
        <v>88</v>
      </c>
      <c r="D666" s="1">
        <v>168</v>
      </c>
      <c r="G666" s="1"/>
      <c r="H666" s="62" t="str">
        <f>_xlfn.XLOOKUP(tblRequirementMeasureXref[[#This Row],[msr_id]],tblMeasure[msr_id],tblMeasure[msr_table])</f>
        <v>T1a</v>
      </c>
      <c r="I666" s="22" t="str">
        <f>_xlfn.XLOOKUP(tblRequirementMeasureXref[[#This Row],[msr_id]],tblMeasure[msr_id],tblMeasure[msr_name])</f>
        <v>Profile of answers for all questions by CASSR, CASSR type and region</v>
      </c>
      <c r="J666"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6" s="22" t="str">
        <f>_xlfn.XLOOKUP(tblRequirementMeasureXref[[#This Row],[msr_id]],tblMeasure[msr_id],tblMeasure[msr_min_geo_resolution])</f>
        <v>LA</v>
      </c>
      <c r="L666" s="22" t="str">
        <f>_xlfn.XLOOKUP(tblRequirementMeasureXref[[#This Row],[msr_id]],tblMeasure[msr_id],tblMeasure[src_name])</f>
        <v>Personal Social Services (SACE) Survey of Adult Carers in England</v>
      </c>
    </row>
    <row r="667" spans="1:12" x14ac:dyDescent="0.15">
      <c r="A667" s="1" t="str">
        <f>_xlfn.XLOOKUP(tblRequirementMeasureXref[[#This Row],[dm_id]],tblDataRequirement[dm_id],tblDataRequirement[domain_sub_requirement])</f>
        <v>Unpaid Carers:Quality of life:Well-being</v>
      </c>
      <c r="B667" s="1" t="str">
        <f>_xlfn.XLOOKUP(tblRequirementMeasureXref[[#This Row],[dm_id]],tblDataRequirement[dm_id],tblDataRequirement[dm_phase])</f>
        <v>outcome</v>
      </c>
      <c r="C667" s="1">
        <v>87</v>
      </c>
      <c r="D667" s="1">
        <v>168</v>
      </c>
      <c r="G667" s="1"/>
      <c r="H667" s="62" t="str">
        <f>_xlfn.XLOOKUP(tblRequirementMeasureXref[[#This Row],[msr_id]],tblMeasure[msr_id],tblMeasure[msr_table])</f>
        <v>T1a</v>
      </c>
      <c r="I667" s="22" t="str">
        <f>_xlfn.XLOOKUP(tblRequirementMeasureXref[[#This Row],[msr_id]],tblMeasure[msr_id],tblMeasure[msr_name])</f>
        <v>Profile of answers for all questions by CASSR, CASSR type and region</v>
      </c>
      <c r="J667"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7" s="22" t="str">
        <f>_xlfn.XLOOKUP(tblRequirementMeasureXref[[#This Row],[msr_id]],tblMeasure[msr_id],tblMeasure[msr_min_geo_resolution])</f>
        <v>LA</v>
      </c>
      <c r="L667" s="22" t="str">
        <f>_xlfn.XLOOKUP(tblRequirementMeasureXref[[#This Row],[msr_id]],tblMeasure[msr_id],tblMeasure[src_name])</f>
        <v>Personal Social Services (SACE) Survey of Adult Carers in England</v>
      </c>
    </row>
    <row r="668" spans="1:12" x14ac:dyDescent="0.15">
      <c r="A668" s="1" t="str">
        <f>_xlfn.XLOOKUP(tblRequirementMeasureXref[[#This Row],[dm_id]],tblDataRequirement[dm_id],tblDataRequirement[domain_sub_requirement])</f>
        <v>Unpaid Carers:Health:Health</v>
      </c>
      <c r="B668" s="1" t="str">
        <f>_xlfn.XLOOKUP(tblRequirementMeasureXref[[#This Row],[dm_id]],tblDataRequirement[dm_id],tblDataRequirement[dm_phase])</f>
        <v>outcome</v>
      </c>
      <c r="C668" s="1">
        <v>89</v>
      </c>
      <c r="D668" s="1">
        <v>168</v>
      </c>
      <c r="G668" s="1"/>
      <c r="H668" s="62" t="str">
        <f>_xlfn.XLOOKUP(tblRequirementMeasureXref[[#This Row],[msr_id]],tblMeasure[msr_id],tblMeasure[msr_table])</f>
        <v>T1a</v>
      </c>
      <c r="I668" s="22" t="str">
        <f>_xlfn.XLOOKUP(tblRequirementMeasureXref[[#This Row],[msr_id]],tblMeasure[msr_id],tblMeasure[msr_name])</f>
        <v>Profile of answers for all questions by CASSR, CASSR type and region</v>
      </c>
      <c r="J668"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8" s="22" t="str">
        <f>_xlfn.XLOOKUP(tblRequirementMeasureXref[[#This Row],[msr_id]],tblMeasure[msr_id],tblMeasure[msr_min_geo_resolution])</f>
        <v>LA</v>
      </c>
      <c r="L668" s="22" t="str">
        <f>_xlfn.XLOOKUP(tblRequirementMeasureXref[[#This Row],[msr_id]],tblMeasure[msr_id],tblMeasure[src_name])</f>
        <v>Personal Social Services (SACE) Survey of Adult Carers in England</v>
      </c>
    </row>
    <row r="669" spans="1:12" x14ac:dyDescent="0.15">
      <c r="A669" s="1" t="str">
        <f>_xlfn.XLOOKUP(tblRequirementMeasureXref[[#This Row],[dm_id]],tblDataRequirement[dm_id],tblDataRequirement[domain_sub_requirement])</f>
        <v>Service:Quality:Safety</v>
      </c>
      <c r="B669" s="1" t="str">
        <f>_xlfn.XLOOKUP(tblRequirementMeasureXref[[#This Row],[dm_id]],tblDataRequirement[dm_id],tblDataRequirement[dm_phase])</f>
        <v>outcome</v>
      </c>
      <c r="C669" s="1">
        <v>74</v>
      </c>
      <c r="D669" s="1">
        <v>168</v>
      </c>
      <c r="G669" s="1"/>
      <c r="H669" s="62" t="str">
        <f>_xlfn.XLOOKUP(tblRequirementMeasureXref[[#This Row],[msr_id]],tblMeasure[msr_id],tblMeasure[msr_table])</f>
        <v>T1a</v>
      </c>
      <c r="I669" s="22" t="str">
        <f>_xlfn.XLOOKUP(tblRequirementMeasureXref[[#This Row],[msr_id]],tblMeasure[msr_id],tblMeasure[msr_name])</f>
        <v>Profile of answers for all questions by CASSR, CASSR type and region</v>
      </c>
      <c r="J669"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69" s="22" t="str">
        <f>_xlfn.XLOOKUP(tblRequirementMeasureXref[[#This Row],[msr_id]],tblMeasure[msr_id],tblMeasure[msr_min_geo_resolution])</f>
        <v>LA</v>
      </c>
      <c r="L669" s="22" t="str">
        <f>_xlfn.XLOOKUP(tblRequirementMeasureXref[[#This Row],[msr_id]],tblMeasure[msr_id],tblMeasure[src_name])</f>
        <v>Personal Social Services (SACE) Survey of Adult Carers in England</v>
      </c>
    </row>
    <row r="670" spans="1:12" x14ac:dyDescent="0.15">
      <c r="A670" s="1" t="str">
        <f>_xlfn.XLOOKUP(tblRequirementMeasureXref[[#This Row],[dm_id]],tblDataRequirement[dm_id],tblDataRequirement[domain_sub_requirement])</f>
        <v>Unpaid Carers:Experience:Experience</v>
      </c>
      <c r="B670" s="1" t="str">
        <f>_xlfn.XLOOKUP(tblRequirementMeasureXref[[#This Row],[dm_id]],tblDataRequirement[dm_id],tblDataRequirement[dm_phase])</f>
        <v>outcome</v>
      </c>
      <c r="C670" s="1">
        <v>85</v>
      </c>
      <c r="D670" s="1">
        <v>168</v>
      </c>
      <c r="G670" s="1"/>
      <c r="H670" s="62" t="str">
        <f>_xlfn.XLOOKUP(tblRequirementMeasureXref[[#This Row],[msr_id]],tblMeasure[msr_id],tblMeasure[msr_table])</f>
        <v>T1a</v>
      </c>
      <c r="I670" s="22" t="str">
        <f>_xlfn.XLOOKUP(tblRequirementMeasureXref[[#This Row],[msr_id]],tblMeasure[msr_id],tblMeasure[msr_name])</f>
        <v>Profile of answers for all questions by CASSR, CASSR type and region</v>
      </c>
      <c r="J670"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70" s="22" t="str">
        <f>_xlfn.XLOOKUP(tblRequirementMeasureXref[[#This Row],[msr_id]],tblMeasure[msr_id],tblMeasure[msr_min_geo_resolution])</f>
        <v>LA</v>
      </c>
      <c r="L670" s="22" t="str">
        <f>_xlfn.XLOOKUP(tblRequirementMeasureXref[[#This Row],[msr_id]],tblMeasure[msr_id],tblMeasure[src_name])</f>
        <v>Personal Social Services (SACE) Survey of Adult Carers in England</v>
      </c>
    </row>
    <row r="671" spans="1:12" x14ac:dyDescent="0.15">
      <c r="A671" s="1" t="str">
        <f>_xlfn.XLOOKUP(tblRequirementMeasureXref[[#This Row],[dm_id]],tblDataRequirement[dm_id],tblDataRequirement[domain_sub_requirement])</f>
        <v>Unpaid Carers:Experience:Workload</v>
      </c>
      <c r="B671" s="1" t="str">
        <f>_xlfn.XLOOKUP(tblRequirementMeasureXref[[#This Row],[dm_id]],tblDataRequirement[dm_id],tblDataRequirement[dm_phase])</f>
        <v>demand</v>
      </c>
      <c r="C671" s="1">
        <v>86</v>
      </c>
      <c r="D671" s="1">
        <v>168</v>
      </c>
      <c r="G671" s="1"/>
      <c r="H671" s="62" t="str">
        <f>_xlfn.XLOOKUP(tblRequirementMeasureXref[[#This Row],[msr_id]],tblMeasure[msr_id],tblMeasure[msr_table])</f>
        <v>T1a</v>
      </c>
      <c r="I671" s="22" t="str">
        <f>_xlfn.XLOOKUP(tblRequirementMeasureXref[[#This Row],[msr_id]],tblMeasure[msr_id],tblMeasure[msr_name])</f>
        <v>Profile of answers for all questions by CASSR, CASSR type and region</v>
      </c>
      <c r="J671"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71" s="22" t="str">
        <f>_xlfn.XLOOKUP(tblRequirementMeasureXref[[#This Row],[msr_id]],tblMeasure[msr_id],tblMeasure[msr_min_geo_resolution])</f>
        <v>LA</v>
      </c>
      <c r="L671" s="22" t="str">
        <f>_xlfn.XLOOKUP(tblRequirementMeasureXref[[#This Row],[msr_id]],tblMeasure[msr_id],tblMeasure[src_name])</f>
        <v>Personal Social Services (SACE) Survey of Adult Carers in England</v>
      </c>
    </row>
    <row r="672" spans="1:12" x14ac:dyDescent="0.15">
      <c r="A672" s="1" t="str">
        <f>_xlfn.XLOOKUP(tblRequirementMeasureXref[[#This Row],[dm_id]],tblDataRequirement[dm_id],tblDataRequirement[domain_sub_requirement])</f>
        <v>Unpaid Carers:Workforce:Workforce</v>
      </c>
      <c r="B672" s="1" t="str">
        <f>_xlfn.XLOOKUP(tblRequirementMeasureXref[[#This Row],[dm_id]],tblDataRequirement[dm_id],tblDataRequirement[dm_phase])</f>
        <v>supply</v>
      </c>
      <c r="C672" s="1">
        <v>19</v>
      </c>
      <c r="D672" s="1">
        <v>168</v>
      </c>
      <c r="G672" s="1"/>
      <c r="H672" s="62" t="str">
        <f>_xlfn.XLOOKUP(tblRequirementMeasureXref[[#This Row],[msr_id]],tblMeasure[msr_id],tblMeasure[msr_table])</f>
        <v>T1a</v>
      </c>
      <c r="I672" s="22" t="str">
        <f>_xlfn.XLOOKUP(tblRequirementMeasureXref[[#This Row],[msr_id]],tblMeasure[msr_id],tblMeasure[msr_name])</f>
        <v>Profile of answers for all questions by CASSR, CASSR type and region</v>
      </c>
      <c r="J672"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v>
      </c>
      <c r="K672" s="22" t="str">
        <f>_xlfn.XLOOKUP(tblRequirementMeasureXref[[#This Row],[msr_id]],tblMeasure[msr_id],tblMeasure[msr_min_geo_resolution])</f>
        <v>LA</v>
      </c>
      <c r="L672" s="22" t="str">
        <f>_xlfn.XLOOKUP(tblRequirementMeasureXref[[#This Row],[msr_id]],tblMeasure[msr_id],tblMeasure[src_name])</f>
        <v>Personal Social Services (SACE) Survey of Adult Carers in England</v>
      </c>
    </row>
    <row r="673" spans="1:12" x14ac:dyDescent="0.15">
      <c r="A673" s="1" t="str">
        <f>_xlfn.XLOOKUP(tblRequirementMeasureXref[[#This Row],[dm_id]],tblDataRequirement[dm_id],tblDataRequirement[domain_sub_requirement])</f>
        <v>Users:Demographics:Age</v>
      </c>
      <c r="B673" s="1" t="str">
        <f>_xlfn.XLOOKUP(tblRequirementMeasureXref[[#This Row],[dm_id]],tblDataRequirement[dm_id],tblDataRequirement[dm_phase])</f>
        <v>demand</v>
      </c>
      <c r="C673" s="1">
        <v>51</v>
      </c>
      <c r="D673" s="1">
        <v>169</v>
      </c>
      <c r="G673" s="1"/>
      <c r="H673" s="62" t="str">
        <f>_xlfn.XLOOKUP(tblRequirementMeasureXref[[#This Row],[msr_id]],tblMeasure[msr_id],tblMeasure[msr_table])</f>
        <v>T2a</v>
      </c>
      <c r="I673" s="22" t="str">
        <f>_xlfn.XLOOKUP(tblRequirementMeasureXref[[#This Row],[msr_id]],tblMeasure[msr_id],tblMeasure[msr_name])</f>
        <v>Profile of answers for all questions by demographic, at national level</v>
      </c>
      <c r="J673"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73" s="22" t="str">
        <f>_xlfn.XLOOKUP(tblRequirementMeasureXref[[#This Row],[msr_id]],tblMeasure[msr_id],tblMeasure[msr_min_geo_resolution])</f>
        <v>England</v>
      </c>
      <c r="L673" s="22" t="str">
        <f>_xlfn.XLOOKUP(tblRequirementMeasureXref[[#This Row],[msr_id]],tblMeasure[msr_id],tblMeasure[src_name])</f>
        <v>Personal Social Services (SACE) Survey of Adult Carers in England</v>
      </c>
    </row>
    <row r="674" spans="1:12" x14ac:dyDescent="0.15">
      <c r="A674" s="1" t="str">
        <f>_xlfn.XLOOKUP(tblRequirementMeasureXref[[#This Row],[dm_id]],tblDataRequirement[dm_id],tblDataRequirement[domain_sub_requirement])</f>
        <v>Users:Care need:Support reason</v>
      </c>
      <c r="B674" s="1" t="str">
        <f>_xlfn.XLOOKUP(tblRequirementMeasureXref[[#This Row],[dm_id]],tblDataRequirement[dm_id],tblDataRequirement[dm_phase])</f>
        <v>demand</v>
      </c>
      <c r="C674" s="1">
        <v>56</v>
      </c>
      <c r="D674" s="1">
        <v>169</v>
      </c>
      <c r="G674" s="1"/>
      <c r="H674" s="62" t="str">
        <f>_xlfn.XLOOKUP(tblRequirementMeasureXref[[#This Row],[msr_id]],tblMeasure[msr_id],tblMeasure[msr_table])</f>
        <v>T2a</v>
      </c>
      <c r="I674" s="22" t="str">
        <f>_xlfn.XLOOKUP(tblRequirementMeasureXref[[#This Row],[msr_id]],tblMeasure[msr_id],tblMeasure[msr_name])</f>
        <v>Profile of answers for all questions by demographic, at national level</v>
      </c>
      <c r="J674"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74" s="22" t="str">
        <f>_xlfn.XLOOKUP(tblRequirementMeasureXref[[#This Row],[msr_id]],tblMeasure[msr_id],tblMeasure[msr_min_geo_resolution])</f>
        <v>England</v>
      </c>
      <c r="L674" s="22" t="str">
        <f>_xlfn.XLOOKUP(tblRequirementMeasureXref[[#This Row],[msr_id]],tblMeasure[msr_id],tblMeasure[src_name])</f>
        <v>Personal Social Services (SACE) Survey of Adult Carers in England</v>
      </c>
    </row>
    <row r="675" spans="1:12" x14ac:dyDescent="0.15">
      <c r="A675" s="1" t="str">
        <f>_xlfn.XLOOKUP(tblRequirementMeasureXref[[#This Row],[dm_id]],tblDataRequirement[dm_id],tblDataRequirement[domain_sub_requirement])</f>
        <v>Users:Context:Family/Household structure</v>
      </c>
      <c r="B675" s="1" t="str">
        <f>_xlfn.XLOOKUP(tblRequirementMeasureXref[[#This Row],[dm_id]],tblDataRequirement[dm_id],tblDataRequirement[dm_phase])</f>
        <v>demand</v>
      </c>
      <c r="C675" s="1">
        <v>63</v>
      </c>
      <c r="D675" s="1">
        <v>169</v>
      </c>
      <c r="G675" s="1"/>
      <c r="H675" s="62" t="str">
        <f>_xlfn.XLOOKUP(tblRequirementMeasureXref[[#This Row],[msr_id]],tblMeasure[msr_id],tblMeasure[msr_table])</f>
        <v>T2a</v>
      </c>
      <c r="I675" s="22" t="str">
        <f>_xlfn.XLOOKUP(tblRequirementMeasureXref[[#This Row],[msr_id]],tblMeasure[msr_id],tblMeasure[msr_name])</f>
        <v>Profile of answers for all questions by demographic, at national level</v>
      </c>
      <c r="J675"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75" s="22" t="str">
        <f>_xlfn.XLOOKUP(tblRequirementMeasureXref[[#This Row],[msr_id]],tblMeasure[msr_id],tblMeasure[msr_min_geo_resolution])</f>
        <v>England</v>
      </c>
      <c r="L675" s="22" t="str">
        <f>_xlfn.XLOOKUP(tblRequirementMeasureXref[[#This Row],[msr_id]],tblMeasure[msr_id],tblMeasure[src_name])</f>
        <v>Personal Social Services (SACE) Survey of Adult Carers in England</v>
      </c>
    </row>
    <row r="676" spans="1:12" x14ac:dyDescent="0.15">
      <c r="A676" s="1" t="str">
        <f>_xlfn.XLOOKUP(tblRequirementMeasureXref[[#This Row],[dm_id]],tblDataRequirement[dm_id],tblDataRequirement[domain_sub_requirement])</f>
        <v>Service:Quality:Unpaid Carer perception</v>
      </c>
      <c r="B676" s="1" t="str">
        <f>_xlfn.XLOOKUP(tblRequirementMeasureXref[[#This Row],[dm_id]],tblDataRequirement[dm_id],tblDataRequirement[dm_phase])</f>
        <v>outcome</v>
      </c>
      <c r="C676" s="1">
        <v>23</v>
      </c>
      <c r="D676" s="1">
        <v>169</v>
      </c>
      <c r="G676" s="1"/>
      <c r="H676" s="62" t="str">
        <f>_xlfn.XLOOKUP(tblRequirementMeasureXref[[#This Row],[msr_id]],tblMeasure[msr_id],tblMeasure[msr_table])</f>
        <v>T2a</v>
      </c>
      <c r="I676" s="22" t="str">
        <f>_xlfn.XLOOKUP(tblRequirementMeasureXref[[#This Row],[msr_id]],tblMeasure[msr_id],tblMeasure[msr_name])</f>
        <v>Profile of answers for all questions by demographic, at national level</v>
      </c>
      <c r="J676"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76" s="22" t="str">
        <f>_xlfn.XLOOKUP(tblRequirementMeasureXref[[#This Row],[msr_id]],tblMeasure[msr_id],tblMeasure[msr_min_geo_resolution])</f>
        <v>England</v>
      </c>
      <c r="L676" s="22" t="str">
        <f>_xlfn.XLOOKUP(tblRequirementMeasureXref[[#This Row],[msr_id]],tblMeasure[msr_id],tblMeasure[src_name])</f>
        <v>Personal Social Services (SACE) Survey of Adult Carers in England</v>
      </c>
    </row>
    <row r="677" spans="1:12" x14ac:dyDescent="0.15">
      <c r="A677" s="1" t="str">
        <f>_xlfn.XLOOKUP(tblRequirementMeasureXref[[#This Row],[dm_id]],tblDataRequirement[dm_id],tblDataRequirement[domain_sub_requirement])</f>
        <v>Service:Support setting:Home</v>
      </c>
      <c r="B677" s="1" t="str">
        <f>_xlfn.XLOOKUP(tblRequirementMeasureXref[[#This Row],[dm_id]],tblDataRequirement[dm_id],tblDataRequirement[dm_phase])</f>
        <v>operate</v>
      </c>
      <c r="C677" s="1">
        <v>40</v>
      </c>
      <c r="D677" s="1">
        <v>169</v>
      </c>
      <c r="G677" s="1"/>
      <c r="H677" s="62" t="str">
        <f>_xlfn.XLOOKUP(tblRequirementMeasureXref[[#This Row],[msr_id]],tblMeasure[msr_id],tblMeasure[msr_table])</f>
        <v>T2a</v>
      </c>
      <c r="I677" s="22" t="str">
        <f>_xlfn.XLOOKUP(tblRequirementMeasureXref[[#This Row],[msr_id]],tblMeasure[msr_id],tblMeasure[msr_name])</f>
        <v>Profile of answers for all questions by demographic, at national level</v>
      </c>
      <c r="J677"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77" s="22" t="str">
        <f>_xlfn.XLOOKUP(tblRequirementMeasureXref[[#This Row],[msr_id]],tblMeasure[msr_id],tblMeasure[msr_min_geo_resolution])</f>
        <v>England</v>
      </c>
      <c r="L677" s="22" t="str">
        <f>_xlfn.XLOOKUP(tblRequirementMeasureXref[[#This Row],[msr_id]],tblMeasure[msr_id],tblMeasure[src_name])</f>
        <v>Personal Social Services (SACE) Survey of Adult Carers in England</v>
      </c>
    </row>
    <row r="678" spans="1:12" x14ac:dyDescent="0.15">
      <c r="A678" s="1" t="str">
        <f>_xlfn.XLOOKUP(tblRequirementMeasureXref[[#This Row],[dm_id]],tblDataRequirement[dm_id],tblDataRequirement[domain_sub_requirement])</f>
        <v>Service:Support setting:Community</v>
      </c>
      <c r="B678" s="1" t="str">
        <f>_xlfn.XLOOKUP(tblRequirementMeasureXref[[#This Row],[dm_id]],tblDataRequirement[dm_id],tblDataRequirement[dm_phase])</f>
        <v>operate</v>
      </c>
      <c r="C678" s="1">
        <v>43</v>
      </c>
      <c r="D678" s="1">
        <v>169</v>
      </c>
      <c r="G678" s="1"/>
      <c r="H678" s="62" t="str">
        <f>_xlfn.XLOOKUP(tblRequirementMeasureXref[[#This Row],[msr_id]],tblMeasure[msr_id],tblMeasure[msr_table])</f>
        <v>T2a</v>
      </c>
      <c r="I678" s="22" t="str">
        <f>_xlfn.XLOOKUP(tblRequirementMeasureXref[[#This Row],[msr_id]],tblMeasure[msr_id],tblMeasure[msr_name])</f>
        <v>Profile of answers for all questions by demographic, at national level</v>
      </c>
      <c r="J678"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78" s="22" t="str">
        <f>_xlfn.XLOOKUP(tblRequirementMeasureXref[[#This Row],[msr_id]],tblMeasure[msr_id],tblMeasure[msr_min_geo_resolution])</f>
        <v>England</v>
      </c>
      <c r="L678" s="22" t="str">
        <f>_xlfn.XLOOKUP(tblRequirementMeasureXref[[#This Row],[msr_id]],tblMeasure[msr_id],tblMeasure[src_name])</f>
        <v>Personal Social Services (SACE) Survey of Adult Carers in England</v>
      </c>
    </row>
    <row r="679" spans="1:12" x14ac:dyDescent="0.15">
      <c r="A679" s="1" t="str">
        <f>_xlfn.XLOOKUP(tblRequirementMeasureXref[[#This Row],[dm_id]],tblDataRequirement[dm_id],tblDataRequirement[domain_sub_requirement])</f>
        <v>Service:Support type:Other (not ST or LT)</v>
      </c>
      <c r="B679" s="1" t="str">
        <f>_xlfn.XLOOKUP(tblRequirementMeasureXref[[#This Row],[dm_id]],tblDataRequirement[dm_id],tblDataRequirement[dm_phase])</f>
        <v>operate</v>
      </c>
      <c r="C679" s="1">
        <v>68</v>
      </c>
      <c r="D679" s="1">
        <v>169</v>
      </c>
      <c r="G679" s="1"/>
      <c r="H679" s="62" t="str">
        <f>_xlfn.XLOOKUP(tblRequirementMeasureXref[[#This Row],[msr_id]],tblMeasure[msr_id],tblMeasure[msr_table])</f>
        <v>T2a</v>
      </c>
      <c r="I679" s="22" t="str">
        <f>_xlfn.XLOOKUP(tblRequirementMeasureXref[[#This Row],[msr_id]],tblMeasure[msr_id],tblMeasure[msr_name])</f>
        <v>Profile of answers for all questions by demographic, at national level</v>
      </c>
      <c r="J679"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79" s="22" t="str">
        <f>_xlfn.XLOOKUP(tblRequirementMeasureXref[[#This Row],[msr_id]],tblMeasure[msr_id],tblMeasure[msr_min_geo_resolution])</f>
        <v>England</v>
      </c>
      <c r="L679" s="22" t="str">
        <f>_xlfn.XLOOKUP(tblRequirementMeasureXref[[#This Row],[msr_id]],tblMeasure[msr_id],tblMeasure[src_name])</f>
        <v>Personal Social Services (SACE) Survey of Adult Carers in England</v>
      </c>
    </row>
    <row r="680" spans="1:12" x14ac:dyDescent="0.15">
      <c r="A680" s="1" t="str">
        <f>_xlfn.XLOOKUP(tblRequirementMeasureXref[[#This Row],[dm_id]],tblDataRequirement[dm_id],tblDataRequirement[domain_sub_requirement])</f>
        <v>Service:Support setting:Residential care home</v>
      </c>
      <c r="B680" s="1" t="str">
        <f>_xlfn.XLOOKUP(tblRequirementMeasureXref[[#This Row],[dm_id]],tblDataRequirement[dm_id],tblDataRequirement[dm_phase])</f>
        <v>operate</v>
      </c>
      <c r="C680" s="1">
        <v>41</v>
      </c>
      <c r="D680" s="1">
        <v>169</v>
      </c>
      <c r="G680" s="1"/>
      <c r="H680" s="62" t="str">
        <f>_xlfn.XLOOKUP(tblRequirementMeasureXref[[#This Row],[msr_id]],tblMeasure[msr_id],tblMeasure[msr_table])</f>
        <v>T2a</v>
      </c>
      <c r="I680" s="22" t="str">
        <f>_xlfn.XLOOKUP(tblRequirementMeasureXref[[#This Row],[msr_id]],tblMeasure[msr_id],tblMeasure[msr_name])</f>
        <v>Profile of answers for all questions by demographic, at national level</v>
      </c>
      <c r="J680"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0" s="22" t="str">
        <f>_xlfn.XLOOKUP(tblRequirementMeasureXref[[#This Row],[msr_id]],tblMeasure[msr_id],tblMeasure[msr_min_geo_resolution])</f>
        <v>England</v>
      </c>
      <c r="L680" s="22" t="str">
        <f>_xlfn.XLOOKUP(tblRequirementMeasureXref[[#This Row],[msr_id]],tblMeasure[msr_id],tblMeasure[src_name])</f>
        <v>Personal Social Services (SACE) Survey of Adult Carers in England</v>
      </c>
    </row>
    <row r="681" spans="1:12" x14ac:dyDescent="0.15">
      <c r="A681" s="1" t="str">
        <f>_xlfn.XLOOKUP(tblRequirementMeasureXref[[#This Row],[dm_id]],tblDataRequirement[dm_id],tblDataRequirement[domain_sub_requirement])</f>
        <v>Service:Support setting:Nursing home</v>
      </c>
      <c r="B681" s="1" t="str">
        <f>_xlfn.XLOOKUP(tblRequirementMeasureXref[[#This Row],[dm_id]],tblDataRequirement[dm_id],tblDataRequirement[dm_phase])</f>
        <v>operate</v>
      </c>
      <c r="C681" s="1">
        <v>42</v>
      </c>
      <c r="D681" s="1">
        <v>169</v>
      </c>
      <c r="G681" s="1"/>
      <c r="H681" s="62" t="str">
        <f>_xlfn.XLOOKUP(tblRequirementMeasureXref[[#This Row],[msr_id]],tblMeasure[msr_id],tblMeasure[msr_table])</f>
        <v>T2a</v>
      </c>
      <c r="I681" s="22" t="str">
        <f>_xlfn.XLOOKUP(tblRequirementMeasureXref[[#This Row],[msr_id]],tblMeasure[msr_id],tblMeasure[msr_name])</f>
        <v>Profile of answers for all questions by demographic, at national level</v>
      </c>
      <c r="J681"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1" s="22" t="str">
        <f>_xlfn.XLOOKUP(tblRequirementMeasureXref[[#This Row],[msr_id]],tblMeasure[msr_id],tblMeasure[msr_min_geo_resolution])</f>
        <v>England</v>
      </c>
      <c r="L681" s="22" t="str">
        <f>_xlfn.XLOOKUP(tblRequirementMeasureXref[[#This Row],[msr_id]],tblMeasure[msr_id],tblMeasure[src_name])</f>
        <v>Personal Social Services (SACE) Survey of Adult Carers in England</v>
      </c>
    </row>
    <row r="682" spans="1:12" x14ac:dyDescent="0.15">
      <c r="A682" s="1" t="str">
        <f>_xlfn.XLOOKUP(tblRequirementMeasureXref[[#This Row],[dm_id]],tblDataRequirement[dm_id],tblDataRequirement[domain_sub_requirement])</f>
        <v>Service:Support type:Unpaid Carer support</v>
      </c>
      <c r="B682" s="1" t="str">
        <f>_xlfn.XLOOKUP(tblRequirementMeasureXref[[#This Row],[dm_id]],tblDataRequirement[dm_id],tblDataRequirement[dm_phase])</f>
        <v>operate</v>
      </c>
      <c r="C682" s="1">
        <v>80</v>
      </c>
      <c r="D682" s="1">
        <v>169</v>
      </c>
      <c r="G682" s="1"/>
      <c r="H682" s="62" t="str">
        <f>_xlfn.XLOOKUP(tblRequirementMeasureXref[[#This Row],[msr_id]],tblMeasure[msr_id],tblMeasure[msr_table])</f>
        <v>T2a</v>
      </c>
      <c r="I682" s="22" t="str">
        <f>_xlfn.XLOOKUP(tblRequirementMeasureXref[[#This Row],[msr_id]],tblMeasure[msr_id],tblMeasure[msr_name])</f>
        <v>Profile of answers for all questions by demographic, at national level</v>
      </c>
      <c r="J682"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2" s="22" t="str">
        <f>_xlfn.XLOOKUP(tblRequirementMeasureXref[[#This Row],[msr_id]],tblMeasure[msr_id],tblMeasure[msr_min_geo_resolution])</f>
        <v>England</v>
      </c>
      <c r="L682" s="22" t="str">
        <f>_xlfn.XLOOKUP(tblRequirementMeasureXref[[#This Row],[msr_id]],tblMeasure[msr_id],tblMeasure[src_name])</f>
        <v>Personal Social Services (SACE) Survey of Adult Carers in England</v>
      </c>
    </row>
    <row r="683" spans="1:12" x14ac:dyDescent="0.15">
      <c r="A683" s="1" t="str">
        <f>_xlfn.XLOOKUP(tblRequirementMeasureXref[[#This Row],[dm_id]],tblDataRequirement[dm_id],tblDataRequirement[domain_sub_requirement])</f>
        <v>Unpaid Carers:Quality of life:Employment/Income</v>
      </c>
      <c r="B683" s="1" t="str">
        <f>_xlfn.XLOOKUP(tblRequirementMeasureXref[[#This Row],[dm_id]],tblDataRequirement[dm_id],tblDataRequirement[dm_phase])</f>
        <v>outcome</v>
      </c>
      <c r="C683" s="1">
        <v>88</v>
      </c>
      <c r="D683" s="1">
        <v>169</v>
      </c>
      <c r="G683" s="1"/>
      <c r="H683" s="62" t="str">
        <f>_xlfn.XLOOKUP(tblRequirementMeasureXref[[#This Row],[msr_id]],tblMeasure[msr_id],tblMeasure[msr_table])</f>
        <v>T2a</v>
      </c>
      <c r="I683" s="22" t="str">
        <f>_xlfn.XLOOKUP(tblRequirementMeasureXref[[#This Row],[msr_id]],tblMeasure[msr_id],tblMeasure[msr_name])</f>
        <v>Profile of answers for all questions by demographic, at national level</v>
      </c>
      <c r="J683"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3" s="22" t="str">
        <f>_xlfn.XLOOKUP(tblRequirementMeasureXref[[#This Row],[msr_id]],tblMeasure[msr_id],tblMeasure[msr_min_geo_resolution])</f>
        <v>England</v>
      </c>
      <c r="L683" s="22" t="str">
        <f>_xlfn.XLOOKUP(tblRequirementMeasureXref[[#This Row],[msr_id]],tblMeasure[msr_id],tblMeasure[src_name])</f>
        <v>Personal Social Services (SACE) Survey of Adult Carers in England</v>
      </c>
    </row>
    <row r="684" spans="1:12" x14ac:dyDescent="0.15">
      <c r="A684" s="1" t="str">
        <f>_xlfn.XLOOKUP(tblRequirementMeasureXref[[#This Row],[dm_id]],tblDataRequirement[dm_id],tblDataRequirement[domain_sub_requirement])</f>
        <v>Unpaid Carers:Quality of life:Well-being</v>
      </c>
      <c r="B684" s="1" t="str">
        <f>_xlfn.XLOOKUP(tblRequirementMeasureXref[[#This Row],[dm_id]],tblDataRequirement[dm_id],tblDataRequirement[dm_phase])</f>
        <v>outcome</v>
      </c>
      <c r="C684" s="1">
        <v>87</v>
      </c>
      <c r="D684" s="1">
        <v>169</v>
      </c>
      <c r="G684" s="1"/>
      <c r="H684" s="62" t="str">
        <f>_xlfn.XLOOKUP(tblRequirementMeasureXref[[#This Row],[msr_id]],tblMeasure[msr_id],tblMeasure[msr_table])</f>
        <v>T2a</v>
      </c>
      <c r="I684" s="22" t="str">
        <f>_xlfn.XLOOKUP(tblRequirementMeasureXref[[#This Row],[msr_id]],tblMeasure[msr_id],tblMeasure[msr_name])</f>
        <v>Profile of answers for all questions by demographic, at national level</v>
      </c>
      <c r="J684"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4" s="22" t="str">
        <f>_xlfn.XLOOKUP(tblRequirementMeasureXref[[#This Row],[msr_id]],tblMeasure[msr_id],tblMeasure[msr_min_geo_resolution])</f>
        <v>England</v>
      </c>
      <c r="L684" s="22" t="str">
        <f>_xlfn.XLOOKUP(tblRequirementMeasureXref[[#This Row],[msr_id]],tblMeasure[msr_id],tblMeasure[src_name])</f>
        <v>Personal Social Services (SACE) Survey of Adult Carers in England</v>
      </c>
    </row>
    <row r="685" spans="1:12" x14ac:dyDescent="0.15">
      <c r="A685" s="1" t="str">
        <f>_xlfn.XLOOKUP(tblRequirementMeasureXref[[#This Row],[dm_id]],tblDataRequirement[dm_id],tblDataRequirement[domain_sub_requirement])</f>
        <v>Unpaid Carers:Health:Health</v>
      </c>
      <c r="B685" s="1" t="str">
        <f>_xlfn.XLOOKUP(tblRequirementMeasureXref[[#This Row],[dm_id]],tblDataRequirement[dm_id],tblDataRequirement[dm_phase])</f>
        <v>outcome</v>
      </c>
      <c r="C685" s="1">
        <v>89</v>
      </c>
      <c r="D685" s="1">
        <v>169</v>
      </c>
      <c r="G685" s="1"/>
      <c r="H685" s="62" t="str">
        <f>_xlfn.XLOOKUP(tblRequirementMeasureXref[[#This Row],[msr_id]],tblMeasure[msr_id],tblMeasure[msr_table])</f>
        <v>T2a</v>
      </c>
      <c r="I685" s="22" t="str">
        <f>_xlfn.XLOOKUP(tblRequirementMeasureXref[[#This Row],[msr_id]],tblMeasure[msr_id],tblMeasure[msr_name])</f>
        <v>Profile of answers for all questions by demographic, at national level</v>
      </c>
      <c r="J685"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5" s="22" t="str">
        <f>_xlfn.XLOOKUP(tblRequirementMeasureXref[[#This Row],[msr_id]],tblMeasure[msr_id],tblMeasure[msr_min_geo_resolution])</f>
        <v>England</v>
      </c>
      <c r="L685" s="22" t="str">
        <f>_xlfn.XLOOKUP(tblRequirementMeasureXref[[#This Row],[msr_id]],tblMeasure[msr_id],tblMeasure[src_name])</f>
        <v>Personal Social Services (SACE) Survey of Adult Carers in England</v>
      </c>
    </row>
    <row r="686" spans="1:12" x14ac:dyDescent="0.15">
      <c r="A686" s="1" t="str">
        <f>_xlfn.XLOOKUP(tblRequirementMeasureXref[[#This Row],[dm_id]],tblDataRequirement[dm_id],tblDataRequirement[domain_sub_requirement])</f>
        <v>Service:Quality:Safety</v>
      </c>
      <c r="B686" s="1" t="str">
        <f>_xlfn.XLOOKUP(tblRequirementMeasureXref[[#This Row],[dm_id]],tblDataRequirement[dm_id],tblDataRequirement[dm_phase])</f>
        <v>outcome</v>
      </c>
      <c r="C686" s="1">
        <v>74</v>
      </c>
      <c r="D686" s="1">
        <v>169</v>
      </c>
      <c r="G686" s="1"/>
      <c r="H686" s="62" t="str">
        <f>_xlfn.XLOOKUP(tblRequirementMeasureXref[[#This Row],[msr_id]],tblMeasure[msr_id],tblMeasure[msr_table])</f>
        <v>T2a</v>
      </c>
      <c r="I686" s="22" t="str">
        <f>_xlfn.XLOOKUP(tblRequirementMeasureXref[[#This Row],[msr_id]],tblMeasure[msr_id],tblMeasure[msr_name])</f>
        <v>Profile of answers for all questions by demographic, at national level</v>
      </c>
      <c r="J686"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6" s="22" t="str">
        <f>_xlfn.XLOOKUP(tblRequirementMeasureXref[[#This Row],[msr_id]],tblMeasure[msr_id],tblMeasure[msr_min_geo_resolution])</f>
        <v>England</v>
      </c>
      <c r="L686" s="22" t="str">
        <f>_xlfn.XLOOKUP(tblRequirementMeasureXref[[#This Row],[msr_id]],tblMeasure[msr_id],tblMeasure[src_name])</f>
        <v>Personal Social Services (SACE) Survey of Adult Carers in England</v>
      </c>
    </row>
    <row r="687" spans="1:12" x14ac:dyDescent="0.15">
      <c r="A687" s="1" t="str">
        <f>_xlfn.XLOOKUP(tblRequirementMeasureXref[[#This Row],[dm_id]],tblDataRequirement[dm_id],tblDataRequirement[domain_sub_requirement])</f>
        <v>Unpaid Carers:Experience:Experience</v>
      </c>
      <c r="B687" s="1" t="str">
        <f>_xlfn.XLOOKUP(tblRequirementMeasureXref[[#This Row],[dm_id]],tblDataRequirement[dm_id],tblDataRequirement[dm_phase])</f>
        <v>outcome</v>
      </c>
      <c r="C687" s="1">
        <v>85</v>
      </c>
      <c r="D687" s="1">
        <v>169</v>
      </c>
      <c r="G687" s="1"/>
      <c r="H687" s="62" t="str">
        <f>_xlfn.XLOOKUP(tblRequirementMeasureXref[[#This Row],[msr_id]],tblMeasure[msr_id],tblMeasure[msr_table])</f>
        <v>T2a</v>
      </c>
      <c r="I687" s="22" t="str">
        <f>_xlfn.XLOOKUP(tblRequirementMeasureXref[[#This Row],[msr_id]],tblMeasure[msr_id],tblMeasure[msr_name])</f>
        <v>Profile of answers for all questions by demographic, at national level</v>
      </c>
      <c r="J687"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7" s="22" t="str">
        <f>_xlfn.XLOOKUP(tblRequirementMeasureXref[[#This Row],[msr_id]],tblMeasure[msr_id],tblMeasure[msr_min_geo_resolution])</f>
        <v>England</v>
      </c>
      <c r="L687" s="22" t="str">
        <f>_xlfn.XLOOKUP(tblRequirementMeasureXref[[#This Row],[msr_id]],tblMeasure[msr_id],tblMeasure[src_name])</f>
        <v>Personal Social Services (SACE) Survey of Adult Carers in England</v>
      </c>
    </row>
    <row r="688" spans="1:12" x14ac:dyDescent="0.15">
      <c r="A688" s="1" t="str">
        <f>_xlfn.XLOOKUP(tblRequirementMeasureXref[[#This Row],[dm_id]],tblDataRequirement[dm_id],tblDataRequirement[domain_sub_requirement])</f>
        <v>Unpaid Carers:Experience:Workload</v>
      </c>
      <c r="B688" s="1" t="str">
        <f>_xlfn.XLOOKUP(tblRequirementMeasureXref[[#This Row],[dm_id]],tblDataRequirement[dm_id],tblDataRequirement[dm_phase])</f>
        <v>demand</v>
      </c>
      <c r="C688" s="1">
        <v>86</v>
      </c>
      <c r="D688" s="1">
        <v>169</v>
      </c>
      <c r="G688" s="1"/>
      <c r="H688" s="62" t="str">
        <f>_xlfn.XLOOKUP(tblRequirementMeasureXref[[#This Row],[msr_id]],tblMeasure[msr_id],tblMeasure[msr_table])</f>
        <v>T2a</v>
      </c>
      <c r="I688" s="22" t="str">
        <f>_xlfn.XLOOKUP(tblRequirementMeasureXref[[#This Row],[msr_id]],tblMeasure[msr_id],tblMeasure[msr_name])</f>
        <v>Profile of answers for all questions by demographic, at national level</v>
      </c>
      <c r="J688"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8" s="22" t="str">
        <f>_xlfn.XLOOKUP(tblRequirementMeasureXref[[#This Row],[msr_id]],tblMeasure[msr_id],tblMeasure[msr_min_geo_resolution])</f>
        <v>England</v>
      </c>
      <c r="L688" s="22" t="str">
        <f>_xlfn.XLOOKUP(tblRequirementMeasureXref[[#This Row],[msr_id]],tblMeasure[msr_id],tblMeasure[src_name])</f>
        <v>Personal Social Services (SACE) Survey of Adult Carers in England</v>
      </c>
    </row>
    <row r="689" spans="1:12" x14ac:dyDescent="0.15">
      <c r="A689" s="1" t="str">
        <f>_xlfn.XLOOKUP(tblRequirementMeasureXref[[#This Row],[dm_id]],tblDataRequirement[dm_id],tblDataRequirement[domain_sub_requirement])</f>
        <v>Unpaid Carers:Workforce:Workforce</v>
      </c>
      <c r="B689" s="1" t="str">
        <f>_xlfn.XLOOKUP(tblRequirementMeasureXref[[#This Row],[dm_id]],tblDataRequirement[dm_id],tblDataRequirement[dm_phase])</f>
        <v>supply</v>
      </c>
      <c r="C689" s="1">
        <v>19</v>
      </c>
      <c r="D689" s="1">
        <v>169</v>
      </c>
      <c r="G689" s="1"/>
      <c r="H689" s="62" t="str">
        <f>_xlfn.XLOOKUP(tblRequirementMeasureXref[[#This Row],[msr_id]],tblMeasure[msr_id],tblMeasure[msr_table])</f>
        <v>T2a</v>
      </c>
      <c r="I689" s="22" t="str">
        <f>_xlfn.XLOOKUP(tblRequirementMeasureXref[[#This Row],[msr_id]],tblMeasure[msr_id],tblMeasure[msr_name])</f>
        <v>Profile of answers for all questions by demographic, at national level</v>
      </c>
      <c r="J689"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89" s="22" t="str">
        <f>_xlfn.XLOOKUP(tblRequirementMeasureXref[[#This Row],[msr_id]],tblMeasure[msr_id],tblMeasure[msr_min_geo_resolution])</f>
        <v>England</v>
      </c>
      <c r="L689" s="22" t="str">
        <f>_xlfn.XLOOKUP(tblRequirementMeasureXref[[#This Row],[msr_id]],tblMeasure[msr_id],tblMeasure[src_name])</f>
        <v>Personal Social Services (SACE) Survey of Adult Carers in England</v>
      </c>
    </row>
    <row r="690" spans="1:12" x14ac:dyDescent="0.15">
      <c r="A690" s="1" t="str">
        <f>_xlfn.XLOOKUP(tblRequirementMeasureXref[[#This Row],[dm_id]],tblDataRequirement[dm_id],tblDataRequirement[domain_sub_requirement])</f>
        <v>Unpaid Carers:Demographics:Age</v>
      </c>
      <c r="B690" s="1" t="str">
        <f>_xlfn.XLOOKUP(tblRequirementMeasureXref[[#This Row],[dm_id]],tblDataRequirement[dm_id],tblDataRequirement[dm_phase])</f>
        <v>supply</v>
      </c>
      <c r="C690" s="1">
        <v>81</v>
      </c>
      <c r="D690" s="1">
        <v>169</v>
      </c>
      <c r="G690" s="1"/>
      <c r="H690" s="62" t="str">
        <f>_xlfn.XLOOKUP(tblRequirementMeasureXref[[#This Row],[msr_id]],tblMeasure[msr_id],tblMeasure[msr_table])</f>
        <v>T2a</v>
      </c>
      <c r="I690" s="22" t="str">
        <f>_xlfn.XLOOKUP(tblRequirementMeasureXref[[#This Row],[msr_id]],tblMeasure[msr_id],tblMeasure[msr_name])</f>
        <v>Profile of answers for all questions by demographic, at national level</v>
      </c>
      <c r="J690"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0" s="22" t="str">
        <f>_xlfn.XLOOKUP(tblRequirementMeasureXref[[#This Row],[msr_id]],tblMeasure[msr_id],tblMeasure[msr_min_geo_resolution])</f>
        <v>England</v>
      </c>
      <c r="L690" s="22" t="str">
        <f>_xlfn.XLOOKUP(tblRequirementMeasureXref[[#This Row],[msr_id]],tblMeasure[msr_id],tblMeasure[src_name])</f>
        <v>Personal Social Services (SACE) Survey of Adult Carers in England</v>
      </c>
    </row>
    <row r="691" spans="1:12" x14ac:dyDescent="0.15">
      <c r="A691" s="1" t="str">
        <f>_xlfn.XLOOKUP(tblRequirementMeasureXref[[#This Row],[dm_id]],tblDataRequirement[dm_id],tblDataRequirement[domain_sub_requirement])</f>
        <v>Unpaid Carers:Demographics:Gender</v>
      </c>
      <c r="B691" s="1" t="str">
        <f>_xlfn.XLOOKUP(tblRequirementMeasureXref[[#This Row],[dm_id]],tblDataRequirement[dm_id],tblDataRequirement[dm_phase])</f>
        <v>supply</v>
      </c>
      <c r="C691" s="1">
        <v>82</v>
      </c>
      <c r="D691" s="1">
        <v>169</v>
      </c>
      <c r="G691" s="1"/>
      <c r="H691" s="62" t="str">
        <f>_xlfn.XLOOKUP(tblRequirementMeasureXref[[#This Row],[msr_id]],tblMeasure[msr_id],tblMeasure[msr_table])</f>
        <v>T2a</v>
      </c>
      <c r="I691" s="22" t="str">
        <f>_xlfn.XLOOKUP(tblRequirementMeasureXref[[#This Row],[msr_id]],tblMeasure[msr_id],tblMeasure[msr_name])</f>
        <v>Profile of answers for all questions by demographic, at national level</v>
      </c>
      <c r="J691"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1" s="22" t="str">
        <f>_xlfn.XLOOKUP(tblRequirementMeasureXref[[#This Row],[msr_id]],tblMeasure[msr_id],tblMeasure[msr_min_geo_resolution])</f>
        <v>England</v>
      </c>
      <c r="L691" s="22" t="str">
        <f>_xlfn.XLOOKUP(tblRequirementMeasureXref[[#This Row],[msr_id]],tblMeasure[msr_id],tblMeasure[src_name])</f>
        <v>Personal Social Services (SACE) Survey of Adult Carers in England</v>
      </c>
    </row>
    <row r="692" spans="1:12" x14ac:dyDescent="0.15">
      <c r="A692" s="1" t="str">
        <f>_xlfn.XLOOKUP(tblRequirementMeasureXref[[#This Row],[dm_id]],tblDataRequirement[dm_id],tblDataRequirement[domain_sub_requirement])</f>
        <v>Unpaid Carers:Demographics:Ethnicity</v>
      </c>
      <c r="B692" s="1" t="str">
        <f>_xlfn.XLOOKUP(tblRequirementMeasureXref[[#This Row],[dm_id]],tblDataRequirement[dm_id],tblDataRequirement[dm_phase])</f>
        <v>supply</v>
      </c>
      <c r="C692" s="1">
        <v>83</v>
      </c>
      <c r="D692" s="1">
        <v>169</v>
      </c>
      <c r="G692" s="1"/>
      <c r="H692" s="62" t="str">
        <f>_xlfn.XLOOKUP(tblRequirementMeasureXref[[#This Row],[msr_id]],tblMeasure[msr_id],tblMeasure[msr_table])</f>
        <v>T2a</v>
      </c>
      <c r="I692" s="22" t="str">
        <f>_xlfn.XLOOKUP(tblRequirementMeasureXref[[#This Row],[msr_id]],tblMeasure[msr_id],tblMeasure[msr_name])</f>
        <v>Profile of answers for all questions by demographic, at national level</v>
      </c>
      <c r="J692"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2" s="22" t="str">
        <f>_xlfn.XLOOKUP(tblRequirementMeasureXref[[#This Row],[msr_id]],tblMeasure[msr_id],tblMeasure[msr_min_geo_resolution])</f>
        <v>England</v>
      </c>
      <c r="L692" s="22" t="str">
        <f>_xlfn.XLOOKUP(tblRequirementMeasureXref[[#This Row],[msr_id]],tblMeasure[msr_id],tblMeasure[src_name])</f>
        <v>Personal Social Services (SACE) Survey of Adult Carers in England</v>
      </c>
    </row>
    <row r="693" spans="1:12" x14ac:dyDescent="0.15">
      <c r="A693" s="1" t="str">
        <f>_xlfn.XLOOKUP(tblRequirementMeasureXref[[#This Row],[dm_id]],tblDataRequirement[dm_id],tblDataRequirement[domain_sub_requirement])</f>
        <v>Unpaid Carers:Demographics:Religion</v>
      </c>
      <c r="B693" s="1" t="str">
        <f>_xlfn.XLOOKUP(tblRequirementMeasureXref[[#This Row],[dm_id]],tblDataRequirement[dm_id],tblDataRequirement[dm_phase])</f>
        <v>supply</v>
      </c>
      <c r="C693" s="1">
        <v>92</v>
      </c>
      <c r="D693" s="1">
        <v>169</v>
      </c>
      <c r="G693" s="1"/>
      <c r="H693" s="62" t="str">
        <f>_xlfn.XLOOKUP(tblRequirementMeasureXref[[#This Row],[msr_id]],tblMeasure[msr_id],tblMeasure[msr_table])</f>
        <v>T2a</v>
      </c>
      <c r="I693" s="22" t="str">
        <f>_xlfn.XLOOKUP(tblRequirementMeasureXref[[#This Row],[msr_id]],tblMeasure[msr_id],tblMeasure[msr_name])</f>
        <v>Profile of answers for all questions by demographic, at national level</v>
      </c>
      <c r="J693"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3" s="22" t="str">
        <f>_xlfn.XLOOKUP(tblRequirementMeasureXref[[#This Row],[msr_id]],tblMeasure[msr_id],tblMeasure[msr_min_geo_resolution])</f>
        <v>England</v>
      </c>
      <c r="L693" s="22" t="str">
        <f>_xlfn.XLOOKUP(tblRequirementMeasureXref[[#This Row],[msr_id]],tblMeasure[msr_id],tblMeasure[src_name])</f>
        <v>Personal Social Services (SACE) Survey of Adult Carers in England</v>
      </c>
    </row>
    <row r="694" spans="1:12" x14ac:dyDescent="0.15">
      <c r="A694" s="1" t="str">
        <f>_xlfn.XLOOKUP(tblRequirementMeasureXref[[#This Row],[dm_id]],tblDataRequirement[dm_id],tblDataRequirement[domain_sub_requirement])</f>
        <v>Unpaid Carers:Demographics:Sexual Orientation</v>
      </c>
      <c r="B694" s="1" t="str">
        <f>_xlfn.XLOOKUP(tblRequirementMeasureXref[[#This Row],[dm_id]],tblDataRequirement[dm_id],tblDataRequirement[dm_phase])</f>
        <v>supply</v>
      </c>
      <c r="C694" s="1">
        <v>93</v>
      </c>
      <c r="D694" s="1">
        <v>169</v>
      </c>
      <c r="G694" s="1"/>
      <c r="H694" s="62" t="str">
        <f>_xlfn.XLOOKUP(tblRequirementMeasureXref[[#This Row],[msr_id]],tblMeasure[msr_id],tblMeasure[msr_table])</f>
        <v>T2a</v>
      </c>
      <c r="I694" s="22" t="str">
        <f>_xlfn.XLOOKUP(tblRequirementMeasureXref[[#This Row],[msr_id]],tblMeasure[msr_id],tblMeasure[msr_name])</f>
        <v>Profile of answers for all questions by demographic, at national level</v>
      </c>
      <c r="J694"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4" s="22" t="str">
        <f>_xlfn.XLOOKUP(tblRequirementMeasureXref[[#This Row],[msr_id]],tblMeasure[msr_id],tblMeasure[msr_min_geo_resolution])</f>
        <v>England</v>
      </c>
      <c r="L694" s="22" t="str">
        <f>_xlfn.XLOOKUP(tblRequirementMeasureXref[[#This Row],[msr_id]],tblMeasure[msr_id],tblMeasure[src_name])</f>
        <v>Personal Social Services (SACE) Survey of Adult Carers in England</v>
      </c>
    </row>
    <row r="695" spans="1:12" x14ac:dyDescent="0.15">
      <c r="A695" s="1" t="str">
        <f>_xlfn.XLOOKUP(tblRequirementMeasureXref[[#This Row],[dm_id]],tblDataRequirement[dm_id],tblDataRequirement[domain_sub_requirement])</f>
        <v>Users:Care need:Support reason</v>
      </c>
      <c r="B695" s="1" t="str">
        <f>_xlfn.XLOOKUP(tblRequirementMeasureXref[[#This Row],[dm_id]],tblDataRequirement[dm_id],tblDataRequirement[dm_phase])</f>
        <v>demand</v>
      </c>
      <c r="C695" s="1">
        <v>56</v>
      </c>
      <c r="D695" s="1">
        <v>169</v>
      </c>
      <c r="G695" s="1"/>
      <c r="H695" s="62" t="str">
        <f>_xlfn.XLOOKUP(tblRequirementMeasureXref[[#This Row],[msr_id]],tblMeasure[msr_id],tblMeasure[msr_table])</f>
        <v>T2a</v>
      </c>
      <c r="I695" s="22" t="str">
        <f>_xlfn.XLOOKUP(tblRequirementMeasureXref[[#This Row],[msr_id]],tblMeasure[msr_id],tblMeasure[msr_name])</f>
        <v>Profile of answers for all questions by demographic, at national level</v>
      </c>
      <c r="J695"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5" s="22" t="str">
        <f>_xlfn.XLOOKUP(tblRequirementMeasureXref[[#This Row],[msr_id]],tblMeasure[msr_id],tblMeasure[msr_min_geo_resolution])</f>
        <v>England</v>
      </c>
      <c r="L695" s="22" t="str">
        <f>_xlfn.XLOOKUP(tblRequirementMeasureXref[[#This Row],[msr_id]],tblMeasure[msr_id],tblMeasure[src_name])</f>
        <v>Personal Social Services (SACE) Survey of Adult Carers in England</v>
      </c>
    </row>
    <row r="696" spans="1:12" x14ac:dyDescent="0.15">
      <c r="A696" s="1" t="str">
        <f>_xlfn.XLOOKUP(tblRequirementMeasureXref[[#This Row],[dm_id]],tblDataRequirement[dm_id],tblDataRequirement[domain_sub_requirement])</f>
        <v>Service:Access:Reviews</v>
      </c>
      <c r="B696" s="1" t="str">
        <f>_xlfn.XLOOKUP(tblRequirementMeasureXref[[#This Row],[dm_id]],tblDataRequirement[dm_id],tblDataRequirement[dm_phase])</f>
        <v>demand</v>
      </c>
      <c r="C696" s="1">
        <v>69</v>
      </c>
      <c r="D696" s="1">
        <v>169</v>
      </c>
      <c r="G696" s="1"/>
      <c r="H696" s="62" t="str">
        <f>_xlfn.XLOOKUP(tblRequirementMeasureXref[[#This Row],[msr_id]],tblMeasure[msr_id],tblMeasure[msr_table])</f>
        <v>T2a</v>
      </c>
      <c r="I696" s="22" t="str">
        <f>_xlfn.XLOOKUP(tblRequirementMeasureXref[[#This Row],[msr_id]],tblMeasure[msr_id],tblMeasure[msr_name])</f>
        <v>Profile of answers for all questions by demographic, at national level</v>
      </c>
      <c r="J696"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6" s="22" t="str">
        <f>_xlfn.XLOOKUP(tblRequirementMeasureXref[[#This Row],[msr_id]],tblMeasure[msr_id],tblMeasure[msr_min_geo_resolution])</f>
        <v>England</v>
      </c>
      <c r="L696" s="22" t="str">
        <f>_xlfn.XLOOKUP(tblRequirementMeasureXref[[#This Row],[msr_id]],tblMeasure[msr_id],tblMeasure[src_name])</f>
        <v>Personal Social Services (SACE) Survey of Adult Carers in England</v>
      </c>
    </row>
    <row r="697" spans="1:12" x14ac:dyDescent="0.15">
      <c r="A697" s="1" t="str">
        <f>_xlfn.XLOOKUP(tblRequirementMeasureXref[[#This Row],[dm_id]],tblDataRequirement[dm_id],tblDataRequirement[domain_sub_requirement])</f>
        <v>Unpaid Carers:Income:Direct payments</v>
      </c>
      <c r="B697" s="1" t="str">
        <f>_xlfn.XLOOKUP(tblRequirementMeasureXref[[#This Row],[dm_id]],tblDataRequirement[dm_id],tblDataRequirement[dm_phase])</f>
        <v>supply</v>
      </c>
      <c r="C697" s="1">
        <v>90</v>
      </c>
      <c r="D697" s="1">
        <v>169</v>
      </c>
      <c r="G697" s="1"/>
      <c r="H697" s="62" t="str">
        <f>_xlfn.XLOOKUP(tblRequirementMeasureXref[[#This Row],[msr_id]],tblMeasure[msr_id],tblMeasure[msr_table])</f>
        <v>T2a</v>
      </c>
      <c r="I697" s="22" t="str">
        <f>_xlfn.XLOOKUP(tblRequirementMeasureXref[[#This Row],[msr_id]],tblMeasure[msr_id],tblMeasure[msr_name])</f>
        <v>Profile of answers for all questions by demographic, at national level</v>
      </c>
      <c r="J697"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7" s="22" t="str">
        <f>_xlfn.XLOOKUP(tblRequirementMeasureXref[[#This Row],[msr_id]],tblMeasure[msr_id],tblMeasure[msr_min_geo_resolution])</f>
        <v>England</v>
      </c>
      <c r="L697" s="22" t="str">
        <f>_xlfn.XLOOKUP(tblRequirementMeasureXref[[#This Row],[msr_id]],tblMeasure[msr_id],tblMeasure[src_name])</f>
        <v>Personal Social Services (SACE) Survey of Adult Carers in England</v>
      </c>
    </row>
    <row r="698" spans="1:12" x14ac:dyDescent="0.15">
      <c r="A698" s="1" t="str">
        <f>_xlfn.XLOOKUP(tblRequirementMeasureXref[[#This Row],[dm_id]],tblDataRequirement[dm_id],tblDataRequirement[domain_sub_requirement])</f>
        <v>Service:Care models:Self-directed support</v>
      </c>
      <c r="B698" s="1" t="str">
        <f>_xlfn.XLOOKUP(tblRequirementMeasureXref[[#This Row],[dm_id]],tblDataRequirement[dm_id],tblDataRequirement[dm_phase])</f>
        <v>operate</v>
      </c>
      <c r="C698" s="1">
        <v>70</v>
      </c>
      <c r="D698" s="1">
        <v>169</v>
      </c>
      <c r="G698" s="1"/>
      <c r="H698" s="62" t="str">
        <f>_xlfn.XLOOKUP(tblRequirementMeasureXref[[#This Row],[msr_id]],tblMeasure[msr_id],tblMeasure[msr_table])</f>
        <v>T2a</v>
      </c>
      <c r="I698" s="22" t="str">
        <f>_xlfn.XLOOKUP(tblRequirementMeasureXref[[#This Row],[msr_id]],tblMeasure[msr_id],tblMeasure[msr_name])</f>
        <v>Profile of answers for all questions by demographic, at national level</v>
      </c>
      <c r="J698"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8" s="22" t="str">
        <f>_xlfn.XLOOKUP(tblRequirementMeasureXref[[#This Row],[msr_id]],tblMeasure[msr_id],tblMeasure[msr_min_geo_resolution])</f>
        <v>England</v>
      </c>
      <c r="L698" s="22" t="str">
        <f>_xlfn.XLOOKUP(tblRequirementMeasureXref[[#This Row],[msr_id]],tblMeasure[msr_id],tblMeasure[src_name])</f>
        <v>Personal Social Services (SACE) Survey of Adult Carers in England</v>
      </c>
    </row>
    <row r="699" spans="1:12" x14ac:dyDescent="0.15">
      <c r="A699" s="1" t="str">
        <f>_xlfn.XLOOKUP(tblRequirementMeasureXref[[#This Row],[dm_id]],tblDataRequirement[dm_id],tblDataRequirement[domain_sub_requirement])</f>
        <v>Service:Access:Eligible for local authority funded care</v>
      </c>
      <c r="B699" s="1" t="str">
        <f>_xlfn.XLOOKUP(tblRequirementMeasureXref[[#This Row],[dm_id]],tblDataRequirement[dm_id],tblDataRequirement[dm_phase])</f>
        <v>demand</v>
      </c>
      <c r="C699" s="1">
        <v>28</v>
      </c>
      <c r="D699" s="1">
        <v>169</v>
      </c>
      <c r="G699" s="1"/>
      <c r="H699" s="62" t="str">
        <f>_xlfn.XLOOKUP(tblRequirementMeasureXref[[#This Row],[msr_id]],tblMeasure[msr_id],tblMeasure[msr_table])</f>
        <v>T2a</v>
      </c>
      <c r="I699" s="22" t="str">
        <f>_xlfn.XLOOKUP(tblRequirementMeasureXref[[#This Row],[msr_id]],tblMeasure[msr_id],tblMeasure[msr_name])</f>
        <v>Profile of answers for all questions by demographic, at national level</v>
      </c>
      <c r="J699"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699" s="22" t="str">
        <f>_xlfn.XLOOKUP(tblRequirementMeasureXref[[#This Row],[msr_id]],tblMeasure[msr_id],tblMeasure[msr_min_geo_resolution])</f>
        <v>England</v>
      </c>
      <c r="L699" s="22" t="str">
        <f>_xlfn.XLOOKUP(tblRequirementMeasureXref[[#This Row],[msr_id]],tblMeasure[msr_id],tblMeasure[src_name])</f>
        <v>Personal Social Services (SACE) Survey of Adult Carers in England</v>
      </c>
    </row>
    <row r="700" spans="1:12" x14ac:dyDescent="0.15">
      <c r="A700" s="1" t="str">
        <f>_xlfn.XLOOKUP(tblRequirementMeasureXref[[#This Row],[dm_id]],tblDataRequirement[dm_id],tblDataRequirement[domain_sub_requirement])</f>
        <v>Service:Access:Not eligible for local authority funded care</v>
      </c>
      <c r="B700" s="1" t="str">
        <f>_xlfn.XLOOKUP(tblRequirementMeasureXref[[#This Row],[dm_id]],tblDataRequirement[dm_id],tblDataRequirement[dm_phase])</f>
        <v>demand</v>
      </c>
      <c r="C700" s="1">
        <v>57</v>
      </c>
      <c r="D700" s="1">
        <v>169</v>
      </c>
      <c r="G700" s="1"/>
      <c r="H700" s="62" t="str">
        <f>_xlfn.XLOOKUP(tblRequirementMeasureXref[[#This Row],[msr_id]],tblMeasure[msr_id],tblMeasure[msr_table])</f>
        <v>T2a</v>
      </c>
      <c r="I700" s="22" t="str">
        <f>_xlfn.XLOOKUP(tblRequirementMeasureXref[[#This Row],[msr_id]],tblMeasure[msr_id],tblMeasure[msr_name])</f>
        <v>Profile of answers for all questions by demographic, at national level</v>
      </c>
      <c r="J700"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700" s="22" t="str">
        <f>_xlfn.XLOOKUP(tblRequirementMeasureXref[[#This Row],[msr_id]],tblMeasure[msr_id],tblMeasure[msr_min_geo_resolution])</f>
        <v>England</v>
      </c>
      <c r="L700" s="22" t="str">
        <f>_xlfn.XLOOKUP(tblRequirementMeasureXref[[#This Row],[msr_id]],tblMeasure[msr_id],tblMeasure[src_name])</f>
        <v>Personal Social Services (SACE) Survey of Adult Carers in England</v>
      </c>
    </row>
    <row r="701" spans="1:12" x14ac:dyDescent="0.15">
      <c r="A701" s="1" t="str">
        <f>_xlfn.XLOOKUP(tblRequirementMeasureXref[[#This Row],[dm_id]],tblDataRequirement[dm_id],tblDataRequirement[domain_sub_requirement])</f>
        <v>Service:Cost:Unit cos tfor self-funded care</v>
      </c>
      <c r="B701" s="1" t="str">
        <f>_xlfn.XLOOKUP(tblRequirementMeasureXref[[#This Row],[dm_id]],tblDataRequirement[dm_id],tblDataRequirement[dm_phase])</f>
        <v>operate</v>
      </c>
      <c r="C701" s="1">
        <v>35</v>
      </c>
      <c r="D701" s="1">
        <v>169</v>
      </c>
      <c r="G701" s="1"/>
      <c r="H701" s="62" t="str">
        <f>_xlfn.XLOOKUP(tblRequirementMeasureXref[[#This Row],[msr_id]],tblMeasure[msr_id],tblMeasure[msr_table])</f>
        <v>T2a</v>
      </c>
      <c r="I701" s="22" t="str">
        <f>_xlfn.XLOOKUP(tblRequirementMeasureXref[[#This Row],[msr_id]],tblMeasure[msr_id],tblMeasure[msr_name])</f>
        <v>Profile of answers for all questions by demographic, at national level</v>
      </c>
      <c r="J701"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701" s="22" t="str">
        <f>_xlfn.XLOOKUP(tblRequirementMeasureXref[[#This Row],[msr_id]],tblMeasure[msr_id],tblMeasure[msr_min_geo_resolution])</f>
        <v>England</v>
      </c>
      <c r="L701" s="22" t="str">
        <f>_xlfn.XLOOKUP(tblRequirementMeasureXref[[#This Row],[msr_id]],tblMeasure[msr_id],tblMeasure[src_name])</f>
        <v>Personal Social Services (SACE) Survey of Adult Carers in England</v>
      </c>
    </row>
    <row r="702" spans="1:12" x14ac:dyDescent="0.15">
      <c r="A702" s="1" t="str">
        <f>_xlfn.XLOOKUP(tblRequirementMeasureXref[[#This Row],[dm_id]],tblDataRequirement[dm_id],tblDataRequirement[domain_sub_requirement])</f>
        <v>Service:Cost:Unit cost for local authority-funded care</v>
      </c>
      <c r="B702" s="1" t="str">
        <f>_xlfn.XLOOKUP(tblRequirementMeasureXref[[#This Row],[dm_id]],tblDataRequirement[dm_id],tblDataRequirement[dm_phase])</f>
        <v>operate</v>
      </c>
      <c r="C702" s="1">
        <v>34</v>
      </c>
      <c r="D702" s="1">
        <v>169</v>
      </c>
      <c r="G702" s="1"/>
      <c r="H702" s="62" t="str">
        <f>_xlfn.XLOOKUP(tblRequirementMeasureXref[[#This Row],[msr_id]],tblMeasure[msr_id],tblMeasure[msr_table])</f>
        <v>T2a</v>
      </c>
      <c r="I702" s="22" t="str">
        <f>_xlfn.XLOOKUP(tblRequirementMeasureXref[[#This Row],[msr_id]],tblMeasure[msr_id],tblMeasure[msr_name])</f>
        <v>Profile of answers for all questions by demographic, at national level</v>
      </c>
      <c r="J702" s="22" t="str">
        <f>_xlfn.XLOOKUP(tblRequirementMeasureXref[[#This Row],[msr_id]],tblMeasure[msr_id],tblMeasure[primary_dimensions])</f>
        <v>satisfaction, respite, equipment, carer support, carer employment, carer QoL, carer safety, carer heath, carer finances, carer information, carer involvement, carer hours, carer disability, carer children, carer age, carer gender, carer ethnicity, carer sexual orientation, carer religion</v>
      </c>
      <c r="K702" s="22" t="str">
        <f>_xlfn.XLOOKUP(tblRequirementMeasureXref[[#This Row],[msr_id]],tblMeasure[msr_id],tblMeasure[msr_min_geo_resolution])</f>
        <v>England</v>
      </c>
      <c r="L702" s="22" t="str">
        <f>_xlfn.XLOOKUP(tblRequirementMeasureXref[[#This Row],[msr_id]],tblMeasure[msr_id],tblMeasure[src_name])</f>
        <v>Personal Social Services (SACE) Survey of Adult Carers in England</v>
      </c>
    </row>
    <row r="703" spans="1:12" x14ac:dyDescent="0.15">
      <c r="A703" s="1" t="str">
        <f>_xlfn.XLOOKUP(tblRequirementMeasureXref[[#This Row],[dm_id]],tblDataRequirement[dm_id],tblDataRequirement[domain_sub_requirement])</f>
        <v>Users:Care need:Support reason</v>
      </c>
      <c r="B703" s="1" t="str">
        <f>_xlfn.XLOOKUP(tblRequirementMeasureXref[[#This Row],[dm_id]],tblDataRequirement[dm_id],tblDataRequirement[dm_phase])</f>
        <v>demand</v>
      </c>
      <c r="C703" s="1">
        <v>56</v>
      </c>
      <c r="D703" s="1">
        <v>175</v>
      </c>
      <c r="G703" s="1"/>
      <c r="H703" s="62" t="str">
        <f>_xlfn.XLOOKUP(tblRequirementMeasureXref[[#This Row],[msr_id]],tblMeasure[msr_id],tblMeasure[msr_table])</f>
        <v>Table 1</v>
      </c>
      <c r="I703" s="22" t="str">
        <f>_xlfn.XLOOKUP(tblRequirementMeasureXref[[#This Row],[msr_id]],tblMeasure[msr_id],tblMeasure[msr_name])</f>
        <v>Profile of Quality of Life scores by health condition of the cared-for person</v>
      </c>
      <c r="J703" s="22" t="str">
        <f>_xlfn.XLOOKUP(tblRequirementMeasureXref[[#This Row],[msr_id]],tblMeasure[msr_id],tblMeasure[primary_dimensions])</f>
        <v>user QoL</v>
      </c>
      <c r="K703" s="22" t="str">
        <f>_xlfn.XLOOKUP(tblRequirementMeasureXref[[#This Row],[msr_id]],tblMeasure[msr_id],tblMeasure[msr_min_geo_resolution])</f>
        <v>LA</v>
      </c>
      <c r="L703" s="22" t="str">
        <f>_xlfn.XLOOKUP(tblRequirementMeasureXref[[#This Row],[msr_id]],tblMeasure[msr_id],tblMeasure[src_name])</f>
        <v>Personal Social Services (SACE) Survey of Adult Carers in England</v>
      </c>
    </row>
    <row r="704" spans="1:12" x14ac:dyDescent="0.15">
      <c r="A704" s="1" t="str">
        <f>_xlfn.XLOOKUP(tblRequirementMeasureXref[[#This Row],[dm_id]],tblDataRequirement[dm_id],tblDataRequirement[domain_sub_requirement])</f>
        <v>Users:Quality of life:Well-being</v>
      </c>
      <c r="B704" s="1" t="str">
        <f>_xlfn.XLOOKUP(tblRequirementMeasureXref[[#This Row],[dm_id]],tblDataRequirement[dm_id],tblDataRequirement[dm_phase])</f>
        <v>outcome</v>
      </c>
      <c r="C704" s="1">
        <v>54</v>
      </c>
      <c r="D704" s="1">
        <v>175</v>
      </c>
      <c r="G704" s="1"/>
      <c r="H704" s="62" t="str">
        <f>_xlfn.XLOOKUP(tblRequirementMeasureXref[[#This Row],[msr_id]],tblMeasure[msr_id],tblMeasure[msr_table])</f>
        <v>Table 1</v>
      </c>
      <c r="I704" s="22" t="str">
        <f>_xlfn.XLOOKUP(tblRequirementMeasureXref[[#This Row],[msr_id]],tblMeasure[msr_id],tblMeasure[msr_name])</f>
        <v>Profile of Quality of Life scores by health condition of the cared-for person</v>
      </c>
      <c r="J704" s="22" t="str">
        <f>_xlfn.XLOOKUP(tblRequirementMeasureXref[[#This Row],[msr_id]],tblMeasure[msr_id],tblMeasure[primary_dimensions])</f>
        <v>user QoL</v>
      </c>
      <c r="K704" s="22" t="str">
        <f>_xlfn.XLOOKUP(tblRequirementMeasureXref[[#This Row],[msr_id]],tblMeasure[msr_id],tblMeasure[msr_min_geo_resolution])</f>
        <v>LA</v>
      </c>
      <c r="L704" s="22" t="str">
        <f>_xlfn.XLOOKUP(tblRequirementMeasureXref[[#This Row],[msr_id]],tblMeasure[msr_id],tblMeasure[src_name])</f>
        <v>Personal Social Services (SACE) Survey of Adult Carers in England</v>
      </c>
    </row>
    <row r="705" spans="1:12" x14ac:dyDescent="0.15">
      <c r="A705" s="1" t="str">
        <f>_xlfn.XLOOKUP(tblRequirementMeasureXref[[#This Row],[dm_id]],tblDataRequirement[dm_id],tblDataRequirement[domain_sub_requirement])</f>
        <v>Service:Quality:User perception</v>
      </c>
      <c r="B705" s="1" t="str">
        <f>_xlfn.XLOOKUP(tblRequirementMeasureXref[[#This Row],[dm_id]],tblDataRequirement[dm_id],tblDataRequirement[dm_phase])</f>
        <v>outcome</v>
      </c>
      <c r="C705" s="1">
        <v>25</v>
      </c>
      <c r="D705" s="1">
        <v>176</v>
      </c>
      <c r="G705" s="1"/>
      <c r="H705" s="62" t="str">
        <f>_xlfn.XLOOKUP(tblRequirementMeasureXref[[#This Row],[msr_id]],tblMeasure[msr_id],tblMeasure[msr_table])</f>
        <v>T1a</v>
      </c>
      <c r="I705" s="22" t="str">
        <f>_xlfn.XLOOKUP(tblRequirementMeasureXref[[#This Row],[msr_id]],tblMeasure[msr_id],tblMeasure[msr_name])</f>
        <v>Profile of answers for all questions by CASSR, CASSR type and region</v>
      </c>
      <c r="J705"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05" s="22" t="str">
        <f>_xlfn.XLOOKUP(tblRequirementMeasureXref[[#This Row],[msr_id]],tblMeasure[msr_id],tblMeasure[msr_min_geo_resolution])</f>
        <v>LA</v>
      </c>
      <c r="L705" s="22" t="str">
        <f>_xlfn.XLOOKUP(tblRequirementMeasureXref[[#This Row],[msr_id]],tblMeasure[msr_id],tblMeasure[src_name])</f>
        <v xml:space="preserve">Personal Social Services: (ASCS) Adult Social Care Survey, England </v>
      </c>
    </row>
    <row r="706" spans="1:12" x14ac:dyDescent="0.15">
      <c r="A706" s="1" t="str">
        <f>_xlfn.XLOOKUP(tblRequirementMeasureXref[[#This Row],[dm_id]],tblDataRequirement[dm_id],tblDataRequirement[domain_sub_requirement])</f>
        <v>Users:Quality of life:Well-being</v>
      </c>
      <c r="B706" s="1" t="str">
        <f>_xlfn.XLOOKUP(tblRequirementMeasureXref[[#This Row],[dm_id]],tblDataRequirement[dm_id],tblDataRequirement[dm_phase])</f>
        <v>outcome</v>
      </c>
      <c r="C706" s="1">
        <v>54</v>
      </c>
      <c r="D706" s="1">
        <v>176</v>
      </c>
      <c r="G706" s="1"/>
      <c r="H706" s="62" t="str">
        <f>_xlfn.XLOOKUP(tblRequirementMeasureXref[[#This Row],[msr_id]],tblMeasure[msr_id],tblMeasure[msr_table])</f>
        <v>T1a</v>
      </c>
      <c r="I706" s="22" t="str">
        <f>_xlfn.XLOOKUP(tblRequirementMeasureXref[[#This Row],[msr_id]],tblMeasure[msr_id],tblMeasure[msr_name])</f>
        <v>Profile of answers for all questions by CASSR, CASSR type and region</v>
      </c>
      <c r="J706"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06" s="22" t="str">
        <f>_xlfn.XLOOKUP(tblRequirementMeasureXref[[#This Row],[msr_id]],tblMeasure[msr_id],tblMeasure[msr_min_geo_resolution])</f>
        <v>LA</v>
      </c>
      <c r="L706" s="22" t="str">
        <f>_xlfn.XLOOKUP(tblRequirementMeasureXref[[#This Row],[msr_id]],tblMeasure[msr_id],tblMeasure[src_name])</f>
        <v xml:space="preserve">Personal Social Services: (ASCS) Adult Social Care Survey, England </v>
      </c>
    </row>
    <row r="707" spans="1:12" x14ac:dyDescent="0.15">
      <c r="A707" s="1" t="str">
        <f>_xlfn.XLOOKUP(tblRequirementMeasureXref[[#This Row],[dm_id]],tblDataRequirement[dm_id],tblDataRequirement[domain_sub_requirement])</f>
        <v>Service:Quality:Safety</v>
      </c>
      <c r="B707" s="1" t="str">
        <f>_xlfn.XLOOKUP(tblRequirementMeasureXref[[#This Row],[dm_id]],tblDataRequirement[dm_id],tblDataRequirement[dm_phase])</f>
        <v>outcome</v>
      </c>
      <c r="C707" s="1">
        <v>74</v>
      </c>
      <c r="D707" s="1">
        <v>176</v>
      </c>
      <c r="G707" s="1"/>
      <c r="H707" s="62" t="str">
        <f>_xlfn.XLOOKUP(tblRequirementMeasureXref[[#This Row],[msr_id]],tblMeasure[msr_id],tblMeasure[msr_table])</f>
        <v>T1a</v>
      </c>
      <c r="I707" s="22" t="str">
        <f>_xlfn.XLOOKUP(tblRequirementMeasureXref[[#This Row],[msr_id]],tblMeasure[msr_id],tblMeasure[msr_name])</f>
        <v>Profile of answers for all questions by CASSR, CASSR type and region</v>
      </c>
      <c r="J707"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07" s="22" t="str">
        <f>_xlfn.XLOOKUP(tblRequirementMeasureXref[[#This Row],[msr_id]],tblMeasure[msr_id],tblMeasure[msr_min_geo_resolution])</f>
        <v>LA</v>
      </c>
      <c r="L707" s="22" t="str">
        <f>_xlfn.XLOOKUP(tblRequirementMeasureXref[[#This Row],[msr_id]],tblMeasure[msr_id],tblMeasure[src_name])</f>
        <v xml:space="preserve">Personal Social Services: (ASCS) Adult Social Care Survey, England </v>
      </c>
    </row>
    <row r="708" spans="1:12" x14ac:dyDescent="0.15">
      <c r="A708" s="1" t="str">
        <f>_xlfn.XLOOKUP(tblRequirementMeasureXref[[#This Row],[dm_id]],tblDataRequirement[dm_id],tblDataRequirement[domain_sub_requirement])</f>
        <v>Users:Health:Health</v>
      </c>
      <c r="B708" s="1" t="str">
        <f>_xlfn.XLOOKUP(tblRequirementMeasureXref[[#This Row],[dm_id]],tblDataRequirement[dm_id],tblDataRequirement[dm_phase])</f>
        <v>outcome</v>
      </c>
      <c r="C708" s="1">
        <v>53</v>
      </c>
      <c r="D708" s="1">
        <v>176</v>
      </c>
      <c r="G708" s="1"/>
      <c r="H708" s="62" t="str">
        <f>_xlfn.XLOOKUP(tblRequirementMeasureXref[[#This Row],[msr_id]],tblMeasure[msr_id],tblMeasure[msr_table])</f>
        <v>T1a</v>
      </c>
      <c r="I708" s="22" t="str">
        <f>_xlfn.XLOOKUP(tblRequirementMeasureXref[[#This Row],[msr_id]],tblMeasure[msr_id],tblMeasure[msr_name])</f>
        <v>Profile of answers for all questions by CASSR, CASSR type and region</v>
      </c>
      <c r="J708"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08" s="22" t="str">
        <f>_xlfn.XLOOKUP(tblRequirementMeasureXref[[#This Row],[msr_id]],tblMeasure[msr_id],tblMeasure[msr_min_geo_resolution])</f>
        <v>LA</v>
      </c>
      <c r="L708" s="22" t="str">
        <f>_xlfn.XLOOKUP(tblRequirementMeasureXref[[#This Row],[msr_id]],tblMeasure[msr_id],tblMeasure[src_name])</f>
        <v xml:space="preserve">Personal Social Services: (ASCS) Adult Social Care Survey, England </v>
      </c>
    </row>
    <row r="709" spans="1:12" x14ac:dyDescent="0.15">
      <c r="A709" s="1" t="str">
        <f>_xlfn.XLOOKUP(tblRequirementMeasureXref[[#This Row],[dm_id]],tblDataRequirement[dm_id],tblDataRequirement[domain_sub_requirement])</f>
        <v>Unpaid Carers:Workforce:Workforce</v>
      </c>
      <c r="B709" s="1" t="str">
        <f>_xlfn.XLOOKUP(tblRequirementMeasureXref[[#This Row],[dm_id]],tblDataRequirement[dm_id],tblDataRequirement[dm_phase])</f>
        <v>supply</v>
      </c>
      <c r="C709" s="1">
        <v>19</v>
      </c>
      <c r="D709" s="1">
        <v>176</v>
      </c>
      <c r="G709" s="1"/>
      <c r="H709" s="62" t="str">
        <f>_xlfn.XLOOKUP(tblRequirementMeasureXref[[#This Row],[msr_id]],tblMeasure[msr_id],tblMeasure[msr_table])</f>
        <v>T1a</v>
      </c>
      <c r="I709" s="22" t="str">
        <f>_xlfn.XLOOKUP(tblRequirementMeasureXref[[#This Row],[msr_id]],tblMeasure[msr_id],tblMeasure[msr_name])</f>
        <v>Profile of answers for all questions by CASSR, CASSR type and region</v>
      </c>
      <c r="J709"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09" s="22" t="str">
        <f>_xlfn.XLOOKUP(tblRequirementMeasureXref[[#This Row],[msr_id]],tblMeasure[msr_id],tblMeasure[msr_min_geo_resolution])</f>
        <v>LA</v>
      </c>
      <c r="L709" s="22" t="str">
        <f>_xlfn.XLOOKUP(tblRequirementMeasureXref[[#This Row],[msr_id]],tblMeasure[msr_id],tblMeasure[src_name])</f>
        <v xml:space="preserve">Personal Social Services: (ASCS) Adult Social Care Survey, England </v>
      </c>
    </row>
    <row r="710" spans="1:12" x14ac:dyDescent="0.15">
      <c r="A710" s="1" t="str">
        <f>_xlfn.XLOOKUP(tblRequirementMeasureXref[[#This Row],[dm_id]],tblDataRequirement[dm_id],tblDataRequirement[domain_sub_requirement])</f>
        <v>Users:Expenditure:Self-funders</v>
      </c>
      <c r="B710" s="1" t="str">
        <f>_xlfn.XLOOKUP(tblRequirementMeasureXref[[#This Row],[dm_id]],tblDataRequirement[dm_id],tblDataRequirement[dm_phase])</f>
        <v>supply</v>
      </c>
      <c r="C710" s="1">
        <v>5</v>
      </c>
      <c r="D710" s="1">
        <v>176</v>
      </c>
      <c r="G710" s="1"/>
      <c r="H710" s="62" t="str">
        <f>_xlfn.XLOOKUP(tblRequirementMeasureXref[[#This Row],[msr_id]],tblMeasure[msr_id],tblMeasure[msr_table])</f>
        <v>T1a</v>
      </c>
      <c r="I710" s="22" t="str">
        <f>_xlfn.XLOOKUP(tblRequirementMeasureXref[[#This Row],[msr_id]],tblMeasure[msr_id],tblMeasure[msr_name])</f>
        <v>Profile of answers for all questions by CASSR, CASSR type and region</v>
      </c>
      <c r="J710"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0" s="22" t="str">
        <f>_xlfn.XLOOKUP(tblRequirementMeasureXref[[#This Row],[msr_id]],tblMeasure[msr_id],tblMeasure[msr_min_geo_resolution])</f>
        <v>LA</v>
      </c>
      <c r="L710" s="22" t="str">
        <f>_xlfn.XLOOKUP(tblRequirementMeasureXref[[#This Row],[msr_id]],tblMeasure[msr_id],tblMeasure[src_name])</f>
        <v xml:space="preserve">Personal Social Services: (ASCS) Adult Social Care Survey, England </v>
      </c>
    </row>
    <row r="711" spans="1:12" x14ac:dyDescent="0.15">
      <c r="A711" s="1" t="str">
        <f>_xlfn.XLOOKUP(tblRequirementMeasureXref[[#This Row],[dm_id]],tblDataRequirement[dm_id],tblDataRequirement[domain_sub_requirement])</f>
        <v>Users:Care need:Support reason</v>
      </c>
      <c r="B711" s="1" t="str">
        <f>_xlfn.XLOOKUP(tblRequirementMeasureXref[[#This Row],[dm_id]],tblDataRequirement[dm_id],tblDataRequirement[dm_phase])</f>
        <v>demand</v>
      </c>
      <c r="C711" s="1">
        <v>56</v>
      </c>
      <c r="D711" s="1">
        <v>178</v>
      </c>
      <c r="G711" s="1"/>
      <c r="H711" s="62" t="str">
        <f>_xlfn.XLOOKUP(tblRequirementMeasureXref[[#This Row],[msr_id]],tblMeasure[msr_id],tblMeasure[msr_table])</f>
        <v>T2a</v>
      </c>
      <c r="I711" s="22" t="str">
        <f>_xlfn.XLOOKUP(tblRequirementMeasureXref[[#This Row],[msr_id]],tblMeasure[msr_id],tblMeasure[msr_name])</f>
        <v>Profile of answers for all questions by demographic, at national level</v>
      </c>
      <c r="J711"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1" s="22" t="str">
        <f>_xlfn.XLOOKUP(tblRequirementMeasureXref[[#This Row],[msr_id]],tblMeasure[msr_id],tblMeasure[msr_min_geo_resolution])</f>
        <v>England</v>
      </c>
      <c r="L711" s="22" t="str">
        <f>_xlfn.XLOOKUP(tblRequirementMeasureXref[[#This Row],[msr_id]],tblMeasure[msr_id],tblMeasure[src_name])</f>
        <v xml:space="preserve">Personal Social Services: (ASCS) Adult Social Care Survey, England </v>
      </c>
    </row>
    <row r="712" spans="1:12" x14ac:dyDescent="0.15">
      <c r="A712" s="1" t="str">
        <f>_xlfn.XLOOKUP(tblRequirementMeasureXref[[#This Row],[dm_id]],tblDataRequirement[dm_id],tblDataRequirement[domain_sub_requirement])</f>
        <v>Users:Quality of life:Well-being</v>
      </c>
      <c r="B712" s="1" t="str">
        <f>_xlfn.XLOOKUP(tblRequirementMeasureXref[[#This Row],[dm_id]],tblDataRequirement[dm_id],tblDataRequirement[dm_phase])</f>
        <v>outcome</v>
      </c>
      <c r="C712" s="1">
        <v>54</v>
      </c>
      <c r="D712" s="1">
        <v>178</v>
      </c>
      <c r="G712" s="1"/>
      <c r="H712" s="62" t="str">
        <f>_xlfn.XLOOKUP(tblRequirementMeasureXref[[#This Row],[msr_id]],tblMeasure[msr_id],tblMeasure[msr_table])</f>
        <v>T2a</v>
      </c>
      <c r="I712" s="22" t="str">
        <f>_xlfn.XLOOKUP(tblRequirementMeasureXref[[#This Row],[msr_id]],tblMeasure[msr_id],tblMeasure[msr_name])</f>
        <v>Profile of answers for all questions by demographic, at national level</v>
      </c>
      <c r="J712"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2" s="22" t="str">
        <f>_xlfn.XLOOKUP(tblRequirementMeasureXref[[#This Row],[msr_id]],tblMeasure[msr_id],tblMeasure[msr_min_geo_resolution])</f>
        <v>England</v>
      </c>
      <c r="L712" s="22" t="str">
        <f>_xlfn.XLOOKUP(tblRequirementMeasureXref[[#This Row],[msr_id]],tblMeasure[msr_id],tblMeasure[src_name])</f>
        <v xml:space="preserve">Personal Social Services: (ASCS) Adult Social Care Survey, England </v>
      </c>
    </row>
    <row r="713" spans="1:12" x14ac:dyDescent="0.15">
      <c r="A713" s="1" t="str">
        <f>_xlfn.XLOOKUP(tblRequirementMeasureXref[[#This Row],[dm_id]],tblDataRequirement[dm_id],tblDataRequirement[domain_sub_requirement])</f>
        <v>Service:Quality:User perception</v>
      </c>
      <c r="B713" s="1" t="str">
        <f>_xlfn.XLOOKUP(tblRequirementMeasureXref[[#This Row],[dm_id]],tblDataRequirement[dm_id],tblDataRequirement[dm_phase])</f>
        <v>outcome</v>
      </c>
      <c r="C713" s="1">
        <v>25</v>
      </c>
      <c r="D713" s="1">
        <v>178</v>
      </c>
      <c r="G713" s="1"/>
      <c r="H713" s="62" t="str">
        <f>_xlfn.XLOOKUP(tblRequirementMeasureXref[[#This Row],[msr_id]],tblMeasure[msr_id],tblMeasure[msr_table])</f>
        <v>T2a</v>
      </c>
      <c r="I713" s="22" t="str">
        <f>_xlfn.XLOOKUP(tblRequirementMeasureXref[[#This Row],[msr_id]],tblMeasure[msr_id],tblMeasure[msr_name])</f>
        <v>Profile of answers for all questions by demographic, at national level</v>
      </c>
      <c r="J713"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3" s="22" t="str">
        <f>_xlfn.XLOOKUP(tblRequirementMeasureXref[[#This Row],[msr_id]],tblMeasure[msr_id],tblMeasure[msr_min_geo_resolution])</f>
        <v>England</v>
      </c>
      <c r="L713" s="22" t="str">
        <f>_xlfn.XLOOKUP(tblRequirementMeasureXref[[#This Row],[msr_id]],tblMeasure[msr_id],tblMeasure[src_name])</f>
        <v xml:space="preserve">Personal Social Services: (ASCS) Adult Social Care Survey, England </v>
      </c>
    </row>
    <row r="714" spans="1:12" x14ac:dyDescent="0.15">
      <c r="A714" s="1" t="str">
        <f>_xlfn.XLOOKUP(tblRequirementMeasureXref[[#This Row],[dm_id]],tblDataRequirement[dm_id],tblDataRequirement[domain_sub_requirement])</f>
        <v>Users:Quality of life:Well-being</v>
      </c>
      <c r="B714" s="1" t="str">
        <f>_xlfn.XLOOKUP(tblRequirementMeasureXref[[#This Row],[dm_id]],tblDataRequirement[dm_id],tblDataRequirement[dm_phase])</f>
        <v>outcome</v>
      </c>
      <c r="C714" s="1">
        <v>54</v>
      </c>
      <c r="D714" s="1">
        <v>178</v>
      </c>
      <c r="G714" s="1"/>
      <c r="H714" s="62" t="str">
        <f>_xlfn.XLOOKUP(tblRequirementMeasureXref[[#This Row],[msr_id]],tblMeasure[msr_id],tblMeasure[msr_table])</f>
        <v>T2a</v>
      </c>
      <c r="I714" s="22" t="str">
        <f>_xlfn.XLOOKUP(tblRequirementMeasureXref[[#This Row],[msr_id]],tblMeasure[msr_id],tblMeasure[msr_name])</f>
        <v>Profile of answers for all questions by demographic, at national level</v>
      </c>
      <c r="J714"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4" s="22" t="str">
        <f>_xlfn.XLOOKUP(tblRequirementMeasureXref[[#This Row],[msr_id]],tblMeasure[msr_id],tblMeasure[msr_min_geo_resolution])</f>
        <v>England</v>
      </c>
      <c r="L714" s="22" t="str">
        <f>_xlfn.XLOOKUP(tblRequirementMeasureXref[[#This Row],[msr_id]],tblMeasure[msr_id],tblMeasure[src_name])</f>
        <v xml:space="preserve">Personal Social Services: (ASCS) Adult Social Care Survey, England </v>
      </c>
    </row>
    <row r="715" spans="1:12" x14ac:dyDescent="0.15">
      <c r="A715" s="1" t="str">
        <f>_xlfn.XLOOKUP(tblRequirementMeasureXref[[#This Row],[dm_id]],tblDataRequirement[dm_id],tblDataRequirement[domain_sub_requirement])</f>
        <v>Service:Quality:Safety</v>
      </c>
      <c r="B715" s="1" t="str">
        <f>_xlfn.XLOOKUP(tblRequirementMeasureXref[[#This Row],[dm_id]],tblDataRequirement[dm_id],tblDataRequirement[dm_phase])</f>
        <v>outcome</v>
      </c>
      <c r="C715" s="1">
        <v>74</v>
      </c>
      <c r="D715" s="1">
        <v>178</v>
      </c>
      <c r="G715" s="1"/>
      <c r="H715" s="62" t="str">
        <f>_xlfn.XLOOKUP(tblRequirementMeasureXref[[#This Row],[msr_id]],tblMeasure[msr_id],tblMeasure[msr_table])</f>
        <v>T2a</v>
      </c>
      <c r="I715" s="22" t="str">
        <f>_xlfn.XLOOKUP(tblRequirementMeasureXref[[#This Row],[msr_id]],tblMeasure[msr_id],tblMeasure[msr_name])</f>
        <v>Profile of answers for all questions by demographic, at national level</v>
      </c>
      <c r="J715"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5" s="22" t="str">
        <f>_xlfn.XLOOKUP(tblRequirementMeasureXref[[#This Row],[msr_id]],tblMeasure[msr_id],tblMeasure[msr_min_geo_resolution])</f>
        <v>England</v>
      </c>
      <c r="L715" s="22" t="str">
        <f>_xlfn.XLOOKUP(tblRequirementMeasureXref[[#This Row],[msr_id]],tblMeasure[msr_id],tblMeasure[src_name])</f>
        <v xml:space="preserve">Personal Social Services: (ASCS) Adult Social Care Survey, England </v>
      </c>
    </row>
    <row r="716" spans="1:12" x14ac:dyDescent="0.15">
      <c r="A716" s="1" t="str">
        <f>_xlfn.XLOOKUP(tblRequirementMeasureXref[[#This Row],[dm_id]],tblDataRequirement[dm_id],tblDataRequirement[domain_sub_requirement])</f>
        <v>Users:Health:Health</v>
      </c>
      <c r="B716" s="1" t="str">
        <f>_xlfn.XLOOKUP(tblRequirementMeasureXref[[#This Row],[dm_id]],tblDataRequirement[dm_id],tblDataRequirement[dm_phase])</f>
        <v>outcome</v>
      </c>
      <c r="C716" s="1">
        <v>53</v>
      </c>
      <c r="D716" s="1">
        <v>178</v>
      </c>
      <c r="G716" s="1"/>
      <c r="H716" s="62" t="str">
        <f>_xlfn.XLOOKUP(tblRequirementMeasureXref[[#This Row],[msr_id]],tblMeasure[msr_id],tblMeasure[msr_table])</f>
        <v>T2a</v>
      </c>
      <c r="I716" s="22" t="str">
        <f>_xlfn.XLOOKUP(tblRequirementMeasureXref[[#This Row],[msr_id]],tblMeasure[msr_id],tblMeasure[msr_name])</f>
        <v>Profile of answers for all questions by demographic, at national level</v>
      </c>
      <c r="J716"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6" s="22" t="str">
        <f>_xlfn.XLOOKUP(tblRequirementMeasureXref[[#This Row],[msr_id]],tblMeasure[msr_id],tblMeasure[msr_min_geo_resolution])</f>
        <v>England</v>
      </c>
      <c r="L716" s="22" t="str">
        <f>_xlfn.XLOOKUP(tblRequirementMeasureXref[[#This Row],[msr_id]],tblMeasure[msr_id],tblMeasure[src_name])</f>
        <v xml:space="preserve">Personal Social Services: (ASCS) Adult Social Care Survey, England </v>
      </c>
    </row>
    <row r="717" spans="1:12" x14ac:dyDescent="0.15">
      <c r="A717" s="1" t="str">
        <f>_xlfn.XLOOKUP(tblRequirementMeasureXref[[#This Row],[dm_id]],tblDataRequirement[dm_id],tblDataRequirement[domain_sub_requirement])</f>
        <v>Unpaid Carers:Workforce:Workforce</v>
      </c>
      <c r="B717" s="1" t="str">
        <f>_xlfn.XLOOKUP(tblRequirementMeasureXref[[#This Row],[dm_id]],tblDataRequirement[dm_id],tblDataRequirement[dm_phase])</f>
        <v>supply</v>
      </c>
      <c r="C717" s="1">
        <v>19</v>
      </c>
      <c r="D717" s="1">
        <v>178</v>
      </c>
      <c r="G717" s="1"/>
      <c r="H717" s="62" t="str">
        <f>_xlfn.XLOOKUP(tblRequirementMeasureXref[[#This Row],[msr_id]],tblMeasure[msr_id],tblMeasure[msr_table])</f>
        <v>T2a</v>
      </c>
      <c r="I717" s="22" t="str">
        <f>_xlfn.XLOOKUP(tblRequirementMeasureXref[[#This Row],[msr_id]],tblMeasure[msr_id],tblMeasure[msr_name])</f>
        <v>Profile of answers for all questions by demographic, at national level</v>
      </c>
      <c r="J717"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7" s="22" t="str">
        <f>_xlfn.XLOOKUP(tblRequirementMeasureXref[[#This Row],[msr_id]],tblMeasure[msr_id],tblMeasure[msr_min_geo_resolution])</f>
        <v>England</v>
      </c>
      <c r="L717" s="22" t="str">
        <f>_xlfn.XLOOKUP(tblRequirementMeasureXref[[#This Row],[msr_id]],tblMeasure[msr_id],tblMeasure[src_name])</f>
        <v xml:space="preserve">Personal Social Services: (ASCS) Adult Social Care Survey, England </v>
      </c>
    </row>
    <row r="718" spans="1:12" x14ac:dyDescent="0.15">
      <c r="A718" s="1" t="str">
        <f>_xlfn.XLOOKUP(tblRequirementMeasureXref[[#This Row],[dm_id]],tblDataRequirement[dm_id],tblDataRequirement[domain_sub_requirement])</f>
        <v>Users:Expenditure:Self-funders</v>
      </c>
      <c r="B718" s="1" t="str">
        <f>_xlfn.XLOOKUP(tblRequirementMeasureXref[[#This Row],[dm_id]],tblDataRequirement[dm_id],tblDataRequirement[dm_phase])</f>
        <v>supply</v>
      </c>
      <c r="C718" s="1">
        <v>5</v>
      </c>
      <c r="D718" s="1">
        <v>178</v>
      </c>
      <c r="G718" s="1"/>
      <c r="H718" s="62" t="str">
        <f>_xlfn.XLOOKUP(tblRequirementMeasureXref[[#This Row],[msr_id]],tblMeasure[msr_id],tblMeasure[msr_table])</f>
        <v>T2a</v>
      </c>
      <c r="I718" s="22" t="str">
        <f>_xlfn.XLOOKUP(tblRequirementMeasureXref[[#This Row],[msr_id]],tblMeasure[msr_id],tblMeasure[msr_name])</f>
        <v>Profile of answers for all questions by demographic, at national level</v>
      </c>
      <c r="J718"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8" s="22" t="str">
        <f>_xlfn.XLOOKUP(tblRequirementMeasureXref[[#This Row],[msr_id]],tblMeasure[msr_id],tblMeasure[msr_min_geo_resolution])</f>
        <v>England</v>
      </c>
      <c r="L718" s="22" t="str">
        <f>_xlfn.XLOOKUP(tblRequirementMeasureXref[[#This Row],[msr_id]],tblMeasure[msr_id],tblMeasure[src_name])</f>
        <v xml:space="preserve">Personal Social Services: (ASCS) Adult Social Care Survey, England </v>
      </c>
    </row>
    <row r="719" spans="1:12" x14ac:dyDescent="0.15">
      <c r="A719" s="1" t="str">
        <f>_xlfn.XLOOKUP(tblRequirementMeasureXref[[#This Row],[dm_id]],tblDataRequirement[dm_id],tblDataRequirement[domain_sub_requirement])</f>
        <v>Users:Care need:Support reason</v>
      </c>
      <c r="B719" s="1" t="str">
        <f>_xlfn.XLOOKUP(tblRequirementMeasureXref[[#This Row],[dm_id]],tblDataRequirement[dm_id],tblDataRequirement[dm_phase])</f>
        <v>demand</v>
      </c>
      <c r="C719" s="1">
        <v>56</v>
      </c>
      <c r="D719" s="1">
        <v>178</v>
      </c>
      <c r="G719" s="1"/>
      <c r="H719" s="62" t="str">
        <f>_xlfn.XLOOKUP(tblRequirementMeasureXref[[#This Row],[msr_id]],tblMeasure[msr_id],tblMeasure[msr_table])</f>
        <v>T2a</v>
      </c>
      <c r="I719" s="22" t="str">
        <f>_xlfn.XLOOKUP(tblRequirementMeasureXref[[#This Row],[msr_id]],tblMeasure[msr_id],tblMeasure[msr_name])</f>
        <v>Profile of answers for all questions by demographic, at national level</v>
      </c>
      <c r="J719"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19" s="22" t="str">
        <f>_xlfn.XLOOKUP(tblRequirementMeasureXref[[#This Row],[msr_id]],tblMeasure[msr_id],tblMeasure[msr_min_geo_resolution])</f>
        <v>England</v>
      </c>
      <c r="L719" s="22" t="str">
        <f>_xlfn.XLOOKUP(tblRequirementMeasureXref[[#This Row],[msr_id]],tblMeasure[msr_id],tblMeasure[src_name])</f>
        <v xml:space="preserve">Personal Social Services: (ASCS) Adult Social Care Survey, England </v>
      </c>
    </row>
    <row r="720" spans="1:12" x14ac:dyDescent="0.15">
      <c r="A720" s="1" t="str">
        <f>_xlfn.XLOOKUP(tblRequirementMeasureXref[[#This Row],[dm_id]],tblDataRequirement[dm_id],tblDataRequirement[domain_sub_requirement])</f>
        <v>Users:Demographics:Age</v>
      </c>
      <c r="B720" s="1" t="str">
        <f>_xlfn.XLOOKUP(tblRequirementMeasureXref[[#This Row],[dm_id]],tblDataRequirement[dm_id],tblDataRequirement[dm_phase])</f>
        <v>demand</v>
      </c>
      <c r="C720" s="1">
        <v>51</v>
      </c>
      <c r="D720" s="1">
        <v>178</v>
      </c>
      <c r="G720" s="1"/>
      <c r="H720" s="62" t="str">
        <f>_xlfn.XLOOKUP(tblRequirementMeasureXref[[#This Row],[msr_id]],tblMeasure[msr_id],tblMeasure[msr_table])</f>
        <v>T2a</v>
      </c>
      <c r="I720" s="22" t="str">
        <f>_xlfn.XLOOKUP(tblRequirementMeasureXref[[#This Row],[msr_id]],tblMeasure[msr_id],tblMeasure[msr_name])</f>
        <v>Profile of answers for all questions by demographic, at national level</v>
      </c>
      <c r="J720"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0" s="22" t="str">
        <f>_xlfn.XLOOKUP(tblRequirementMeasureXref[[#This Row],[msr_id]],tblMeasure[msr_id],tblMeasure[msr_min_geo_resolution])</f>
        <v>England</v>
      </c>
      <c r="L720" s="22" t="str">
        <f>_xlfn.XLOOKUP(tblRequirementMeasureXref[[#This Row],[msr_id]],tblMeasure[msr_id],tblMeasure[src_name])</f>
        <v xml:space="preserve">Personal Social Services: (ASCS) Adult Social Care Survey, England </v>
      </c>
    </row>
    <row r="721" spans="1:12" x14ac:dyDescent="0.15">
      <c r="A721" s="1" t="str">
        <f>_xlfn.XLOOKUP(tblRequirementMeasureXref[[#This Row],[dm_id]],tblDataRequirement[dm_id],tblDataRequirement[domain_sub_requirement])</f>
        <v>Users:Demographics:Gender</v>
      </c>
      <c r="B721" s="1" t="str">
        <f>_xlfn.XLOOKUP(tblRequirementMeasureXref[[#This Row],[dm_id]],tblDataRequirement[dm_id],tblDataRequirement[dm_phase])</f>
        <v>demand</v>
      </c>
      <c r="C721" s="1">
        <v>62</v>
      </c>
      <c r="D721" s="1">
        <v>178</v>
      </c>
      <c r="G721" s="1"/>
      <c r="H721" s="62" t="str">
        <f>_xlfn.XLOOKUP(tblRequirementMeasureXref[[#This Row],[msr_id]],tblMeasure[msr_id],tblMeasure[msr_table])</f>
        <v>T2a</v>
      </c>
      <c r="I721" s="22" t="str">
        <f>_xlfn.XLOOKUP(tblRequirementMeasureXref[[#This Row],[msr_id]],tblMeasure[msr_id],tblMeasure[msr_name])</f>
        <v>Profile of answers for all questions by demographic, at national level</v>
      </c>
      <c r="J721"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1" s="22" t="str">
        <f>_xlfn.XLOOKUP(tblRequirementMeasureXref[[#This Row],[msr_id]],tblMeasure[msr_id],tblMeasure[msr_min_geo_resolution])</f>
        <v>England</v>
      </c>
      <c r="L721" s="22" t="str">
        <f>_xlfn.XLOOKUP(tblRequirementMeasureXref[[#This Row],[msr_id]],tblMeasure[msr_id],tblMeasure[src_name])</f>
        <v xml:space="preserve">Personal Social Services: (ASCS) Adult Social Care Survey, England </v>
      </c>
    </row>
    <row r="722" spans="1:12" x14ac:dyDescent="0.15">
      <c r="A722" s="1" t="str">
        <f>_xlfn.XLOOKUP(tblRequirementMeasureXref[[#This Row],[dm_id]],tblDataRequirement[dm_id],tblDataRequirement[domain_sub_requirement])</f>
        <v>Users:Demographics:Ethnicity</v>
      </c>
      <c r="B722" s="1" t="str">
        <f>_xlfn.XLOOKUP(tblRequirementMeasureXref[[#This Row],[dm_id]],tblDataRequirement[dm_id],tblDataRequirement[dm_phase])</f>
        <v>demand</v>
      </c>
      <c r="C722" s="1">
        <v>73</v>
      </c>
      <c r="D722" s="1">
        <v>178</v>
      </c>
      <c r="G722" s="1"/>
      <c r="H722" s="62" t="str">
        <f>_xlfn.XLOOKUP(tblRequirementMeasureXref[[#This Row],[msr_id]],tblMeasure[msr_id],tblMeasure[msr_table])</f>
        <v>T2a</v>
      </c>
      <c r="I722" s="22" t="str">
        <f>_xlfn.XLOOKUP(tblRequirementMeasureXref[[#This Row],[msr_id]],tblMeasure[msr_id],tblMeasure[msr_name])</f>
        <v>Profile of answers for all questions by demographic, at national level</v>
      </c>
      <c r="J722"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2" s="22" t="str">
        <f>_xlfn.XLOOKUP(tblRequirementMeasureXref[[#This Row],[msr_id]],tblMeasure[msr_id],tblMeasure[msr_min_geo_resolution])</f>
        <v>England</v>
      </c>
      <c r="L722" s="22" t="str">
        <f>_xlfn.XLOOKUP(tblRequirementMeasureXref[[#This Row],[msr_id]],tblMeasure[msr_id],tblMeasure[src_name])</f>
        <v xml:space="preserve">Personal Social Services: (ASCS) Adult Social Care Survey, England </v>
      </c>
    </row>
    <row r="723" spans="1:12" x14ac:dyDescent="0.15">
      <c r="A723" s="1" t="str">
        <f>_xlfn.XLOOKUP(tblRequirementMeasureXref[[#This Row],[dm_id]],tblDataRequirement[dm_id],tblDataRequirement[domain_sub_requirement])</f>
        <v>Users:Demographics:Sexual Orientation</v>
      </c>
      <c r="B723" s="1" t="str">
        <f>_xlfn.XLOOKUP(tblRequirementMeasureXref[[#This Row],[dm_id]],tblDataRequirement[dm_id],tblDataRequirement[dm_phase])</f>
        <v>demand</v>
      </c>
      <c r="C723" s="1">
        <v>76</v>
      </c>
      <c r="D723" s="1">
        <v>178</v>
      </c>
      <c r="G723" s="1"/>
      <c r="H723" s="62" t="str">
        <f>_xlfn.XLOOKUP(tblRequirementMeasureXref[[#This Row],[msr_id]],tblMeasure[msr_id],tblMeasure[msr_table])</f>
        <v>T2a</v>
      </c>
      <c r="I723" s="22" t="str">
        <f>_xlfn.XLOOKUP(tblRequirementMeasureXref[[#This Row],[msr_id]],tblMeasure[msr_id],tblMeasure[msr_name])</f>
        <v>Profile of answers for all questions by demographic, at national level</v>
      </c>
      <c r="J723"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3" s="22" t="str">
        <f>_xlfn.XLOOKUP(tblRequirementMeasureXref[[#This Row],[msr_id]],tblMeasure[msr_id],tblMeasure[msr_min_geo_resolution])</f>
        <v>England</v>
      </c>
      <c r="L723" s="22" t="str">
        <f>_xlfn.XLOOKUP(tblRequirementMeasureXref[[#This Row],[msr_id]],tblMeasure[msr_id],tblMeasure[src_name])</f>
        <v xml:space="preserve">Personal Social Services: (ASCS) Adult Social Care Survey, England </v>
      </c>
    </row>
    <row r="724" spans="1:12" x14ac:dyDescent="0.15">
      <c r="A724" s="1" t="str">
        <f>_xlfn.XLOOKUP(tblRequirementMeasureXref[[#This Row],[dm_id]],tblDataRequirement[dm_id],tblDataRequirement[domain_sub_requirement])</f>
        <v>Users:Demographics:Religion</v>
      </c>
      <c r="B724" s="1" t="str">
        <f>_xlfn.XLOOKUP(tblRequirementMeasureXref[[#This Row],[dm_id]],tblDataRequirement[dm_id],tblDataRequirement[dm_phase])</f>
        <v>demand</v>
      </c>
      <c r="C724" s="1">
        <v>95</v>
      </c>
      <c r="D724" s="1">
        <v>178</v>
      </c>
      <c r="G724" s="1"/>
      <c r="H724" s="62" t="str">
        <f>_xlfn.XLOOKUP(tblRequirementMeasureXref[[#This Row],[msr_id]],tblMeasure[msr_id],tblMeasure[msr_table])</f>
        <v>T2a</v>
      </c>
      <c r="I724" s="22" t="str">
        <f>_xlfn.XLOOKUP(tblRequirementMeasureXref[[#This Row],[msr_id]],tblMeasure[msr_id],tblMeasure[msr_name])</f>
        <v>Profile of answers for all questions by demographic, at national level</v>
      </c>
      <c r="J724"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4" s="22" t="str">
        <f>_xlfn.XLOOKUP(tblRequirementMeasureXref[[#This Row],[msr_id]],tblMeasure[msr_id],tblMeasure[msr_min_geo_resolution])</f>
        <v>England</v>
      </c>
      <c r="L724" s="22" t="str">
        <f>_xlfn.XLOOKUP(tblRequirementMeasureXref[[#This Row],[msr_id]],tblMeasure[msr_id],tblMeasure[src_name])</f>
        <v xml:space="preserve">Personal Social Services: (ASCS) Adult Social Care Survey, England </v>
      </c>
    </row>
    <row r="725" spans="1:12" x14ac:dyDescent="0.15">
      <c r="A725" s="1" t="str">
        <f>_xlfn.XLOOKUP(tblRequirementMeasureXref[[#This Row],[dm_id]],tblDataRequirement[dm_id],tblDataRequirement[domain_sub_requirement])</f>
        <v>Service:Support setting:Residential care home</v>
      </c>
      <c r="B725" s="1" t="str">
        <f>_xlfn.XLOOKUP(tblRequirementMeasureXref[[#This Row],[dm_id]],tblDataRequirement[dm_id],tblDataRequirement[dm_phase])</f>
        <v>operate</v>
      </c>
      <c r="C725" s="1">
        <v>41</v>
      </c>
      <c r="D725" s="1">
        <v>178</v>
      </c>
      <c r="G725" s="1"/>
      <c r="H725" s="62" t="str">
        <f>_xlfn.XLOOKUP(tblRequirementMeasureXref[[#This Row],[msr_id]],tblMeasure[msr_id],tblMeasure[msr_table])</f>
        <v>T2a</v>
      </c>
      <c r="I725" s="22" t="str">
        <f>_xlfn.XLOOKUP(tblRequirementMeasureXref[[#This Row],[msr_id]],tblMeasure[msr_id],tblMeasure[msr_name])</f>
        <v>Profile of answers for all questions by demographic, at national level</v>
      </c>
      <c r="J725"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5" s="22" t="str">
        <f>_xlfn.XLOOKUP(tblRequirementMeasureXref[[#This Row],[msr_id]],tblMeasure[msr_id],tblMeasure[msr_min_geo_resolution])</f>
        <v>England</v>
      </c>
      <c r="L725" s="22" t="str">
        <f>_xlfn.XLOOKUP(tblRequirementMeasureXref[[#This Row],[msr_id]],tblMeasure[msr_id],tblMeasure[src_name])</f>
        <v xml:space="preserve">Personal Social Services: (ASCS) Adult Social Care Survey, England </v>
      </c>
    </row>
    <row r="726" spans="1:12" x14ac:dyDescent="0.15">
      <c r="A726" s="1" t="str">
        <f>_xlfn.XLOOKUP(tblRequirementMeasureXref[[#This Row],[dm_id]],tblDataRequirement[dm_id],tblDataRequirement[domain_sub_requirement])</f>
        <v>Service:Support setting:Nursing home</v>
      </c>
      <c r="B726" s="1" t="str">
        <f>_xlfn.XLOOKUP(tblRequirementMeasureXref[[#This Row],[dm_id]],tblDataRequirement[dm_id],tblDataRequirement[dm_phase])</f>
        <v>operate</v>
      </c>
      <c r="C726" s="1">
        <v>42</v>
      </c>
      <c r="D726" s="1">
        <v>178</v>
      </c>
      <c r="G726" s="1"/>
      <c r="H726" s="62" t="str">
        <f>_xlfn.XLOOKUP(tblRequirementMeasureXref[[#This Row],[msr_id]],tblMeasure[msr_id],tblMeasure[msr_table])</f>
        <v>T2a</v>
      </c>
      <c r="I726" s="22" t="str">
        <f>_xlfn.XLOOKUP(tblRequirementMeasureXref[[#This Row],[msr_id]],tblMeasure[msr_id],tblMeasure[msr_name])</f>
        <v>Profile of answers for all questions by demographic, at national level</v>
      </c>
      <c r="J726"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6" s="22" t="str">
        <f>_xlfn.XLOOKUP(tblRequirementMeasureXref[[#This Row],[msr_id]],tblMeasure[msr_id],tblMeasure[msr_min_geo_resolution])</f>
        <v>England</v>
      </c>
      <c r="L726" s="22" t="str">
        <f>_xlfn.XLOOKUP(tblRequirementMeasureXref[[#This Row],[msr_id]],tblMeasure[msr_id],tblMeasure[src_name])</f>
        <v xml:space="preserve">Personal Social Services: (ASCS) Adult Social Care Survey, England </v>
      </c>
    </row>
    <row r="727" spans="1:12" x14ac:dyDescent="0.15">
      <c r="A727" s="1" t="str">
        <f>_xlfn.XLOOKUP(tblRequirementMeasureXref[[#This Row],[dm_id]],tblDataRequirement[dm_id],tblDataRequirement[domain_sub_requirement])</f>
        <v>Service:Support setting:Community</v>
      </c>
      <c r="B727" s="1" t="str">
        <f>_xlfn.XLOOKUP(tblRequirementMeasureXref[[#This Row],[dm_id]],tblDataRequirement[dm_id],tblDataRequirement[dm_phase])</f>
        <v>operate</v>
      </c>
      <c r="C727" s="1">
        <v>43</v>
      </c>
      <c r="D727" s="1">
        <v>178</v>
      </c>
      <c r="G727" s="1"/>
      <c r="H727" s="62" t="str">
        <f>_xlfn.XLOOKUP(tblRequirementMeasureXref[[#This Row],[msr_id]],tblMeasure[msr_id],tblMeasure[msr_table])</f>
        <v>T2a</v>
      </c>
      <c r="I727" s="22" t="str">
        <f>_xlfn.XLOOKUP(tblRequirementMeasureXref[[#This Row],[msr_id]],tblMeasure[msr_id],tblMeasure[msr_name])</f>
        <v>Profile of answers for all questions by demographic, at national level</v>
      </c>
      <c r="J727"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7" s="22" t="str">
        <f>_xlfn.XLOOKUP(tblRequirementMeasureXref[[#This Row],[msr_id]],tblMeasure[msr_id],tblMeasure[msr_min_geo_resolution])</f>
        <v>England</v>
      </c>
      <c r="L727" s="22" t="str">
        <f>_xlfn.XLOOKUP(tblRequirementMeasureXref[[#This Row],[msr_id]],tblMeasure[msr_id],tblMeasure[src_name])</f>
        <v xml:space="preserve">Personal Social Services: (ASCS) Adult Social Care Survey, England </v>
      </c>
    </row>
    <row r="728" spans="1:12" x14ac:dyDescent="0.15">
      <c r="A728" s="1" t="str">
        <f>_xlfn.XLOOKUP(tblRequirementMeasureXref[[#This Row],[dm_id]],tblDataRequirement[dm_id],tblDataRequirement[domain_sub_requirement])</f>
        <v>Users:Income:Direct payments</v>
      </c>
      <c r="B728" s="1" t="str">
        <f>_xlfn.XLOOKUP(tblRequirementMeasureXref[[#This Row],[dm_id]],tblDataRequirement[dm_id],tblDataRequirement[dm_phase])</f>
        <v>supply</v>
      </c>
      <c r="C728" s="1">
        <v>71</v>
      </c>
      <c r="D728" s="1">
        <v>178</v>
      </c>
      <c r="G728" s="1"/>
      <c r="H728" s="62" t="str">
        <f>_xlfn.XLOOKUP(tblRequirementMeasureXref[[#This Row],[msr_id]],tblMeasure[msr_id],tblMeasure[msr_table])</f>
        <v>T2a</v>
      </c>
      <c r="I728" s="22" t="str">
        <f>_xlfn.XLOOKUP(tblRequirementMeasureXref[[#This Row],[msr_id]],tblMeasure[msr_id],tblMeasure[msr_name])</f>
        <v>Profile of answers for all questions by demographic, at national level</v>
      </c>
      <c r="J728"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8" s="22" t="str">
        <f>_xlfn.XLOOKUP(tblRequirementMeasureXref[[#This Row],[msr_id]],tblMeasure[msr_id],tblMeasure[msr_min_geo_resolution])</f>
        <v>England</v>
      </c>
      <c r="L728" s="22" t="str">
        <f>_xlfn.XLOOKUP(tblRequirementMeasureXref[[#This Row],[msr_id]],tblMeasure[msr_id],tblMeasure[src_name])</f>
        <v xml:space="preserve">Personal Social Services: (ASCS) Adult Social Care Survey, England </v>
      </c>
    </row>
    <row r="729" spans="1:12" x14ac:dyDescent="0.15">
      <c r="A729" s="1" t="str">
        <f>_xlfn.XLOOKUP(tblRequirementMeasureXref[[#This Row],[dm_id]],tblDataRequirement[dm_id],tblDataRequirement[domain_sub_requirement])</f>
        <v>Service:Care models:Self-directed support</v>
      </c>
      <c r="B729" s="1" t="str">
        <f>_xlfn.XLOOKUP(tblRequirementMeasureXref[[#This Row],[dm_id]],tblDataRequirement[dm_id],tblDataRequirement[dm_phase])</f>
        <v>operate</v>
      </c>
      <c r="C729" s="1">
        <v>70</v>
      </c>
      <c r="D729" s="1">
        <v>178</v>
      </c>
      <c r="G729" s="1"/>
      <c r="H729" s="62" t="str">
        <f>_xlfn.XLOOKUP(tblRequirementMeasureXref[[#This Row],[msr_id]],tblMeasure[msr_id],tblMeasure[msr_table])</f>
        <v>T2a</v>
      </c>
      <c r="I729" s="22" t="str">
        <f>_xlfn.XLOOKUP(tblRequirementMeasureXref[[#This Row],[msr_id]],tblMeasure[msr_id],tblMeasure[msr_name])</f>
        <v>Profile of answers for all questions by demographic, at national level</v>
      </c>
      <c r="J729"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29" s="22" t="str">
        <f>_xlfn.XLOOKUP(tblRequirementMeasureXref[[#This Row],[msr_id]],tblMeasure[msr_id],tblMeasure[msr_min_geo_resolution])</f>
        <v>England</v>
      </c>
      <c r="L729" s="22" t="str">
        <f>_xlfn.XLOOKUP(tblRequirementMeasureXref[[#This Row],[msr_id]],tblMeasure[msr_id],tblMeasure[src_name])</f>
        <v xml:space="preserve">Personal Social Services: (ASCS) Adult Social Care Survey, England </v>
      </c>
    </row>
    <row r="730" spans="1:12" x14ac:dyDescent="0.15">
      <c r="A730" s="1" t="str">
        <f>_xlfn.XLOOKUP(tblRequirementMeasureXref[[#This Row],[dm_id]],tblDataRequirement[dm_id],tblDataRequirement[domain_sub_requirement])</f>
        <v>Service:Cost:Unit cost for local authority-funded care</v>
      </c>
      <c r="B730" s="1" t="str">
        <f>_xlfn.XLOOKUP(tblRequirementMeasureXref[[#This Row],[dm_id]],tblDataRequirement[dm_id],tblDataRequirement[dm_phase])</f>
        <v>operate</v>
      </c>
      <c r="C730" s="1">
        <v>34</v>
      </c>
      <c r="D730" s="1">
        <v>178</v>
      </c>
      <c r="G730" s="1"/>
      <c r="H730" s="62" t="str">
        <f>_xlfn.XLOOKUP(tblRequirementMeasureXref[[#This Row],[msr_id]],tblMeasure[msr_id],tblMeasure[msr_table])</f>
        <v>T2a</v>
      </c>
      <c r="I730" s="22" t="str">
        <f>_xlfn.XLOOKUP(tblRequirementMeasureXref[[#This Row],[msr_id]],tblMeasure[msr_id],tblMeasure[msr_name])</f>
        <v>Profile of answers for all questions by demographic, at national level</v>
      </c>
      <c r="J730"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30" s="22" t="str">
        <f>_xlfn.XLOOKUP(tblRequirementMeasureXref[[#This Row],[msr_id]],tblMeasure[msr_id],tblMeasure[msr_min_geo_resolution])</f>
        <v>England</v>
      </c>
      <c r="L730" s="22" t="str">
        <f>_xlfn.XLOOKUP(tblRequirementMeasureXref[[#This Row],[msr_id]],tblMeasure[msr_id],tblMeasure[src_name])</f>
        <v xml:space="preserve">Personal Social Services: (ASCS) Adult Social Care Survey, England </v>
      </c>
    </row>
    <row r="731" spans="1:12" x14ac:dyDescent="0.15">
      <c r="A731" s="1" t="str">
        <f>_xlfn.XLOOKUP(tblRequirementMeasureXref[[#This Row],[dm_id]],tblDataRequirement[dm_id],tblDataRequirement[domain_sub_requirement])</f>
        <v>Service:Cost:Unit cos tfor self-funded care</v>
      </c>
      <c r="B731" s="1" t="str">
        <f>_xlfn.XLOOKUP(tblRequirementMeasureXref[[#This Row],[dm_id]],tblDataRequirement[dm_id],tblDataRequirement[dm_phase])</f>
        <v>operate</v>
      </c>
      <c r="C731" s="1">
        <v>35</v>
      </c>
      <c r="D731" s="1">
        <v>178</v>
      </c>
      <c r="G731" s="1"/>
      <c r="H731" s="62" t="str">
        <f>_xlfn.XLOOKUP(tblRequirementMeasureXref[[#This Row],[msr_id]],tblMeasure[msr_id],tblMeasure[msr_table])</f>
        <v>T2a</v>
      </c>
      <c r="I731" s="22" t="str">
        <f>_xlfn.XLOOKUP(tblRequirementMeasureXref[[#This Row],[msr_id]],tblMeasure[msr_id],tblMeasure[msr_name])</f>
        <v>Profile of answers for all questions by demographic, at national level</v>
      </c>
      <c r="J731" s="22" t="str">
        <f>_xlfn.XLOOKUP(tblRequirementMeasureXref[[#This Row],[msr_id]],tblMeasure[msr_id],tblMeasure[primary_dimensions])</f>
        <v>user satisfaction, user QoL, service value, user choice, user control, user presentation, user nutrition, user home environment, user safety, user social contact, user activity, user information, user health, user mobility, user financial management, user cleanliness, user dressing, user toilet use, carer support</v>
      </c>
      <c r="K731" s="22" t="str">
        <f>_xlfn.XLOOKUP(tblRequirementMeasureXref[[#This Row],[msr_id]],tblMeasure[msr_id],tblMeasure[msr_min_geo_resolution])</f>
        <v>England</v>
      </c>
      <c r="L731" s="22" t="str">
        <f>_xlfn.XLOOKUP(tblRequirementMeasureXref[[#This Row],[msr_id]],tblMeasure[msr_id],tblMeasure[src_name])</f>
        <v xml:space="preserve">Personal Social Services: (ASCS) Adult Social Care Survey, England </v>
      </c>
    </row>
    <row r="732" spans="1:12" x14ac:dyDescent="0.15">
      <c r="A732" s="1" t="str">
        <f>_xlfn.XLOOKUP(tblRequirementMeasureXref[[#This Row],[dm_id]],tblDataRequirement[dm_id],tblDataRequirement[domain_sub_requirement])</f>
        <v>Funders:Expenditure:Local authorities</v>
      </c>
      <c r="B732" s="1" t="str">
        <f>_xlfn.XLOOKUP(tblRequirementMeasureXref[[#This Row],[dm_id]],tblDataRequirement[dm_id],tblDataRequirement[dm_phase])</f>
        <v>supply</v>
      </c>
      <c r="C732" s="1">
        <v>3</v>
      </c>
      <c r="D732" s="1">
        <v>185</v>
      </c>
      <c r="G732" s="1"/>
      <c r="H732" s="62" t="str">
        <f>_xlfn.XLOOKUP(tblRequirementMeasureXref[[#This Row],[msr_id]],tblMeasure[msr_id],tblMeasure[msr_table])</f>
        <v>Table 1</v>
      </c>
      <c r="I732" s="22" t="str">
        <f>_xlfn.XLOOKUP(tblRequirementMeasureXref[[#This Row],[msr_id]],tblMeasure[msr_id],tblMeasure[msr_name])</f>
        <v>Summary of Adult Social Care Expenditure and Income by Service; Region Level, 2015/16</v>
      </c>
      <c r="J732" s="22" t="str">
        <f>_xlfn.XLOOKUP(tblRequirementMeasureXref[[#This Row],[msr_id]],tblMeasure[msr_id],tblMeasure[primary_dimensions])</f>
        <v>expenditure, income, capital charges</v>
      </c>
      <c r="K732" s="22" t="str">
        <f>_xlfn.XLOOKUP(tblRequirementMeasureXref[[#This Row],[msr_id]],tblMeasure[msr_id],tblMeasure[msr_min_geo_resolution])</f>
        <v>Region</v>
      </c>
      <c r="L732" s="22" t="str">
        <f>_xlfn.XLOOKUP(tblRequirementMeasureXref[[#This Row],[msr_id]],tblMeasure[msr_id],tblMeasure[src_name])</f>
        <v>Personal Social Services: Expenditure and Unit Costs</v>
      </c>
    </row>
    <row r="733" spans="1:12" x14ac:dyDescent="0.15">
      <c r="A733" s="1" t="str">
        <f>_xlfn.XLOOKUP(tblRequirementMeasureXref[[#This Row],[dm_id]],tblDataRequirement[dm_id],tblDataRequirement[domain_sub_requirement])</f>
        <v>Funders:Income:Local authority</v>
      </c>
      <c r="B733" s="1" t="str">
        <f>_xlfn.XLOOKUP(tblRequirementMeasureXref[[#This Row],[dm_id]],tblDataRequirement[dm_id],tblDataRequirement[dm_phase])</f>
        <v>supply</v>
      </c>
      <c r="C733" s="1">
        <v>8</v>
      </c>
      <c r="D733" s="1">
        <v>185</v>
      </c>
      <c r="G733" s="1"/>
      <c r="H733" s="62" t="str">
        <f>_xlfn.XLOOKUP(tblRequirementMeasureXref[[#This Row],[msr_id]],tblMeasure[msr_id],tblMeasure[msr_table])</f>
        <v>Table 1</v>
      </c>
      <c r="I733" s="22" t="str">
        <f>_xlfn.XLOOKUP(tblRequirementMeasureXref[[#This Row],[msr_id]],tblMeasure[msr_id],tblMeasure[msr_name])</f>
        <v>Summary of Adult Social Care Expenditure and Income by Service; Region Level, 2015/16</v>
      </c>
      <c r="J733" s="22" t="str">
        <f>_xlfn.XLOOKUP(tblRequirementMeasureXref[[#This Row],[msr_id]],tblMeasure[msr_id],tblMeasure[primary_dimensions])</f>
        <v>expenditure, income, capital charges</v>
      </c>
      <c r="K733" s="22" t="str">
        <f>_xlfn.XLOOKUP(tblRequirementMeasureXref[[#This Row],[msr_id]],tblMeasure[msr_id],tblMeasure[msr_min_geo_resolution])</f>
        <v>Region</v>
      </c>
      <c r="L733" s="22" t="str">
        <f>_xlfn.XLOOKUP(tblRequirementMeasureXref[[#This Row],[msr_id]],tblMeasure[msr_id],tblMeasure[src_name])</f>
        <v>Personal Social Services: Expenditure and Unit Costs</v>
      </c>
    </row>
    <row r="734" spans="1:12" x14ac:dyDescent="0.15">
      <c r="A734" s="1" t="str">
        <f>_xlfn.XLOOKUP(tblRequirementMeasureXref[[#This Row],[dm_id]],tblDataRequirement[dm_id],tblDataRequirement[domain_sub_requirement])</f>
        <v>Service:Cost:Unit cost for local authority-funded care</v>
      </c>
      <c r="B734" s="1" t="str">
        <f>_xlfn.XLOOKUP(tblRequirementMeasureXref[[#This Row],[dm_id]],tblDataRequirement[dm_id],tblDataRequirement[dm_phase])</f>
        <v>operate</v>
      </c>
      <c r="C734" s="1">
        <v>34</v>
      </c>
      <c r="D734" s="1">
        <v>185</v>
      </c>
      <c r="G734" s="1"/>
      <c r="H734" s="62" t="str">
        <f>_xlfn.XLOOKUP(tblRequirementMeasureXref[[#This Row],[msr_id]],tblMeasure[msr_id],tblMeasure[msr_table])</f>
        <v>Table 1</v>
      </c>
      <c r="I734" s="22" t="str">
        <f>_xlfn.XLOOKUP(tblRequirementMeasureXref[[#This Row],[msr_id]],tblMeasure[msr_id],tblMeasure[msr_name])</f>
        <v>Summary of Adult Social Care Expenditure and Income by Service; Region Level, 2015/16</v>
      </c>
      <c r="J734" s="22" t="str">
        <f>_xlfn.XLOOKUP(tblRequirementMeasureXref[[#This Row],[msr_id]],tblMeasure[msr_id],tblMeasure[primary_dimensions])</f>
        <v>expenditure, income, capital charges</v>
      </c>
      <c r="K734" s="22" t="str">
        <f>_xlfn.XLOOKUP(tblRequirementMeasureXref[[#This Row],[msr_id]],tblMeasure[msr_id],tblMeasure[msr_min_geo_resolution])</f>
        <v>Region</v>
      </c>
      <c r="L734" s="22" t="str">
        <f>_xlfn.XLOOKUP(tblRequirementMeasureXref[[#This Row],[msr_id]],tblMeasure[msr_id],tblMeasure[src_name])</f>
        <v>Personal Social Services: Expenditure and Unit Costs</v>
      </c>
    </row>
    <row r="735" spans="1:12" x14ac:dyDescent="0.15">
      <c r="A735" s="1" t="str">
        <f>_xlfn.XLOOKUP(tblRequirementMeasureXref[[#This Row],[dm_id]],tblDataRequirement[dm_id],tblDataRequirement[domain_sub_requirement])</f>
        <v>Service:Cost:Unit cos tfor self-funded care</v>
      </c>
      <c r="B735" s="1" t="str">
        <f>_xlfn.XLOOKUP(tblRequirementMeasureXref[[#This Row],[dm_id]],tblDataRequirement[dm_id],tblDataRequirement[dm_phase])</f>
        <v>operate</v>
      </c>
      <c r="C735" s="1">
        <v>35</v>
      </c>
      <c r="D735" s="1">
        <v>185</v>
      </c>
      <c r="G735" s="1"/>
      <c r="H735" s="62" t="str">
        <f>_xlfn.XLOOKUP(tblRequirementMeasureXref[[#This Row],[msr_id]],tblMeasure[msr_id],tblMeasure[msr_table])</f>
        <v>Table 1</v>
      </c>
      <c r="I735" s="22" t="str">
        <f>_xlfn.XLOOKUP(tblRequirementMeasureXref[[#This Row],[msr_id]],tblMeasure[msr_id],tblMeasure[msr_name])</f>
        <v>Summary of Adult Social Care Expenditure and Income by Service; Region Level, 2015/16</v>
      </c>
      <c r="J735" s="22" t="str">
        <f>_xlfn.XLOOKUP(tblRequirementMeasureXref[[#This Row],[msr_id]],tblMeasure[msr_id],tblMeasure[primary_dimensions])</f>
        <v>expenditure, income, capital charges</v>
      </c>
      <c r="K735" s="22" t="str">
        <f>_xlfn.XLOOKUP(tblRequirementMeasureXref[[#This Row],[msr_id]],tblMeasure[msr_id],tblMeasure[msr_min_geo_resolution])</f>
        <v>Region</v>
      </c>
      <c r="L735" s="22" t="str">
        <f>_xlfn.XLOOKUP(tblRequirementMeasureXref[[#This Row],[msr_id]],tblMeasure[msr_id],tblMeasure[src_name])</f>
        <v>Personal Social Services: Expenditure and Unit Costs</v>
      </c>
    </row>
    <row r="736" spans="1:12" x14ac:dyDescent="0.15">
      <c r="A736" s="1" t="str">
        <f>_xlfn.XLOOKUP(tblRequirementMeasureXref[[#This Row],[dm_id]],tblDataRequirement[dm_id],tblDataRequirement[domain_sub_requirement])</f>
        <v>Funders:Expenditure:NHS</v>
      </c>
      <c r="B736" s="1" t="str">
        <f>_xlfn.XLOOKUP(tblRequirementMeasureXref[[#This Row],[dm_id]],tblDataRequirement[dm_id],tblDataRequirement[dm_phase])</f>
        <v>supply</v>
      </c>
      <c r="C736" s="1">
        <v>6</v>
      </c>
      <c r="D736" s="1">
        <v>185</v>
      </c>
      <c r="G736" s="1"/>
      <c r="H736" s="62" t="str">
        <f>_xlfn.XLOOKUP(tblRequirementMeasureXref[[#This Row],[msr_id]],tblMeasure[msr_id],tblMeasure[msr_table])</f>
        <v>Table 1</v>
      </c>
      <c r="I736" s="22" t="str">
        <f>_xlfn.XLOOKUP(tblRequirementMeasureXref[[#This Row],[msr_id]],tblMeasure[msr_id],tblMeasure[msr_name])</f>
        <v>Summary of Adult Social Care Expenditure and Income by Service; Region Level, 2015/16</v>
      </c>
      <c r="J736" s="22" t="str">
        <f>_xlfn.XLOOKUP(tblRequirementMeasureXref[[#This Row],[msr_id]],tblMeasure[msr_id],tblMeasure[primary_dimensions])</f>
        <v>expenditure, income, capital charges</v>
      </c>
      <c r="K736" s="22" t="str">
        <f>_xlfn.XLOOKUP(tblRequirementMeasureXref[[#This Row],[msr_id]],tblMeasure[msr_id],tblMeasure[msr_min_geo_resolution])</f>
        <v>Region</v>
      </c>
      <c r="L736" s="22" t="str">
        <f>_xlfn.XLOOKUP(tblRequirementMeasureXref[[#This Row],[msr_id]],tblMeasure[msr_id],tblMeasure[src_name])</f>
        <v>Personal Social Services: Expenditure and Unit Costs</v>
      </c>
    </row>
    <row r="737" spans="1:12" x14ac:dyDescent="0.15">
      <c r="A737" s="1" t="str">
        <f>_xlfn.XLOOKUP(tblRequirementMeasureXref[[#This Row],[dm_id]],tblDataRequirement[dm_id],tblDataRequirement[domain_sub_requirement])</f>
        <v>Funders:Expenditure:Local authority clients</v>
      </c>
      <c r="B737" s="1" t="str">
        <f>_xlfn.XLOOKUP(tblRequirementMeasureXref[[#This Row],[dm_id]],tblDataRequirement[dm_id],tblDataRequirement[dm_phase])</f>
        <v>supply</v>
      </c>
      <c r="C737" s="1">
        <v>7</v>
      </c>
      <c r="D737" s="1">
        <v>185</v>
      </c>
      <c r="G737" s="1"/>
      <c r="H737" s="62" t="str">
        <f>_xlfn.XLOOKUP(tblRequirementMeasureXref[[#This Row],[msr_id]],tblMeasure[msr_id],tblMeasure[msr_table])</f>
        <v>Table 1</v>
      </c>
      <c r="I737" s="22" t="str">
        <f>_xlfn.XLOOKUP(tblRequirementMeasureXref[[#This Row],[msr_id]],tblMeasure[msr_id],tblMeasure[msr_name])</f>
        <v>Summary of Adult Social Care Expenditure and Income by Service; Region Level, 2015/16</v>
      </c>
      <c r="J737" s="22" t="str">
        <f>_xlfn.XLOOKUP(tblRequirementMeasureXref[[#This Row],[msr_id]],tblMeasure[msr_id],tblMeasure[primary_dimensions])</f>
        <v>expenditure, income, capital charges</v>
      </c>
      <c r="K737" s="22" t="str">
        <f>_xlfn.XLOOKUP(tblRequirementMeasureXref[[#This Row],[msr_id]],tblMeasure[msr_id],tblMeasure[msr_min_geo_resolution])</f>
        <v>Region</v>
      </c>
      <c r="L737" s="22" t="str">
        <f>_xlfn.XLOOKUP(tblRequirementMeasureXref[[#This Row],[msr_id]],tblMeasure[msr_id],tblMeasure[src_name])</f>
        <v>Personal Social Services: Expenditure and Unit Costs</v>
      </c>
    </row>
    <row r="738" spans="1:12" x14ac:dyDescent="0.15">
      <c r="A738" s="1" t="str">
        <f>_xlfn.XLOOKUP(tblRequirementMeasureXref[[#This Row],[dm_id]],tblDataRequirement[dm_id],tblDataRequirement[domain_sub_requirement])</f>
        <v>Funders:Expenditure:Local authorities</v>
      </c>
      <c r="B738" s="1" t="str">
        <f>_xlfn.XLOOKUP(tblRequirementMeasureXref[[#This Row],[dm_id]],tblDataRequirement[dm_id],tblDataRequirement[dm_phase])</f>
        <v>supply</v>
      </c>
      <c r="C738" s="1">
        <v>3</v>
      </c>
      <c r="D738" s="1">
        <v>186</v>
      </c>
      <c r="G738" s="1"/>
      <c r="H738" s="62" t="str">
        <f>_xlfn.XLOOKUP(tblRequirementMeasureXref[[#This Row],[msr_id]],tblMeasure[msr_id],tblMeasure[msr_table])</f>
        <v>Table 2</v>
      </c>
      <c r="I738" s="22" t="str">
        <f>_xlfn.XLOOKUP(tblRequirementMeasureXref[[#This Row],[msr_id]],tblMeasure[msr_id],tblMeasure[msr_name])</f>
        <v>Gross Current Expenditure1 by Support Type; CASSR2 Level</v>
      </c>
      <c r="J738" s="22" t="str">
        <f>_xlfn.XLOOKUP(tblRequirementMeasureXref[[#This Row],[msr_id]],tblMeasure[msr_id],tblMeasure[primary_dimensions])</f>
        <v>expenditure</v>
      </c>
      <c r="K738" s="22" t="str">
        <f>_xlfn.XLOOKUP(tblRequirementMeasureXref[[#This Row],[msr_id]],tblMeasure[msr_id],tblMeasure[msr_min_geo_resolution])</f>
        <v>LA</v>
      </c>
      <c r="L738" s="22" t="str">
        <f>_xlfn.XLOOKUP(tblRequirementMeasureXref[[#This Row],[msr_id]],tblMeasure[msr_id],tblMeasure[src_name])</f>
        <v>Personal Social Services: Expenditure and Unit Costs</v>
      </c>
    </row>
    <row r="739" spans="1:12" x14ac:dyDescent="0.15">
      <c r="A739" s="1" t="str">
        <f>_xlfn.XLOOKUP(tblRequirementMeasureXref[[#This Row],[dm_id]],tblDataRequirement[dm_id],tblDataRequirement[domain_sub_requirement])</f>
        <v>Service:Support type:Short-term</v>
      </c>
      <c r="B739" s="1" t="str">
        <f>_xlfn.XLOOKUP(tblRequirementMeasureXref[[#This Row],[dm_id]],tblDataRequirement[dm_id],tblDataRequirement[dm_phase])</f>
        <v>operate</v>
      </c>
      <c r="C739" s="1">
        <v>44</v>
      </c>
      <c r="D739" s="1">
        <v>186</v>
      </c>
      <c r="G739" s="1"/>
      <c r="H739" s="62" t="str">
        <f>_xlfn.XLOOKUP(tblRequirementMeasureXref[[#This Row],[msr_id]],tblMeasure[msr_id],tblMeasure[msr_table])</f>
        <v>Table 2</v>
      </c>
      <c r="I739" s="22" t="str">
        <f>_xlfn.XLOOKUP(tblRequirementMeasureXref[[#This Row],[msr_id]],tblMeasure[msr_id],tblMeasure[msr_name])</f>
        <v>Gross Current Expenditure1 by Support Type; CASSR2 Level</v>
      </c>
      <c r="J739" s="22" t="str">
        <f>_xlfn.XLOOKUP(tblRequirementMeasureXref[[#This Row],[msr_id]],tblMeasure[msr_id],tblMeasure[primary_dimensions])</f>
        <v>expenditure</v>
      </c>
      <c r="K739" s="22" t="str">
        <f>_xlfn.XLOOKUP(tblRequirementMeasureXref[[#This Row],[msr_id]],tblMeasure[msr_id],tblMeasure[msr_min_geo_resolution])</f>
        <v>LA</v>
      </c>
      <c r="L739" s="22" t="str">
        <f>_xlfn.XLOOKUP(tblRequirementMeasureXref[[#This Row],[msr_id]],tblMeasure[msr_id],tblMeasure[src_name])</f>
        <v>Personal Social Services: Expenditure and Unit Costs</v>
      </c>
    </row>
    <row r="740" spans="1:12" x14ac:dyDescent="0.15">
      <c r="A740" s="1" t="str">
        <f>_xlfn.XLOOKUP(tblRequirementMeasureXref[[#This Row],[dm_id]],tblDataRequirement[dm_id],tblDataRequirement[domain_sub_requirement])</f>
        <v>Service:Support type:Long-term</v>
      </c>
      <c r="B740" s="1" t="str">
        <f>_xlfn.XLOOKUP(tblRequirementMeasureXref[[#This Row],[dm_id]],tblDataRequirement[dm_id],tblDataRequirement[dm_phase])</f>
        <v>operate</v>
      </c>
      <c r="C740" s="1">
        <v>45</v>
      </c>
      <c r="D740" s="1">
        <v>186</v>
      </c>
      <c r="G740" s="1"/>
      <c r="H740" s="62" t="str">
        <f>_xlfn.XLOOKUP(tblRequirementMeasureXref[[#This Row],[msr_id]],tblMeasure[msr_id],tblMeasure[msr_table])</f>
        <v>Table 2</v>
      </c>
      <c r="I740" s="22" t="str">
        <f>_xlfn.XLOOKUP(tblRequirementMeasureXref[[#This Row],[msr_id]],tblMeasure[msr_id],tblMeasure[msr_name])</f>
        <v>Gross Current Expenditure1 by Support Type; CASSR2 Level</v>
      </c>
      <c r="J740" s="22" t="str">
        <f>_xlfn.XLOOKUP(tblRequirementMeasureXref[[#This Row],[msr_id]],tblMeasure[msr_id],tblMeasure[primary_dimensions])</f>
        <v>expenditure</v>
      </c>
      <c r="K740" s="22" t="str">
        <f>_xlfn.XLOOKUP(tblRequirementMeasureXref[[#This Row],[msr_id]],tblMeasure[msr_id],tblMeasure[msr_min_geo_resolution])</f>
        <v>LA</v>
      </c>
      <c r="L740" s="22" t="str">
        <f>_xlfn.XLOOKUP(tblRequirementMeasureXref[[#This Row],[msr_id]],tblMeasure[msr_id],tblMeasure[src_name])</f>
        <v>Personal Social Services: Expenditure and Unit Costs</v>
      </c>
    </row>
    <row r="741" spans="1:12" x14ac:dyDescent="0.15">
      <c r="A741" s="1" t="str">
        <f>_xlfn.XLOOKUP(tblRequirementMeasureXref[[#This Row],[dm_id]],tblDataRequirement[dm_id],tblDataRequirement[domain_sub_requirement])</f>
        <v>Service:Support type:Other (not ST or LT)</v>
      </c>
      <c r="B741" s="1" t="str">
        <f>_xlfn.XLOOKUP(tblRequirementMeasureXref[[#This Row],[dm_id]],tblDataRequirement[dm_id],tblDataRequirement[dm_phase])</f>
        <v>operate</v>
      </c>
      <c r="C741" s="1">
        <v>68</v>
      </c>
      <c r="D741" s="1">
        <v>186</v>
      </c>
      <c r="G741" s="1"/>
      <c r="H741" s="62" t="str">
        <f>_xlfn.XLOOKUP(tblRequirementMeasureXref[[#This Row],[msr_id]],tblMeasure[msr_id],tblMeasure[msr_table])</f>
        <v>Table 2</v>
      </c>
      <c r="I741" s="22" t="str">
        <f>_xlfn.XLOOKUP(tblRequirementMeasureXref[[#This Row],[msr_id]],tblMeasure[msr_id],tblMeasure[msr_name])</f>
        <v>Gross Current Expenditure1 by Support Type; CASSR2 Level</v>
      </c>
      <c r="J741" s="22" t="str">
        <f>_xlfn.XLOOKUP(tblRequirementMeasureXref[[#This Row],[msr_id]],tblMeasure[msr_id],tblMeasure[primary_dimensions])</f>
        <v>expenditure</v>
      </c>
      <c r="K741" s="22" t="str">
        <f>_xlfn.XLOOKUP(tblRequirementMeasureXref[[#This Row],[msr_id]],tblMeasure[msr_id],tblMeasure[msr_min_geo_resolution])</f>
        <v>LA</v>
      </c>
      <c r="L741" s="22" t="str">
        <f>_xlfn.XLOOKUP(tblRequirementMeasureXref[[#This Row],[msr_id]],tblMeasure[msr_id],tblMeasure[src_name])</f>
        <v>Personal Social Services: Expenditure and Unit Costs</v>
      </c>
    </row>
    <row r="742" spans="1:12" x14ac:dyDescent="0.15">
      <c r="A742" s="1" t="str">
        <f>_xlfn.XLOOKUP(tblRequirementMeasureXref[[#This Row],[dm_id]],tblDataRequirement[dm_id],tblDataRequirement[domain_sub_requirement])</f>
        <v>Funders:Income:Local authority</v>
      </c>
      <c r="B742" s="1" t="str">
        <f>_xlfn.XLOOKUP(tblRequirementMeasureXref[[#This Row],[dm_id]],tblDataRequirement[dm_id],tblDataRequirement[dm_phase])</f>
        <v>supply</v>
      </c>
      <c r="C742" s="1">
        <v>8</v>
      </c>
      <c r="D742" s="1">
        <v>187</v>
      </c>
      <c r="G742" s="1"/>
      <c r="H742" s="62" t="str">
        <f>_xlfn.XLOOKUP(tblRequirementMeasureXref[[#This Row],[msr_id]],tblMeasure[msr_id],tblMeasure[msr_table])</f>
        <v>Table 3</v>
      </c>
      <c r="I742" s="22" t="str">
        <f>_xlfn.XLOOKUP(tblRequirementMeasureXref[[#This Row],[msr_id]],tblMeasure[msr_id],tblMeasure[msr_name])</f>
        <v>Total Income by Source; CASSR level</v>
      </c>
      <c r="J742" s="22" t="str">
        <f>_xlfn.XLOOKUP(tblRequirementMeasureXref[[#This Row],[msr_id]],tblMeasure[msr_id],tblMeasure[primary_dimensions])</f>
        <v>income</v>
      </c>
      <c r="K742" s="22" t="str">
        <f>_xlfn.XLOOKUP(tblRequirementMeasureXref[[#This Row],[msr_id]],tblMeasure[msr_id],tblMeasure[msr_min_geo_resolution])</f>
        <v>LA</v>
      </c>
      <c r="L742" s="22" t="str">
        <f>_xlfn.XLOOKUP(tblRequirementMeasureXref[[#This Row],[msr_id]],tblMeasure[msr_id],tblMeasure[src_name])</f>
        <v>Personal Social Services: Expenditure and Unit Costs</v>
      </c>
    </row>
    <row r="743" spans="1:12" x14ac:dyDescent="0.15">
      <c r="A743" s="1" t="str">
        <f>_xlfn.XLOOKUP(tblRequirementMeasureXref[[#This Row],[dm_id]],tblDataRequirement[dm_id],tblDataRequirement[domain_sub_requirement])</f>
        <v>Funders:Expenditure:Local authority clients</v>
      </c>
      <c r="B743" s="1" t="str">
        <f>_xlfn.XLOOKUP(tblRequirementMeasureXref[[#This Row],[dm_id]],tblDataRequirement[dm_id],tblDataRequirement[dm_phase])</f>
        <v>supply</v>
      </c>
      <c r="C743" s="1">
        <v>7</v>
      </c>
      <c r="D743" s="1">
        <v>187</v>
      </c>
      <c r="G743" s="1"/>
      <c r="H743" s="62" t="str">
        <f>_xlfn.XLOOKUP(tblRequirementMeasureXref[[#This Row],[msr_id]],tblMeasure[msr_id],tblMeasure[msr_table])</f>
        <v>Table 3</v>
      </c>
      <c r="I743" s="22" t="str">
        <f>_xlfn.XLOOKUP(tblRequirementMeasureXref[[#This Row],[msr_id]],tblMeasure[msr_id],tblMeasure[msr_name])</f>
        <v>Total Income by Source; CASSR level</v>
      </c>
      <c r="J743" s="22" t="str">
        <f>_xlfn.XLOOKUP(tblRequirementMeasureXref[[#This Row],[msr_id]],tblMeasure[msr_id],tblMeasure[primary_dimensions])</f>
        <v>income</v>
      </c>
      <c r="K743" s="22" t="str">
        <f>_xlfn.XLOOKUP(tblRequirementMeasureXref[[#This Row],[msr_id]],tblMeasure[msr_id],tblMeasure[msr_min_geo_resolution])</f>
        <v>LA</v>
      </c>
      <c r="L743" s="22" t="str">
        <f>_xlfn.XLOOKUP(tblRequirementMeasureXref[[#This Row],[msr_id]],tblMeasure[msr_id],tblMeasure[src_name])</f>
        <v>Personal Social Services: Expenditure and Unit Costs</v>
      </c>
    </row>
    <row r="744" spans="1:12" x14ac:dyDescent="0.15">
      <c r="A744" s="1" t="str">
        <f>_xlfn.XLOOKUP(tblRequirementMeasureXref[[#This Row],[dm_id]],tblDataRequirement[dm_id],tblDataRequirement[domain_sub_requirement])</f>
        <v>Funders:Expenditure:NHS</v>
      </c>
      <c r="B744" s="1" t="str">
        <f>_xlfn.XLOOKUP(tblRequirementMeasureXref[[#This Row],[dm_id]],tblDataRequirement[dm_id],tblDataRequirement[dm_phase])</f>
        <v>supply</v>
      </c>
      <c r="C744" s="1">
        <v>6</v>
      </c>
      <c r="D744" s="1">
        <v>187</v>
      </c>
      <c r="G744" s="1"/>
      <c r="H744" s="62" t="str">
        <f>_xlfn.XLOOKUP(tblRequirementMeasureXref[[#This Row],[msr_id]],tblMeasure[msr_id],tblMeasure[msr_table])</f>
        <v>Table 3</v>
      </c>
      <c r="I744" s="22" t="str">
        <f>_xlfn.XLOOKUP(tblRequirementMeasureXref[[#This Row],[msr_id]],tblMeasure[msr_id],tblMeasure[msr_name])</f>
        <v>Total Income by Source; CASSR level</v>
      </c>
      <c r="J744" s="22" t="str">
        <f>_xlfn.XLOOKUP(tblRequirementMeasureXref[[#This Row],[msr_id]],tblMeasure[msr_id],tblMeasure[primary_dimensions])</f>
        <v>income</v>
      </c>
      <c r="K744" s="22" t="str">
        <f>_xlfn.XLOOKUP(tblRequirementMeasureXref[[#This Row],[msr_id]],tblMeasure[msr_id],tblMeasure[msr_min_geo_resolution])</f>
        <v>LA</v>
      </c>
      <c r="L744" s="22" t="str">
        <f>_xlfn.XLOOKUP(tblRequirementMeasureXref[[#This Row],[msr_id]],tblMeasure[msr_id],tblMeasure[src_name])</f>
        <v>Personal Social Services: Expenditure and Unit Costs</v>
      </c>
    </row>
    <row r="745" spans="1:12" x14ac:dyDescent="0.15">
      <c r="A745" s="1" t="str">
        <f>_xlfn.XLOOKUP(tblRequirementMeasureXref[[#This Row],[dm_id]],tblDataRequirement[dm_id],tblDataRequirement[domain_sub_requirement])</f>
        <v>Funders:Expenditure:Local authorities</v>
      </c>
      <c r="B745" s="1" t="str">
        <f>_xlfn.XLOOKUP(tblRequirementMeasureXref[[#This Row],[dm_id]],tblDataRequirement[dm_id],tblDataRequirement[dm_phase])</f>
        <v>supply</v>
      </c>
      <c r="C745" s="1">
        <v>3</v>
      </c>
      <c r="D745" s="1">
        <v>188</v>
      </c>
      <c r="G745" s="1"/>
      <c r="H745" s="62" t="str">
        <f>_xlfn.XLOOKUP(tblRequirementMeasureXref[[#This Row],[msr_id]],tblMeasure[msr_id],tblMeasure[msr_table])</f>
        <v>Table 4</v>
      </c>
      <c r="I745" s="22" t="str">
        <f>_xlfn.XLOOKUP(tblRequirementMeasureXref[[#This Row],[msr_id]],tblMeasure[msr_id],tblMeasure[msr_name])</f>
        <v>Gross Current Expenditure on Short and Long Term Care by Support Type and Age band; CASSR Level</v>
      </c>
      <c r="J745" s="22" t="str">
        <f>_xlfn.XLOOKUP(tblRequirementMeasureXref[[#This Row],[msr_id]],tblMeasure[msr_id],tblMeasure[primary_dimensions])</f>
        <v>expenditure</v>
      </c>
      <c r="K745" s="22" t="str">
        <f>_xlfn.XLOOKUP(tblRequirementMeasureXref[[#This Row],[msr_id]],tblMeasure[msr_id],tblMeasure[msr_min_geo_resolution])</f>
        <v>LA</v>
      </c>
      <c r="L745" s="22" t="str">
        <f>_xlfn.XLOOKUP(tblRequirementMeasureXref[[#This Row],[msr_id]],tblMeasure[msr_id],tblMeasure[src_name])</f>
        <v>Personal Social Services: Expenditure and Unit Costs</v>
      </c>
    </row>
    <row r="746" spans="1:12" x14ac:dyDescent="0.15">
      <c r="A746" s="1" t="str">
        <f>_xlfn.XLOOKUP(tblRequirementMeasureXref[[#This Row],[dm_id]],tblDataRequirement[dm_id],tblDataRequirement[domain_sub_requirement])</f>
        <v>Users:Demographics:Age</v>
      </c>
      <c r="B746" s="1" t="str">
        <f>_xlfn.XLOOKUP(tblRequirementMeasureXref[[#This Row],[dm_id]],tblDataRequirement[dm_id],tblDataRequirement[dm_phase])</f>
        <v>demand</v>
      </c>
      <c r="C746" s="1">
        <v>51</v>
      </c>
      <c r="D746" s="1">
        <v>188</v>
      </c>
      <c r="G746" s="1"/>
      <c r="H746" s="62" t="str">
        <f>_xlfn.XLOOKUP(tblRequirementMeasureXref[[#This Row],[msr_id]],tblMeasure[msr_id],tblMeasure[msr_table])</f>
        <v>Table 4</v>
      </c>
      <c r="I746" s="22" t="str">
        <f>_xlfn.XLOOKUP(tblRequirementMeasureXref[[#This Row],[msr_id]],tblMeasure[msr_id],tblMeasure[msr_name])</f>
        <v>Gross Current Expenditure on Short and Long Term Care by Support Type and Age band; CASSR Level</v>
      </c>
      <c r="J746" s="22" t="str">
        <f>_xlfn.XLOOKUP(tblRequirementMeasureXref[[#This Row],[msr_id]],tblMeasure[msr_id],tblMeasure[primary_dimensions])</f>
        <v>expenditure</v>
      </c>
      <c r="K746" s="22" t="str">
        <f>_xlfn.XLOOKUP(tblRequirementMeasureXref[[#This Row],[msr_id]],tblMeasure[msr_id],tblMeasure[msr_min_geo_resolution])</f>
        <v>LA</v>
      </c>
      <c r="L746" s="22" t="str">
        <f>_xlfn.XLOOKUP(tblRequirementMeasureXref[[#This Row],[msr_id]],tblMeasure[msr_id],tblMeasure[src_name])</f>
        <v>Personal Social Services: Expenditure and Unit Costs</v>
      </c>
    </row>
    <row r="747" spans="1:12" x14ac:dyDescent="0.15">
      <c r="A747" s="1" t="str">
        <f>_xlfn.XLOOKUP(tblRequirementMeasureXref[[#This Row],[dm_id]],tblDataRequirement[dm_id],tblDataRequirement[domain_sub_requirement])</f>
        <v>Service:Support type:Short-term</v>
      </c>
      <c r="B747" s="1" t="str">
        <f>_xlfn.XLOOKUP(tblRequirementMeasureXref[[#This Row],[dm_id]],tblDataRequirement[dm_id],tblDataRequirement[dm_phase])</f>
        <v>operate</v>
      </c>
      <c r="C747" s="1">
        <v>44</v>
      </c>
      <c r="D747" s="1">
        <v>188</v>
      </c>
      <c r="G747" s="1"/>
      <c r="H747" s="62" t="str">
        <f>_xlfn.XLOOKUP(tblRequirementMeasureXref[[#This Row],[msr_id]],tblMeasure[msr_id],tblMeasure[msr_table])</f>
        <v>Table 4</v>
      </c>
      <c r="I747" s="22" t="str">
        <f>_xlfn.XLOOKUP(tblRequirementMeasureXref[[#This Row],[msr_id]],tblMeasure[msr_id],tblMeasure[msr_name])</f>
        <v>Gross Current Expenditure on Short and Long Term Care by Support Type and Age band; CASSR Level</v>
      </c>
      <c r="J747" s="22" t="str">
        <f>_xlfn.XLOOKUP(tblRequirementMeasureXref[[#This Row],[msr_id]],tblMeasure[msr_id],tblMeasure[primary_dimensions])</f>
        <v>expenditure</v>
      </c>
      <c r="K747" s="22" t="str">
        <f>_xlfn.XLOOKUP(tblRequirementMeasureXref[[#This Row],[msr_id]],tblMeasure[msr_id],tblMeasure[msr_min_geo_resolution])</f>
        <v>LA</v>
      </c>
      <c r="L747" s="22" t="str">
        <f>_xlfn.XLOOKUP(tblRequirementMeasureXref[[#This Row],[msr_id]],tblMeasure[msr_id],tblMeasure[src_name])</f>
        <v>Personal Social Services: Expenditure and Unit Costs</v>
      </c>
    </row>
    <row r="748" spans="1:12" x14ac:dyDescent="0.15">
      <c r="A748" s="1" t="str">
        <f>_xlfn.XLOOKUP(tblRequirementMeasureXref[[#This Row],[dm_id]],tblDataRequirement[dm_id],tblDataRequirement[domain_sub_requirement])</f>
        <v>Service:Support type:Long-term</v>
      </c>
      <c r="B748" s="1" t="str">
        <f>_xlfn.XLOOKUP(tblRequirementMeasureXref[[#This Row],[dm_id]],tblDataRequirement[dm_id],tblDataRequirement[dm_phase])</f>
        <v>operate</v>
      </c>
      <c r="C748" s="1">
        <v>45</v>
      </c>
      <c r="D748" s="1">
        <v>188</v>
      </c>
      <c r="G748" s="1"/>
      <c r="H748" s="62" t="str">
        <f>_xlfn.XLOOKUP(tblRequirementMeasureXref[[#This Row],[msr_id]],tblMeasure[msr_id],tblMeasure[msr_table])</f>
        <v>Table 4</v>
      </c>
      <c r="I748" s="22" t="str">
        <f>_xlfn.XLOOKUP(tblRequirementMeasureXref[[#This Row],[msr_id]],tblMeasure[msr_id],tblMeasure[msr_name])</f>
        <v>Gross Current Expenditure on Short and Long Term Care by Support Type and Age band; CASSR Level</v>
      </c>
      <c r="J748" s="22" t="str">
        <f>_xlfn.XLOOKUP(tblRequirementMeasureXref[[#This Row],[msr_id]],tblMeasure[msr_id],tblMeasure[primary_dimensions])</f>
        <v>expenditure</v>
      </c>
      <c r="K748" s="22" t="str">
        <f>_xlfn.XLOOKUP(tblRequirementMeasureXref[[#This Row],[msr_id]],tblMeasure[msr_id],tblMeasure[msr_min_geo_resolution])</f>
        <v>LA</v>
      </c>
      <c r="L748" s="22" t="str">
        <f>_xlfn.XLOOKUP(tblRequirementMeasureXref[[#This Row],[msr_id]],tblMeasure[msr_id],tblMeasure[src_name])</f>
        <v>Personal Social Services: Expenditure and Unit Costs</v>
      </c>
    </row>
    <row r="749" spans="1:12" x14ac:dyDescent="0.15">
      <c r="A749" s="1" t="str">
        <f>_xlfn.XLOOKUP(tblRequirementMeasureXref[[#This Row],[dm_id]],tblDataRequirement[dm_id],tblDataRequirement[domain_sub_requirement])</f>
        <v>Funders:Expenditure:Local authorities</v>
      </c>
      <c r="B749" s="1" t="str">
        <f>_xlfn.XLOOKUP(tblRequirementMeasureXref[[#This Row],[dm_id]],tblDataRequirement[dm_id],tblDataRequirement[dm_phase])</f>
        <v>supply</v>
      </c>
      <c r="C749" s="1">
        <v>3</v>
      </c>
      <c r="D749" s="1">
        <v>189</v>
      </c>
      <c r="G749" s="1"/>
      <c r="H749" s="62" t="str">
        <f>_xlfn.XLOOKUP(tblRequirementMeasureXref[[#This Row],[msr_id]],tblMeasure[msr_id],tblMeasure[msr_table])</f>
        <v>Table 5</v>
      </c>
      <c r="I749" s="22" t="str">
        <f>_xlfn.XLOOKUP(tblRequirementMeasureXref[[#This Row],[msr_id]],tblMeasure[msr_id],tblMeasure[msr_name])</f>
        <v>Gross Current Expenditure on Short and Long Term Care by Primary Support Reason and Age band; CASSR Level</v>
      </c>
      <c r="J749" s="22" t="str">
        <f>_xlfn.XLOOKUP(tblRequirementMeasureXref[[#This Row],[msr_id]],tblMeasure[msr_id],tblMeasure[primary_dimensions])</f>
        <v>expenditure</v>
      </c>
      <c r="K749" s="22" t="str">
        <f>_xlfn.XLOOKUP(tblRequirementMeasureXref[[#This Row],[msr_id]],tblMeasure[msr_id],tblMeasure[msr_min_geo_resolution])</f>
        <v>LA</v>
      </c>
      <c r="L749" s="22" t="str">
        <f>_xlfn.XLOOKUP(tblRequirementMeasureXref[[#This Row],[msr_id]],tblMeasure[msr_id],tblMeasure[src_name])</f>
        <v>Personal Social Services: Expenditure and Unit Costs</v>
      </c>
    </row>
    <row r="750" spans="1:12" x14ac:dyDescent="0.15">
      <c r="A750" s="1" t="str">
        <f>_xlfn.XLOOKUP(tblRequirementMeasureXref[[#This Row],[dm_id]],tblDataRequirement[dm_id],tblDataRequirement[domain_sub_requirement])</f>
        <v>Users:Demographics:Age</v>
      </c>
      <c r="B750" s="1" t="str">
        <f>_xlfn.XLOOKUP(tblRequirementMeasureXref[[#This Row],[dm_id]],tblDataRequirement[dm_id],tblDataRequirement[dm_phase])</f>
        <v>demand</v>
      </c>
      <c r="C750" s="1">
        <v>51</v>
      </c>
      <c r="D750" s="1">
        <v>189</v>
      </c>
      <c r="G750" s="1"/>
      <c r="H750" s="62" t="str">
        <f>_xlfn.XLOOKUP(tblRequirementMeasureXref[[#This Row],[msr_id]],tblMeasure[msr_id],tblMeasure[msr_table])</f>
        <v>Table 5</v>
      </c>
      <c r="I750" s="22" t="str">
        <f>_xlfn.XLOOKUP(tblRequirementMeasureXref[[#This Row],[msr_id]],tblMeasure[msr_id],tblMeasure[msr_name])</f>
        <v>Gross Current Expenditure on Short and Long Term Care by Primary Support Reason and Age band; CASSR Level</v>
      </c>
      <c r="J750" s="22" t="str">
        <f>_xlfn.XLOOKUP(tblRequirementMeasureXref[[#This Row],[msr_id]],tblMeasure[msr_id],tblMeasure[primary_dimensions])</f>
        <v>expenditure</v>
      </c>
      <c r="K750" s="22" t="str">
        <f>_xlfn.XLOOKUP(tblRequirementMeasureXref[[#This Row],[msr_id]],tblMeasure[msr_id],tblMeasure[msr_min_geo_resolution])</f>
        <v>LA</v>
      </c>
      <c r="L750" s="22" t="str">
        <f>_xlfn.XLOOKUP(tblRequirementMeasureXref[[#This Row],[msr_id]],tblMeasure[msr_id],tblMeasure[src_name])</f>
        <v>Personal Social Services: Expenditure and Unit Costs</v>
      </c>
    </row>
    <row r="751" spans="1:12" x14ac:dyDescent="0.15">
      <c r="A751" s="1" t="str">
        <f>_xlfn.XLOOKUP(tblRequirementMeasureXref[[#This Row],[dm_id]],tblDataRequirement[dm_id],tblDataRequirement[domain_sub_requirement])</f>
        <v>Users:Care need:Support reason</v>
      </c>
      <c r="B751" s="1" t="str">
        <f>_xlfn.XLOOKUP(tblRequirementMeasureXref[[#This Row],[dm_id]],tblDataRequirement[dm_id],tblDataRequirement[dm_phase])</f>
        <v>demand</v>
      </c>
      <c r="C751" s="1">
        <v>56</v>
      </c>
      <c r="D751" s="1">
        <v>189</v>
      </c>
      <c r="G751" s="1"/>
      <c r="H751" s="62" t="str">
        <f>_xlfn.XLOOKUP(tblRequirementMeasureXref[[#This Row],[msr_id]],tblMeasure[msr_id],tblMeasure[msr_table])</f>
        <v>Table 5</v>
      </c>
      <c r="I751" s="22" t="str">
        <f>_xlfn.XLOOKUP(tblRequirementMeasureXref[[#This Row],[msr_id]],tblMeasure[msr_id],tblMeasure[msr_name])</f>
        <v>Gross Current Expenditure on Short and Long Term Care by Primary Support Reason and Age band; CASSR Level</v>
      </c>
      <c r="J751" s="22" t="str">
        <f>_xlfn.XLOOKUP(tblRequirementMeasureXref[[#This Row],[msr_id]],tblMeasure[msr_id],tblMeasure[primary_dimensions])</f>
        <v>expenditure</v>
      </c>
      <c r="K751" s="22" t="str">
        <f>_xlfn.XLOOKUP(tblRequirementMeasureXref[[#This Row],[msr_id]],tblMeasure[msr_id],tblMeasure[msr_min_geo_resolution])</f>
        <v>LA</v>
      </c>
      <c r="L751" s="22" t="str">
        <f>_xlfn.XLOOKUP(tblRequirementMeasureXref[[#This Row],[msr_id]],tblMeasure[msr_id],tblMeasure[src_name])</f>
        <v>Personal Social Services: Expenditure and Unit Costs</v>
      </c>
    </row>
    <row r="752" spans="1:12" x14ac:dyDescent="0.15">
      <c r="A752" s="1" t="str">
        <f>_xlfn.XLOOKUP(tblRequirementMeasureXref[[#This Row],[dm_id]],tblDataRequirement[dm_id],tblDataRequirement[domain_sub_requirement])</f>
        <v>Service:Support type:Short-term</v>
      </c>
      <c r="B752" s="1" t="str">
        <f>_xlfn.XLOOKUP(tblRequirementMeasureXref[[#This Row],[dm_id]],tblDataRequirement[dm_id],tblDataRequirement[dm_phase])</f>
        <v>operate</v>
      </c>
      <c r="C752" s="1">
        <v>44</v>
      </c>
      <c r="D752" s="1">
        <v>189</v>
      </c>
      <c r="G752" s="1"/>
      <c r="H752" s="62" t="str">
        <f>_xlfn.XLOOKUP(tblRequirementMeasureXref[[#This Row],[msr_id]],tblMeasure[msr_id],tblMeasure[msr_table])</f>
        <v>Table 5</v>
      </c>
      <c r="I752" s="22" t="str">
        <f>_xlfn.XLOOKUP(tblRequirementMeasureXref[[#This Row],[msr_id]],tblMeasure[msr_id],tblMeasure[msr_name])</f>
        <v>Gross Current Expenditure on Short and Long Term Care by Primary Support Reason and Age band; CASSR Level</v>
      </c>
      <c r="J752" s="22" t="str">
        <f>_xlfn.XLOOKUP(tblRequirementMeasureXref[[#This Row],[msr_id]],tblMeasure[msr_id],tblMeasure[primary_dimensions])</f>
        <v>expenditure</v>
      </c>
      <c r="K752" s="22" t="str">
        <f>_xlfn.XLOOKUP(tblRequirementMeasureXref[[#This Row],[msr_id]],tblMeasure[msr_id],tblMeasure[msr_min_geo_resolution])</f>
        <v>LA</v>
      </c>
      <c r="L752" s="22" t="str">
        <f>_xlfn.XLOOKUP(tblRequirementMeasureXref[[#This Row],[msr_id]],tblMeasure[msr_id],tblMeasure[src_name])</f>
        <v>Personal Social Services: Expenditure and Unit Costs</v>
      </c>
    </row>
    <row r="753" spans="1:12" x14ac:dyDescent="0.15">
      <c r="A753" s="1" t="str">
        <f>_xlfn.XLOOKUP(tblRequirementMeasureXref[[#This Row],[dm_id]],tblDataRequirement[dm_id],tblDataRequirement[domain_sub_requirement])</f>
        <v>Service:Support type:Long-term</v>
      </c>
      <c r="B753" s="1" t="str">
        <f>_xlfn.XLOOKUP(tblRequirementMeasureXref[[#This Row],[dm_id]],tblDataRequirement[dm_id],tblDataRequirement[dm_phase])</f>
        <v>operate</v>
      </c>
      <c r="C753" s="1">
        <v>45</v>
      </c>
      <c r="D753" s="1">
        <v>189</v>
      </c>
      <c r="G753" s="1"/>
      <c r="H753" s="62" t="str">
        <f>_xlfn.XLOOKUP(tblRequirementMeasureXref[[#This Row],[msr_id]],tblMeasure[msr_id],tblMeasure[msr_table])</f>
        <v>Table 5</v>
      </c>
      <c r="I753" s="22" t="str">
        <f>_xlfn.XLOOKUP(tblRequirementMeasureXref[[#This Row],[msr_id]],tblMeasure[msr_id],tblMeasure[msr_name])</f>
        <v>Gross Current Expenditure on Short and Long Term Care by Primary Support Reason and Age band; CASSR Level</v>
      </c>
      <c r="J753" s="22" t="str">
        <f>_xlfn.XLOOKUP(tblRequirementMeasureXref[[#This Row],[msr_id]],tblMeasure[msr_id],tblMeasure[primary_dimensions])</f>
        <v>expenditure</v>
      </c>
      <c r="K753" s="22" t="str">
        <f>_xlfn.XLOOKUP(tblRequirementMeasureXref[[#This Row],[msr_id]],tblMeasure[msr_id],tblMeasure[msr_min_geo_resolution])</f>
        <v>LA</v>
      </c>
      <c r="L753" s="22" t="str">
        <f>_xlfn.XLOOKUP(tblRequirementMeasureXref[[#This Row],[msr_id]],tblMeasure[msr_id],tblMeasure[src_name])</f>
        <v>Personal Social Services: Expenditure and Unit Costs</v>
      </c>
    </row>
    <row r="754" spans="1:12" x14ac:dyDescent="0.15">
      <c r="A754" s="1" t="str">
        <f>_xlfn.XLOOKUP(tblRequirementMeasureXref[[#This Row],[dm_id]],tblDataRequirement[dm_id],tblDataRequirement[domain_sub_requirement])</f>
        <v>Funders:Expenditure:Local authorities</v>
      </c>
      <c r="B754" s="1" t="str">
        <f>_xlfn.XLOOKUP(tblRequirementMeasureXref[[#This Row],[dm_id]],tblDataRequirement[dm_id],tblDataRequirement[dm_phase])</f>
        <v>supply</v>
      </c>
      <c r="C754" s="1">
        <v>3</v>
      </c>
      <c r="D754" s="1">
        <v>190</v>
      </c>
      <c r="G754" s="1"/>
      <c r="H754" s="62" t="str">
        <f>_xlfn.XLOOKUP(tblRequirementMeasureXref[[#This Row],[msr_id]],tblMeasure[msr_id],tblMeasure[msr_table])</f>
        <v>Table 6</v>
      </c>
      <c r="I754" s="22" t="str">
        <f>_xlfn.XLOOKUP(tblRequirementMeasureXref[[#This Row],[msr_id]],tblMeasure[msr_id],tblMeasure[msr_name])</f>
        <v>Gross Current Expenditure on Short and Long Term Care by Primary Support Reason and Support Type; CASSR Level</v>
      </c>
      <c r="J754" s="22" t="str">
        <f>_xlfn.XLOOKUP(tblRequirementMeasureXref[[#This Row],[msr_id]],tblMeasure[msr_id],tblMeasure[primary_dimensions])</f>
        <v>expenditure</v>
      </c>
      <c r="K754" s="22" t="str">
        <f>_xlfn.XLOOKUP(tblRequirementMeasureXref[[#This Row],[msr_id]],tblMeasure[msr_id],tblMeasure[msr_min_geo_resolution])</f>
        <v>LA</v>
      </c>
      <c r="L754" s="22" t="str">
        <f>_xlfn.XLOOKUP(tblRequirementMeasureXref[[#This Row],[msr_id]],tblMeasure[msr_id],tblMeasure[src_name])</f>
        <v>Personal Social Services: Expenditure and Unit Costs</v>
      </c>
    </row>
    <row r="755" spans="1:12" x14ac:dyDescent="0.15">
      <c r="A755" s="1" t="str">
        <f>_xlfn.XLOOKUP(tblRequirementMeasureXref[[#This Row],[dm_id]],tblDataRequirement[dm_id],tblDataRequirement[domain_sub_requirement])</f>
        <v>Users:Care need:Support reason</v>
      </c>
      <c r="B755" s="1" t="str">
        <f>_xlfn.XLOOKUP(tblRequirementMeasureXref[[#This Row],[dm_id]],tblDataRequirement[dm_id],tblDataRequirement[dm_phase])</f>
        <v>demand</v>
      </c>
      <c r="C755" s="1">
        <v>56</v>
      </c>
      <c r="D755" s="1">
        <v>190</v>
      </c>
      <c r="G755" s="1"/>
      <c r="H755" s="62" t="str">
        <f>_xlfn.XLOOKUP(tblRequirementMeasureXref[[#This Row],[msr_id]],tblMeasure[msr_id],tblMeasure[msr_table])</f>
        <v>Table 6</v>
      </c>
      <c r="I755" s="22" t="str">
        <f>_xlfn.XLOOKUP(tblRequirementMeasureXref[[#This Row],[msr_id]],tblMeasure[msr_id],tblMeasure[msr_name])</f>
        <v>Gross Current Expenditure on Short and Long Term Care by Primary Support Reason and Support Type; CASSR Level</v>
      </c>
      <c r="J755" s="22" t="str">
        <f>_xlfn.XLOOKUP(tblRequirementMeasureXref[[#This Row],[msr_id]],tblMeasure[msr_id],tblMeasure[primary_dimensions])</f>
        <v>expenditure</v>
      </c>
      <c r="K755" s="22" t="str">
        <f>_xlfn.XLOOKUP(tblRequirementMeasureXref[[#This Row],[msr_id]],tblMeasure[msr_id],tblMeasure[msr_min_geo_resolution])</f>
        <v>LA</v>
      </c>
      <c r="L755" s="22" t="str">
        <f>_xlfn.XLOOKUP(tblRequirementMeasureXref[[#This Row],[msr_id]],tblMeasure[msr_id],tblMeasure[src_name])</f>
        <v>Personal Social Services: Expenditure and Unit Costs</v>
      </c>
    </row>
    <row r="756" spans="1:12" x14ac:dyDescent="0.15">
      <c r="A756" s="1" t="str">
        <f>_xlfn.XLOOKUP(tblRequirementMeasureXref[[#This Row],[dm_id]],tblDataRequirement[dm_id],tblDataRequirement[domain_sub_requirement])</f>
        <v>Service:Support type:Short-term</v>
      </c>
      <c r="B756" s="1" t="str">
        <f>_xlfn.XLOOKUP(tblRequirementMeasureXref[[#This Row],[dm_id]],tblDataRequirement[dm_id],tblDataRequirement[dm_phase])</f>
        <v>operate</v>
      </c>
      <c r="C756" s="1">
        <v>44</v>
      </c>
      <c r="D756" s="1">
        <v>190</v>
      </c>
      <c r="G756" s="1"/>
      <c r="H756" s="62" t="str">
        <f>_xlfn.XLOOKUP(tblRequirementMeasureXref[[#This Row],[msr_id]],tblMeasure[msr_id],tblMeasure[msr_table])</f>
        <v>Table 6</v>
      </c>
      <c r="I756" s="22" t="str">
        <f>_xlfn.XLOOKUP(tblRequirementMeasureXref[[#This Row],[msr_id]],tblMeasure[msr_id],tblMeasure[msr_name])</f>
        <v>Gross Current Expenditure on Short and Long Term Care by Primary Support Reason and Support Type; CASSR Level</v>
      </c>
      <c r="J756" s="22" t="str">
        <f>_xlfn.XLOOKUP(tblRequirementMeasureXref[[#This Row],[msr_id]],tblMeasure[msr_id],tblMeasure[primary_dimensions])</f>
        <v>expenditure</v>
      </c>
      <c r="K756" s="22" t="str">
        <f>_xlfn.XLOOKUP(tblRequirementMeasureXref[[#This Row],[msr_id]],tblMeasure[msr_id],tblMeasure[msr_min_geo_resolution])</f>
        <v>LA</v>
      </c>
      <c r="L756" s="22" t="str">
        <f>_xlfn.XLOOKUP(tblRequirementMeasureXref[[#This Row],[msr_id]],tblMeasure[msr_id],tblMeasure[src_name])</f>
        <v>Personal Social Services: Expenditure and Unit Costs</v>
      </c>
    </row>
    <row r="757" spans="1:12" x14ac:dyDescent="0.15">
      <c r="A757" s="1" t="str">
        <f>_xlfn.XLOOKUP(tblRequirementMeasureXref[[#This Row],[dm_id]],tblDataRequirement[dm_id],tblDataRequirement[domain_sub_requirement])</f>
        <v>Service:Support type:Long-term</v>
      </c>
      <c r="B757" s="1" t="str">
        <f>_xlfn.XLOOKUP(tblRequirementMeasureXref[[#This Row],[dm_id]],tblDataRequirement[dm_id],tblDataRequirement[dm_phase])</f>
        <v>operate</v>
      </c>
      <c r="C757" s="1">
        <v>45</v>
      </c>
      <c r="D757" s="1">
        <v>190</v>
      </c>
      <c r="G757" s="1"/>
      <c r="H757" s="62" t="str">
        <f>_xlfn.XLOOKUP(tblRequirementMeasureXref[[#This Row],[msr_id]],tblMeasure[msr_id],tblMeasure[msr_table])</f>
        <v>Table 6</v>
      </c>
      <c r="I757" s="22" t="str">
        <f>_xlfn.XLOOKUP(tblRequirementMeasureXref[[#This Row],[msr_id]],tblMeasure[msr_id],tblMeasure[msr_name])</f>
        <v>Gross Current Expenditure on Short and Long Term Care by Primary Support Reason and Support Type; CASSR Level</v>
      </c>
      <c r="J757" s="22" t="str">
        <f>_xlfn.XLOOKUP(tblRequirementMeasureXref[[#This Row],[msr_id]],tblMeasure[msr_id],tblMeasure[primary_dimensions])</f>
        <v>expenditure</v>
      </c>
      <c r="K757" s="22" t="str">
        <f>_xlfn.XLOOKUP(tblRequirementMeasureXref[[#This Row],[msr_id]],tblMeasure[msr_id],tblMeasure[msr_min_geo_resolution])</f>
        <v>LA</v>
      </c>
      <c r="L757" s="22" t="str">
        <f>_xlfn.XLOOKUP(tblRequirementMeasureXref[[#This Row],[msr_id]],tblMeasure[msr_id],tblMeasure[src_name])</f>
        <v>Personal Social Services: Expenditure and Unit Costs</v>
      </c>
    </row>
    <row r="758" spans="1:12" x14ac:dyDescent="0.15">
      <c r="A758" s="1" t="str">
        <f>_xlfn.XLOOKUP(tblRequirementMeasureXref[[#This Row],[dm_id]],tblDataRequirement[dm_id],tblDataRequirement[domain_sub_requirement])</f>
        <v>Funders:Expenditure:Local authorities</v>
      </c>
      <c r="B758" s="1" t="str">
        <f>_xlfn.XLOOKUP(tblRequirementMeasureXref[[#This Row],[dm_id]],tblDataRequirement[dm_id],tblDataRequirement[dm_phase])</f>
        <v>supply</v>
      </c>
      <c r="C758" s="1">
        <v>3</v>
      </c>
      <c r="D758" s="1">
        <v>191</v>
      </c>
      <c r="G758" s="1"/>
      <c r="H758" s="62" t="str">
        <f>_xlfn.XLOOKUP(tblRequirementMeasureXref[[#This Row],[msr_id]],tblMeasure[msr_id],tblMeasure[msr_table])</f>
        <v>Table 7</v>
      </c>
      <c r="I758" s="22" t="str">
        <f>_xlfn.XLOOKUP(tblRequirementMeasureXref[[#This Row],[msr_id]],tblMeasure[msr_id],tblMeasure[msr_name])</f>
        <v>Gross Current Expenditure on Long Term Care by Support Setting, Age Band and Primary Support Reason; England Level</v>
      </c>
      <c r="J758" s="22" t="str">
        <f>_xlfn.XLOOKUP(tblRequirementMeasureXref[[#This Row],[msr_id]],tblMeasure[msr_id],tblMeasure[primary_dimensions])</f>
        <v>expenditure</v>
      </c>
      <c r="K758" s="22" t="str">
        <f>_xlfn.XLOOKUP(tblRequirementMeasureXref[[#This Row],[msr_id]],tblMeasure[msr_id],tblMeasure[msr_min_geo_resolution])</f>
        <v>England</v>
      </c>
      <c r="L758" s="22" t="str">
        <f>_xlfn.XLOOKUP(tblRequirementMeasureXref[[#This Row],[msr_id]],tblMeasure[msr_id],tblMeasure[src_name])</f>
        <v>Personal Social Services: Expenditure and Unit Costs</v>
      </c>
    </row>
    <row r="759" spans="1:12" x14ac:dyDescent="0.15">
      <c r="A759" s="1" t="str">
        <f>_xlfn.XLOOKUP(tblRequirementMeasureXref[[#This Row],[dm_id]],tblDataRequirement[dm_id],tblDataRequirement[domain_sub_requirement])</f>
        <v>Users:Demographics:Age</v>
      </c>
      <c r="B759" s="1" t="str">
        <f>_xlfn.XLOOKUP(tblRequirementMeasureXref[[#This Row],[dm_id]],tblDataRequirement[dm_id],tblDataRequirement[dm_phase])</f>
        <v>demand</v>
      </c>
      <c r="C759" s="1">
        <v>51</v>
      </c>
      <c r="D759" s="1">
        <v>191</v>
      </c>
      <c r="G759" s="1"/>
      <c r="H759" s="62" t="str">
        <f>_xlfn.XLOOKUP(tblRequirementMeasureXref[[#This Row],[msr_id]],tblMeasure[msr_id],tblMeasure[msr_table])</f>
        <v>Table 7</v>
      </c>
      <c r="I759" s="22" t="str">
        <f>_xlfn.XLOOKUP(tblRequirementMeasureXref[[#This Row],[msr_id]],tblMeasure[msr_id],tblMeasure[msr_name])</f>
        <v>Gross Current Expenditure on Long Term Care by Support Setting, Age Band and Primary Support Reason; England Level</v>
      </c>
      <c r="J759" s="22" t="str">
        <f>_xlfn.XLOOKUP(tblRequirementMeasureXref[[#This Row],[msr_id]],tblMeasure[msr_id],tblMeasure[primary_dimensions])</f>
        <v>expenditure</v>
      </c>
      <c r="K759" s="22" t="str">
        <f>_xlfn.XLOOKUP(tblRequirementMeasureXref[[#This Row],[msr_id]],tblMeasure[msr_id],tblMeasure[msr_min_geo_resolution])</f>
        <v>England</v>
      </c>
      <c r="L759" s="22" t="str">
        <f>_xlfn.XLOOKUP(tblRequirementMeasureXref[[#This Row],[msr_id]],tblMeasure[msr_id],tblMeasure[src_name])</f>
        <v>Personal Social Services: Expenditure and Unit Costs</v>
      </c>
    </row>
    <row r="760" spans="1:12" x14ac:dyDescent="0.15">
      <c r="A760" s="1" t="str">
        <f>_xlfn.XLOOKUP(tblRequirementMeasureXref[[#This Row],[dm_id]],tblDataRequirement[dm_id],tblDataRequirement[domain_sub_requirement])</f>
        <v>Users:Care need:Support reason</v>
      </c>
      <c r="B760" s="1" t="str">
        <f>_xlfn.XLOOKUP(tblRequirementMeasureXref[[#This Row],[dm_id]],tblDataRequirement[dm_id],tblDataRequirement[dm_phase])</f>
        <v>demand</v>
      </c>
      <c r="C760" s="1">
        <v>56</v>
      </c>
      <c r="D760" s="1">
        <v>191</v>
      </c>
      <c r="G760" s="1"/>
      <c r="H760" s="62" t="str">
        <f>_xlfn.XLOOKUP(tblRequirementMeasureXref[[#This Row],[msr_id]],tblMeasure[msr_id],tblMeasure[msr_table])</f>
        <v>Table 7</v>
      </c>
      <c r="I760" s="22" t="str">
        <f>_xlfn.XLOOKUP(tblRequirementMeasureXref[[#This Row],[msr_id]],tblMeasure[msr_id],tblMeasure[msr_name])</f>
        <v>Gross Current Expenditure on Long Term Care by Support Setting, Age Band and Primary Support Reason; England Level</v>
      </c>
      <c r="J760" s="22" t="str">
        <f>_xlfn.XLOOKUP(tblRequirementMeasureXref[[#This Row],[msr_id]],tblMeasure[msr_id],tblMeasure[primary_dimensions])</f>
        <v>expenditure</v>
      </c>
      <c r="K760" s="22" t="str">
        <f>_xlfn.XLOOKUP(tblRequirementMeasureXref[[#This Row],[msr_id]],tblMeasure[msr_id],tblMeasure[msr_min_geo_resolution])</f>
        <v>England</v>
      </c>
      <c r="L760" s="22" t="str">
        <f>_xlfn.XLOOKUP(tblRequirementMeasureXref[[#This Row],[msr_id]],tblMeasure[msr_id],tblMeasure[src_name])</f>
        <v>Personal Social Services: Expenditure and Unit Costs</v>
      </c>
    </row>
    <row r="761" spans="1:12" x14ac:dyDescent="0.15">
      <c r="A761" s="1" t="str">
        <f>_xlfn.XLOOKUP(tblRequirementMeasureXref[[#This Row],[dm_id]],tblDataRequirement[dm_id],tblDataRequirement[domain_sub_requirement])</f>
        <v>Service:Support setting:Residential care home</v>
      </c>
      <c r="B761" s="1" t="str">
        <f>_xlfn.XLOOKUP(tblRequirementMeasureXref[[#This Row],[dm_id]],tblDataRequirement[dm_id],tblDataRequirement[dm_phase])</f>
        <v>operate</v>
      </c>
      <c r="C761" s="1">
        <v>41</v>
      </c>
      <c r="D761" s="1">
        <v>191</v>
      </c>
      <c r="G761" s="1"/>
      <c r="H761" s="62" t="str">
        <f>_xlfn.XLOOKUP(tblRequirementMeasureXref[[#This Row],[msr_id]],tblMeasure[msr_id],tblMeasure[msr_table])</f>
        <v>Table 7</v>
      </c>
      <c r="I761" s="22" t="str">
        <f>_xlfn.XLOOKUP(tblRequirementMeasureXref[[#This Row],[msr_id]],tblMeasure[msr_id],tblMeasure[msr_name])</f>
        <v>Gross Current Expenditure on Long Term Care by Support Setting, Age Band and Primary Support Reason; England Level</v>
      </c>
      <c r="J761" s="22" t="str">
        <f>_xlfn.XLOOKUP(tblRequirementMeasureXref[[#This Row],[msr_id]],tblMeasure[msr_id],tblMeasure[primary_dimensions])</f>
        <v>expenditure</v>
      </c>
      <c r="K761" s="22" t="str">
        <f>_xlfn.XLOOKUP(tblRequirementMeasureXref[[#This Row],[msr_id]],tblMeasure[msr_id],tblMeasure[msr_min_geo_resolution])</f>
        <v>England</v>
      </c>
      <c r="L761" s="22" t="str">
        <f>_xlfn.XLOOKUP(tblRequirementMeasureXref[[#This Row],[msr_id]],tblMeasure[msr_id],tblMeasure[src_name])</f>
        <v>Personal Social Services: Expenditure and Unit Costs</v>
      </c>
    </row>
    <row r="762" spans="1:12" x14ac:dyDescent="0.15">
      <c r="A762" s="1" t="str">
        <f>_xlfn.XLOOKUP(tblRequirementMeasureXref[[#This Row],[dm_id]],tblDataRequirement[dm_id],tblDataRequirement[domain_sub_requirement])</f>
        <v>Service:Support setting:Nursing home</v>
      </c>
      <c r="B762" s="1" t="str">
        <f>_xlfn.XLOOKUP(tblRequirementMeasureXref[[#This Row],[dm_id]],tblDataRequirement[dm_id],tblDataRequirement[dm_phase])</f>
        <v>operate</v>
      </c>
      <c r="C762" s="1">
        <v>42</v>
      </c>
      <c r="D762" s="1">
        <v>191</v>
      </c>
      <c r="G762" s="1"/>
      <c r="H762" s="62" t="str">
        <f>_xlfn.XLOOKUP(tblRequirementMeasureXref[[#This Row],[msr_id]],tblMeasure[msr_id],tblMeasure[msr_table])</f>
        <v>Table 7</v>
      </c>
      <c r="I762" s="22" t="str">
        <f>_xlfn.XLOOKUP(tblRequirementMeasureXref[[#This Row],[msr_id]],tblMeasure[msr_id],tblMeasure[msr_name])</f>
        <v>Gross Current Expenditure on Long Term Care by Support Setting, Age Band and Primary Support Reason; England Level</v>
      </c>
      <c r="J762" s="22" t="str">
        <f>_xlfn.XLOOKUP(tblRequirementMeasureXref[[#This Row],[msr_id]],tblMeasure[msr_id],tblMeasure[primary_dimensions])</f>
        <v>expenditure</v>
      </c>
      <c r="K762" s="22" t="str">
        <f>_xlfn.XLOOKUP(tblRequirementMeasureXref[[#This Row],[msr_id]],tblMeasure[msr_id],tblMeasure[msr_min_geo_resolution])</f>
        <v>England</v>
      </c>
      <c r="L762" s="22" t="str">
        <f>_xlfn.XLOOKUP(tblRequirementMeasureXref[[#This Row],[msr_id]],tblMeasure[msr_id],tblMeasure[src_name])</f>
        <v>Personal Social Services: Expenditure and Unit Costs</v>
      </c>
    </row>
    <row r="763" spans="1:12" x14ac:dyDescent="0.15">
      <c r="A763" s="1" t="str">
        <f>_xlfn.XLOOKUP(tblRequirementMeasureXref[[#This Row],[dm_id]],tblDataRequirement[dm_id],tblDataRequirement[domain_sub_requirement])</f>
        <v>Service:Support setting:Community</v>
      </c>
      <c r="B763" s="1" t="str">
        <f>_xlfn.XLOOKUP(tblRequirementMeasureXref[[#This Row],[dm_id]],tblDataRequirement[dm_id],tblDataRequirement[dm_phase])</f>
        <v>operate</v>
      </c>
      <c r="C763" s="1">
        <v>43</v>
      </c>
      <c r="D763" s="1">
        <v>191</v>
      </c>
      <c r="G763" s="1"/>
      <c r="H763" s="62" t="str">
        <f>_xlfn.XLOOKUP(tblRequirementMeasureXref[[#This Row],[msr_id]],tblMeasure[msr_id],tblMeasure[msr_table])</f>
        <v>Table 7</v>
      </c>
      <c r="I763" s="22" t="str">
        <f>_xlfn.XLOOKUP(tblRequirementMeasureXref[[#This Row],[msr_id]],tblMeasure[msr_id],tblMeasure[msr_name])</f>
        <v>Gross Current Expenditure on Long Term Care by Support Setting, Age Band and Primary Support Reason; England Level</v>
      </c>
      <c r="J763" s="22" t="str">
        <f>_xlfn.XLOOKUP(tblRequirementMeasureXref[[#This Row],[msr_id]],tblMeasure[msr_id],tblMeasure[primary_dimensions])</f>
        <v>expenditure</v>
      </c>
      <c r="K763" s="22" t="str">
        <f>_xlfn.XLOOKUP(tblRequirementMeasureXref[[#This Row],[msr_id]],tblMeasure[msr_id],tblMeasure[msr_min_geo_resolution])</f>
        <v>England</v>
      </c>
      <c r="L763" s="22" t="str">
        <f>_xlfn.XLOOKUP(tblRequirementMeasureXref[[#This Row],[msr_id]],tblMeasure[msr_id],tblMeasure[src_name])</f>
        <v>Personal Social Services: Expenditure and Unit Costs</v>
      </c>
    </row>
    <row r="764" spans="1:12" x14ac:dyDescent="0.15">
      <c r="A764" s="1" t="str">
        <f>_xlfn.XLOOKUP(tblRequirementMeasureXref[[#This Row],[dm_id]],tblDataRequirement[dm_id],tblDataRequirement[domain_sub_requirement])</f>
        <v>Funders:Expenditure:Local authorities</v>
      </c>
      <c r="B764" s="1" t="str">
        <f>_xlfn.XLOOKUP(tblRequirementMeasureXref[[#This Row],[dm_id]],tblDataRequirement[dm_id],tblDataRequirement[dm_phase])</f>
        <v>supply</v>
      </c>
      <c r="C764" s="1">
        <v>3</v>
      </c>
      <c r="D764" s="1">
        <v>192</v>
      </c>
      <c r="G764" s="1"/>
      <c r="H764" s="62" t="str">
        <f>_xlfn.XLOOKUP(tblRequirementMeasureXref[[#This Row],[msr_id]],tblMeasure[msr_id],tblMeasure[msr_table])</f>
        <v>Table 8</v>
      </c>
      <c r="I764" s="22" t="str">
        <f>_xlfn.XLOOKUP(tblRequirementMeasureXref[[#This Row],[msr_id]],tblMeasure[msr_id],tblMeasure[msr_name])</f>
        <v>Long Term Gross Current Expenditure by Support Setting; CASSR Level</v>
      </c>
      <c r="J764" s="22" t="str">
        <f>_xlfn.XLOOKUP(tblRequirementMeasureXref[[#This Row],[msr_id]],tblMeasure[msr_id],tblMeasure[primary_dimensions])</f>
        <v>expenditure</v>
      </c>
      <c r="K764" s="22" t="str">
        <f>_xlfn.XLOOKUP(tblRequirementMeasureXref[[#This Row],[msr_id]],tblMeasure[msr_id],tblMeasure[msr_min_geo_resolution])</f>
        <v>LA</v>
      </c>
      <c r="L764" s="22" t="str">
        <f>_xlfn.XLOOKUP(tblRequirementMeasureXref[[#This Row],[msr_id]],tblMeasure[msr_id],tblMeasure[src_name])</f>
        <v>Personal Social Services: Expenditure and Unit Costs</v>
      </c>
    </row>
    <row r="765" spans="1:12" x14ac:dyDescent="0.15">
      <c r="A765" s="1" t="str">
        <f>_xlfn.XLOOKUP(tblRequirementMeasureXref[[#This Row],[dm_id]],tblDataRequirement[dm_id],tblDataRequirement[domain_sub_requirement])</f>
        <v>Service:Support setting:Home</v>
      </c>
      <c r="B765" s="1" t="str">
        <f>_xlfn.XLOOKUP(tblRequirementMeasureXref[[#This Row],[dm_id]],tblDataRequirement[dm_id],tblDataRequirement[dm_phase])</f>
        <v>operate</v>
      </c>
      <c r="C765" s="1">
        <v>40</v>
      </c>
      <c r="D765" s="1">
        <v>192</v>
      </c>
      <c r="G765" s="1"/>
      <c r="H765" s="62" t="str">
        <f>_xlfn.XLOOKUP(tblRequirementMeasureXref[[#This Row],[msr_id]],tblMeasure[msr_id],tblMeasure[msr_table])</f>
        <v>Table 8</v>
      </c>
      <c r="I765" s="22" t="str">
        <f>_xlfn.XLOOKUP(tblRequirementMeasureXref[[#This Row],[msr_id]],tblMeasure[msr_id],tblMeasure[msr_name])</f>
        <v>Long Term Gross Current Expenditure by Support Setting; CASSR Level</v>
      </c>
      <c r="J765" s="22" t="str">
        <f>_xlfn.XLOOKUP(tblRequirementMeasureXref[[#This Row],[msr_id]],tblMeasure[msr_id],tblMeasure[primary_dimensions])</f>
        <v>expenditure</v>
      </c>
      <c r="K765" s="22" t="str">
        <f>_xlfn.XLOOKUP(tblRequirementMeasureXref[[#This Row],[msr_id]],tblMeasure[msr_id],tblMeasure[msr_min_geo_resolution])</f>
        <v>LA</v>
      </c>
      <c r="L765" s="22" t="str">
        <f>_xlfn.XLOOKUP(tblRequirementMeasureXref[[#This Row],[msr_id]],tblMeasure[msr_id],tblMeasure[src_name])</f>
        <v>Personal Social Services: Expenditure and Unit Costs</v>
      </c>
    </row>
    <row r="766" spans="1:12" x14ac:dyDescent="0.15">
      <c r="A766" s="1" t="str">
        <f>_xlfn.XLOOKUP(tblRequirementMeasureXref[[#This Row],[dm_id]],tblDataRequirement[dm_id],tblDataRequirement[domain_sub_requirement])</f>
        <v>Service:Support setting:Residential care home</v>
      </c>
      <c r="B766" s="1" t="str">
        <f>_xlfn.XLOOKUP(tblRequirementMeasureXref[[#This Row],[dm_id]],tblDataRequirement[dm_id],tblDataRequirement[dm_phase])</f>
        <v>operate</v>
      </c>
      <c r="C766" s="1">
        <v>41</v>
      </c>
      <c r="D766" s="1">
        <v>192</v>
      </c>
      <c r="G766" s="1"/>
      <c r="H766" s="62" t="str">
        <f>_xlfn.XLOOKUP(tblRequirementMeasureXref[[#This Row],[msr_id]],tblMeasure[msr_id],tblMeasure[msr_table])</f>
        <v>Table 8</v>
      </c>
      <c r="I766" s="22" t="str">
        <f>_xlfn.XLOOKUP(tblRequirementMeasureXref[[#This Row],[msr_id]],tblMeasure[msr_id],tblMeasure[msr_name])</f>
        <v>Long Term Gross Current Expenditure by Support Setting; CASSR Level</v>
      </c>
      <c r="J766" s="22" t="str">
        <f>_xlfn.XLOOKUP(tblRequirementMeasureXref[[#This Row],[msr_id]],tblMeasure[msr_id],tblMeasure[primary_dimensions])</f>
        <v>expenditure</v>
      </c>
      <c r="K766" s="22" t="str">
        <f>_xlfn.XLOOKUP(tblRequirementMeasureXref[[#This Row],[msr_id]],tblMeasure[msr_id],tblMeasure[msr_min_geo_resolution])</f>
        <v>LA</v>
      </c>
      <c r="L766" s="22" t="str">
        <f>_xlfn.XLOOKUP(tblRequirementMeasureXref[[#This Row],[msr_id]],tblMeasure[msr_id],tblMeasure[src_name])</f>
        <v>Personal Social Services: Expenditure and Unit Costs</v>
      </c>
    </row>
    <row r="767" spans="1:12" x14ac:dyDescent="0.15">
      <c r="A767" s="1" t="str">
        <f>_xlfn.XLOOKUP(tblRequirementMeasureXref[[#This Row],[dm_id]],tblDataRequirement[dm_id],tblDataRequirement[domain_sub_requirement])</f>
        <v>Service:Support setting:Nursing home</v>
      </c>
      <c r="B767" s="1" t="str">
        <f>_xlfn.XLOOKUP(tblRequirementMeasureXref[[#This Row],[dm_id]],tblDataRequirement[dm_id],tblDataRequirement[dm_phase])</f>
        <v>operate</v>
      </c>
      <c r="C767" s="1">
        <v>42</v>
      </c>
      <c r="D767" s="1">
        <v>192</v>
      </c>
      <c r="G767" s="1"/>
      <c r="H767" s="62" t="str">
        <f>_xlfn.XLOOKUP(tblRequirementMeasureXref[[#This Row],[msr_id]],tblMeasure[msr_id],tblMeasure[msr_table])</f>
        <v>Table 8</v>
      </c>
      <c r="I767" s="22" t="str">
        <f>_xlfn.XLOOKUP(tblRequirementMeasureXref[[#This Row],[msr_id]],tblMeasure[msr_id],tblMeasure[msr_name])</f>
        <v>Long Term Gross Current Expenditure by Support Setting; CASSR Level</v>
      </c>
      <c r="J767" s="22" t="str">
        <f>_xlfn.XLOOKUP(tblRequirementMeasureXref[[#This Row],[msr_id]],tblMeasure[msr_id],tblMeasure[primary_dimensions])</f>
        <v>expenditure</v>
      </c>
      <c r="K767" s="22" t="str">
        <f>_xlfn.XLOOKUP(tblRequirementMeasureXref[[#This Row],[msr_id]],tblMeasure[msr_id],tblMeasure[msr_min_geo_resolution])</f>
        <v>LA</v>
      </c>
      <c r="L767" s="22" t="str">
        <f>_xlfn.XLOOKUP(tblRequirementMeasureXref[[#This Row],[msr_id]],tblMeasure[msr_id],tblMeasure[src_name])</f>
        <v>Personal Social Services: Expenditure and Unit Costs</v>
      </c>
    </row>
    <row r="768" spans="1:12" x14ac:dyDescent="0.15">
      <c r="A768" s="1" t="str">
        <f>_xlfn.XLOOKUP(tblRequirementMeasureXref[[#This Row],[dm_id]],tblDataRequirement[dm_id],tblDataRequirement[domain_sub_requirement])</f>
        <v>Service:Support setting:Community</v>
      </c>
      <c r="B768" s="1" t="str">
        <f>_xlfn.XLOOKUP(tblRequirementMeasureXref[[#This Row],[dm_id]],tblDataRequirement[dm_id],tblDataRequirement[dm_phase])</f>
        <v>operate</v>
      </c>
      <c r="C768" s="1">
        <v>43</v>
      </c>
      <c r="D768" s="1">
        <v>192</v>
      </c>
      <c r="G768" s="1"/>
      <c r="H768" s="62" t="str">
        <f>_xlfn.XLOOKUP(tblRequirementMeasureXref[[#This Row],[msr_id]],tblMeasure[msr_id],tblMeasure[msr_table])</f>
        <v>Table 8</v>
      </c>
      <c r="I768" s="22" t="str">
        <f>_xlfn.XLOOKUP(tblRequirementMeasureXref[[#This Row],[msr_id]],tblMeasure[msr_id],tblMeasure[msr_name])</f>
        <v>Long Term Gross Current Expenditure by Support Setting; CASSR Level</v>
      </c>
      <c r="J768" s="22" t="str">
        <f>_xlfn.XLOOKUP(tblRequirementMeasureXref[[#This Row],[msr_id]],tblMeasure[msr_id],tblMeasure[primary_dimensions])</f>
        <v>expenditure</v>
      </c>
      <c r="K768" s="22" t="str">
        <f>_xlfn.XLOOKUP(tblRequirementMeasureXref[[#This Row],[msr_id]],tblMeasure[msr_id],tblMeasure[msr_min_geo_resolution])</f>
        <v>LA</v>
      </c>
      <c r="L768" s="22" t="str">
        <f>_xlfn.XLOOKUP(tblRequirementMeasureXref[[#This Row],[msr_id]],tblMeasure[msr_id],tblMeasure[src_name])</f>
        <v>Personal Social Services: Expenditure and Unit Costs</v>
      </c>
    </row>
    <row r="769" spans="1:12" x14ac:dyDescent="0.15">
      <c r="A769" s="1" t="str">
        <f>_xlfn.XLOOKUP(tblRequirementMeasureXref[[#This Row],[dm_id]],tblDataRequirement[dm_id],tblDataRequirement[domain_sub_requirement])</f>
        <v>Users:Income:Direct payments</v>
      </c>
      <c r="B769" s="1" t="str">
        <f>_xlfn.XLOOKUP(tblRequirementMeasureXref[[#This Row],[dm_id]],tblDataRequirement[dm_id],tblDataRequirement[dm_phase])</f>
        <v>supply</v>
      </c>
      <c r="C769" s="1">
        <v>71</v>
      </c>
      <c r="D769" s="1">
        <v>192</v>
      </c>
      <c r="G769" s="1"/>
      <c r="H769" s="62" t="str">
        <f>_xlfn.XLOOKUP(tblRequirementMeasureXref[[#This Row],[msr_id]],tblMeasure[msr_id],tblMeasure[msr_table])</f>
        <v>Table 8</v>
      </c>
      <c r="I769" s="22" t="str">
        <f>_xlfn.XLOOKUP(tblRequirementMeasureXref[[#This Row],[msr_id]],tblMeasure[msr_id],tblMeasure[msr_name])</f>
        <v>Long Term Gross Current Expenditure by Support Setting; CASSR Level</v>
      </c>
      <c r="J769" s="22" t="str">
        <f>_xlfn.XLOOKUP(tblRequirementMeasureXref[[#This Row],[msr_id]],tblMeasure[msr_id],tblMeasure[primary_dimensions])</f>
        <v>expenditure</v>
      </c>
      <c r="K769" s="22" t="str">
        <f>_xlfn.XLOOKUP(tblRequirementMeasureXref[[#This Row],[msr_id]],tblMeasure[msr_id],tblMeasure[msr_min_geo_resolution])</f>
        <v>LA</v>
      </c>
      <c r="L769" s="22" t="str">
        <f>_xlfn.XLOOKUP(tblRequirementMeasureXref[[#This Row],[msr_id]],tblMeasure[msr_id],tblMeasure[src_name])</f>
        <v>Personal Social Services: Expenditure and Unit Costs</v>
      </c>
    </row>
    <row r="770" spans="1:12" x14ac:dyDescent="0.15">
      <c r="A770" s="1" t="str">
        <f>_xlfn.XLOOKUP(tblRequirementMeasureXref[[#This Row],[dm_id]],tblDataRequirement[dm_id],tblDataRequirement[domain_sub_requirement])</f>
        <v>Unpaid Carers:Income:Direct payments</v>
      </c>
      <c r="B770" s="1" t="str">
        <f>_xlfn.XLOOKUP(tblRequirementMeasureXref[[#This Row],[dm_id]],tblDataRequirement[dm_id],tblDataRequirement[dm_phase])</f>
        <v>supply</v>
      </c>
      <c r="C770" s="1">
        <v>90</v>
      </c>
      <c r="D770" s="1">
        <v>192</v>
      </c>
      <c r="G770" s="1"/>
      <c r="H770" s="62" t="str">
        <f>_xlfn.XLOOKUP(tblRequirementMeasureXref[[#This Row],[msr_id]],tblMeasure[msr_id],tblMeasure[msr_table])</f>
        <v>Table 8</v>
      </c>
      <c r="I770" s="22" t="str">
        <f>_xlfn.XLOOKUP(tblRequirementMeasureXref[[#This Row],[msr_id]],tblMeasure[msr_id],tblMeasure[msr_name])</f>
        <v>Long Term Gross Current Expenditure by Support Setting; CASSR Level</v>
      </c>
      <c r="J770" s="22" t="str">
        <f>_xlfn.XLOOKUP(tblRequirementMeasureXref[[#This Row],[msr_id]],tblMeasure[msr_id],tblMeasure[primary_dimensions])</f>
        <v>expenditure</v>
      </c>
      <c r="K770" s="22" t="str">
        <f>_xlfn.XLOOKUP(tblRequirementMeasureXref[[#This Row],[msr_id]],tblMeasure[msr_id],tblMeasure[msr_min_geo_resolution])</f>
        <v>LA</v>
      </c>
      <c r="L770" s="22" t="str">
        <f>_xlfn.XLOOKUP(tblRequirementMeasureXref[[#This Row],[msr_id]],tblMeasure[msr_id],tblMeasure[src_name])</f>
        <v>Personal Social Services: Expenditure and Unit Costs</v>
      </c>
    </row>
    <row r="771" spans="1:12" x14ac:dyDescent="0.15">
      <c r="A771" s="1" t="str">
        <f>_xlfn.XLOOKUP(tblRequirementMeasureXref[[#This Row],[dm_id]],tblDataRequirement[dm_id],tblDataRequirement[domain_sub_requirement])</f>
        <v>Service:Support type:Long-term</v>
      </c>
      <c r="B771" s="1" t="str">
        <f>_xlfn.XLOOKUP(tblRequirementMeasureXref[[#This Row],[dm_id]],tblDataRequirement[dm_id],tblDataRequirement[dm_phase])</f>
        <v>operate</v>
      </c>
      <c r="C771" s="1">
        <v>45</v>
      </c>
      <c r="D771" s="1">
        <v>192</v>
      </c>
      <c r="G771" s="1"/>
      <c r="H771" s="62" t="str">
        <f>_xlfn.XLOOKUP(tblRequirementMeasureXref[[#This Row],[msr_id]],tblMeasure[msr_id],tblMeasure[msr_table])</f>
        <v>Table 8</v>
      </c>
      <c r="I771" s="22" t="str">
        <f>_xlfn.XLOOKUP(tblRequirementMeasureXref[[#This Row],[msr_id]],tblMeasure[msr_id],tblMeasure[msr_name])</f>
        <v>Long Term Gross Current Expenditure by Support Setting; CASSR Level</v>
      </c>
      <c r="J771" s="22" t="str">
        <f>_xlfn.XLOOKUP(tblRequirementMeasureXref[[#This Row],[msr_id]],tblMeasure[msr_id],tblMeasure[primary_dimensions])</f>
        <v>expenditure</v>
      </c>
      <c r="K771" s="22" t="str">
        <f>_xlfn.XLOOKUP(tblRequirementMeasureXref[[#This Row],[msr_id]],tblMeasure[msr_id],tblMeasure[msr_min_geo_resolution])</f>
        <v>LA</v>
      </c>
      <c r="L771" s="22" t="str">
        <f>_xlfn.XLOOKUP(tblRequirementMeasureXref[[#This Row],[msr_id]],tblMeasure[msr_id],tblMeasure[src_name])</f>
        <v>Personal Social Services: Expenditure and Unit Costs</v>
      </c>
    </row>
    <row r="772" spans="1:12" x14ac:dyDescent="0.15">
      <c r="A772" s="1" t="str">
        <f>_xlfn.XLOOKUP(tblRequirementMeasureXref[[#This Row],[dm_id]],tblDataRequirement[dm_id],tblDataRequirement[domain_sub_requirement])</f>
        <v>Funders:Expenditure:Local authorities</v>
      </c>
      <c r="B772" s="1" t="str">
        <f>_xlfn.XLOOKUP(tblRequirementMeasureXref[[#This Row],[dm_id]],tblDataRequirement[dm_id],tblDataRequirement[dm_phase])</f>
        <v>supply</v>
      </c>
      <c r="C772" s="1">
        <v>3</v>
      </c>
      <c r="D772" s="1">
        <v>193</v>
      </c>
      <c r="G772" s="1"/>
      <c r="H772" s="62" t="str">
        <f>_xlfn.XLOOKUP(tblRequirementMeasureXref[[#This Row],[msr_id]],tblMeasure[msr_id],tblMeasure[msr_table])</f>
        <v>Table 9</v>
      </c>
      <c r="I772" s="22" t="str">
        <f>_xlfn.XLOOKUP(tblRequirementMeasureXref[[#This Row],[msr_id]],tblMeasure[msr_id],tblMeasure[msr_name])</f>
        <v>Gross Current Expenditure on Short Term Care by Purpose, Age Band and Primary Support Reason; England Level</v>
      </c>
      <c r="J772" s="22" t="str">
        <f>_xlfn.XLOOKUP(tblRequirementMeasureXref[[#This Row],[msr_id]],tblMeasure[msr_id],tblMeasure[primary_dimensions])</f>
        <v>expenditure</v>
      </c>
      <c r="K772" s="22" t="str">
        <f>_xlfn.XLOOKUP(tblRequirementMeasureXref[[#This Row],[msr_id]],tblMeasure[msr_id],tblMeasure[msr_min_geo_resolution])</f>
        <v>England</v>
      </c>
      <c r="L772" s="22" t="str">
        <f>_xlfn.XLOOKUP(tblRequirementMeasureXref[[#This Row],[msr_id]],tblMeasure[msr_id],tblMeasure[src_name])</f>
        <v>Personal Social Services: Expenditure and Unit Costs</v>
      </c>
    </row>
    <row r="773" spans="1:12" x14ac:dyDescent="0.15">
      <c r="A773" s="1" t="str">
        <f>_xlfn.XLOOKUP(tblRequirementMeasureXref[[#This Row],[dm_id]],tblDataRequirement[dm_id],tblDataRequirement[domain_sub_requirement])</f>
        <v>Users:Care need:Support reason</v>
      </c>
      <c r="B773" s="1" t="str">
        <f>_xlfn.XLOOKUP(tblRequirementMeasureXref[[#This Row],[dm_id]],tblDataRequirement[dm_id],tblDataRequirement[dm_phase])</f>
        <v>demand</v>
      </c>
      <c r="C773" s="1">
        <v>56</v>
      </c>
      <c r="D773" s="1">
        <v>193</v>
      </c>
      <c r="G773" s="1"/>
      <c r="H773" s="62" t="str">
        <f>_xlfn.XLOOKUP(tblRequirementMeasureXref[[#This Row],[msr_id]],tblMeasure[msr_id],tblMeasure[msr_table])</f>
        <v>Table 9</v>
      </c>
      <c r="I773" s="22" t="str">
        <f>_xlfn.XLOOKUP(tblRequirementMeasureXref[[#This Row],[msr_id]],tblMeasure[msr_id],tblMeasure[msr_name])</f>
        <v>Gross Current Expenditure on Short Term Care by Purpose, Age Band and Primary Support Reason; England Level</v>
      </c>
      <c r="J773" s="22" t="str">
        <f>_xlfn.XLOOKUP(tblRequirementMeasureXref[[#This Row],[msr_id]],tblMeasure[msr_id],tblMeasure[primary_dimensions])</f>
        <v>expenditure</v>
      </c>
      <c r="K773" s="22" t="str">
        <f>_xlfn.XLOOKUP(tblRequirementMeasureXref[[#This Row],[msr_id]],tblMeasure[msr_id],tblMeasure[msr_min_geo_resolution])</f>
        <v>England</v>
      </c>
      <c r="L773" s="22" t="str">
        <f>_xlfn.XLOOKUP(tblRequirementMeasureXref[[#This Row],[msr_id]],tblMeasure[msr_id],tblMeasure[src_name])</f>
        <v>Personal Social Services: Expenditure and Unit Costs</v>
      </c>
    </row>
    <row r="774" spans="1:12" x14ac:dyDescent="0.15">
      <c r="A774" s="1" t="str">
        <f>_xlfn.XLOOKUP(tblRequirementMeasureXref[[#This Row],[dm_id]],tblDataRequirement[dm_id],tblDataRequirement[domain_sub_requirement])</f>
        <v>Service:Support type:Short-term</v>
      </c>
      <c r="B774" s="1" t="str">
        <f>_xlfn.XLOOKUP(tblRequirementMeasureXref[[#This Row],[dm_id]],tblDataRequirement[dm_id],tblDataRequirement[dm_phase])</f>
        <v>operate</v>
      </c>
      <c r="C774" s="1">
        <v>44</v>
      </c>
      <c r="D774" s="1">
        <v>193</v>
      </c>
      <c r="G774" s="1"/>
      <c r="H774" s="62" t="str">
        <f>_xlfn.XLOOKUP(tblRequirementMeasureXref[[#This Row],[msr_id]],tblMeasure[msr_id],tblMeasure[msr_table])</f>
        <v>Table 9</v>
      </c>
      <c r="I774" s="22" t="str">
        <f>_xlfn.XLOOKUP(tblRequirementMeasureXref[[#This Row],[msr_id]],tblMeasure[msr_id],tblMeasure[msr_name])</f>
        <v>Gross Current Expenditure on Short Term Care by Purpose, Age Band and Primary Support Reason; England Level</v>
      </c>
      <c r="J774" s="22" t="str">
        <f>_xlfn.XLOOKUP(tblRequirementMeasureXref[[#This Row],[msr_id]],tblMeasure[msr_id],tblMeasure[primary_dimensions])</f>
        <v>expenditure</v>
      </c>
      <c r="K774" s="22" t="str">
        <f>_xlfn.XLOOKUP(tblRequirementMeasureXref[[#This Row],[msr_id]],tblMeasure[msr_id],tblMeasure[msr_min_geo_resolution])</f>
        <v>England</v>
      </c>
      <c r="L774" s="22" t="str">
        <f>_xlfn.XLOOKUP(tblRequirementMeasureXref[[#This Row],[msr_id]],tblMeasure[msr_id],tblMeasure[src_name])</f>
        <v>Personal Social Services: Expenditure and Unit Costs</v>
      </c>
    </row>
    <row r="775" spans="1:12" x14ac:dyDescent="0.15">
      <c r="A775" s="1" t="str">
        <f>_xlfn.XLOOKUP(tblRequirementMeasureXref[[#This Row],[dm_id]],tblDataRequirement[dm_id],tblDataRequirement[domain_sub_requirement])</f>
        <v>Service:Support type:Reablement / ST-MAX</v>
      </c>
      <c r="B775" s="1" t="str">
        <f>_xlfn.XLOOKUP(tblRequirementMeasureXref[[#This Row],[dm_id]],tblDataRequirement[dm_id],tblDataRequirement[dm_phase])</f>
        <v>operate</v>
      </c>
      <c r="C775" s="1">
        <v>46</v>
      </c>
      <c r="D775" s="1">
        <v>193</v>
      </c>
      <c r="G775" s="1"/>
      <c r="H775" s="62" t="str">
        <f>_xlfn.XLOOKUP(tblRequirementMeasureXref[[#This Row],[msr_id]],tblMeasure[msr_id],tblMeasure[msr_table])</f>
        <v>Table 9</v>
      </c>
      <c r="I775" s="22" t="str">
        <f>_xlfn.XLOOKUP(tblRequirementMeasureXref[[#This Row],[msr_id]],tblMeasure[msr_id],tblMeasure[msr_name])</f>
        <v>Gross Current Expenditure on Short Term Care by Purpose, Age Band and Primary Support Reason; England Level</v>
      </c>
      <c r="J775" s="22" t="str">
        <f>_xlfn.XLOOKUP(tblRequirementMeasureXref[[#This Row],[msr_id]],tblMeasure[msr_id],tblMeasure[primary_dimensions])</f>
        <v>expenditure</v>
      </c>
      <c r="K775" s="22" t="str">
        <f>_xlfn.XLOOKUP(tblRequirementMeasureXref[[#This Row],[msr_id]],tblMeasure[msr_id],tblMeasure[msr_min_geo_resolution])</f>
        <v>England</v>
      </c>
      <c r="L775" s="22" t="str">
        <f>_xlfn.XLOOKUP(tblRequirementMeasureXref[[#This Row],[msr_id]],tblMeasure[msr_id],tblMeasure[src_name])</f>
        <v>Personal Social Services: Expenditure and Unit Costs</v>
      </c>
    </row>
    <row r="776" spans="1:12" x14ac:dyDescent="0.15">
      <c r="A776" s="1" t="str">
        <f>_xlfn.XLOOKUP(tblRequirementMeasureXref[[#This Row],[dm_id]],tblDataRequirement[dm_id],tblDataRequirement[domain_sub_requirement])</f>
        <v>Funders:Expenditure:Local authorities</v>
      </c>
      <c r="B776" s="1" t="str">
        <f>_xlfn.XLOOKUP(tblRequirementMeasureXref[[#This Row],[dm_id]],tblDataRequirement[dm_id],tblDataRequirement[dm_phase])</f>
        <v>supply</v>
      </c>
      <c r="C776" s="1">
        <v>3</v>
      </c>
      <c r="D776" s="1">
        <v>194</v>
      </c>
      <c r="G776" s="1"/>
      <c r="H776" s="62" t="str">
        <f>_xlfn.XLOOKUP(tblRequirementMeasureXref[[#This Row],[msr_id]],tblMeasure[msr_id],tblMeasure[msr_table])</f>
        <v>Table 10</v>
      </c>
      <c r="I776" s="22" t="str">
        <f>_xlfn.XLOOKUP(tblRequirementMeasureXref[[#This Row],[msr_id]],tblMeasure[msr_id],tblMeasure[msr_name])</f>
        <v>Gross Current Expenditure on Short Term Care by Purpose and Primary Support Reason; CASSR Level</v>
      </c>
      <c r="J776" s="22" t="str">
        <f>_xlfn.XLOOKUP(tblRequirementMeasureXref[[#This Row],[msr_id]],tblMeasure[msr_id],tblMeasure[primary_dimensions])</f>
        <v>expenditure</v>
      </c>
      <c r="K776" s="22" t="str">
        <f>_xlfn.XLOOKUP(tblRequirementMeasureXref[[#This Row],[msr_id]],tblMeasure[msr_id],tblMeasure[msr_min_geo_resolution])</f>
        <v>LA</v>
      </c>
      <c r="L776" s="22" t="str">
        <f>_xlfn.XLOOKUP(tblRequirementMeasureXref[[#This Row],[msr_id]],tblMeasure[msr_id],tblMeasure[src_name])</f>
        <v>Personal Social Services: Expenditure and Unit Costs</v>
      </c>
    </row>
    <row r="777" spans="1:12" x14ac:dyDescent="0.15">
      <c r="A777" s="1" t="str">
        <f>_xlfn.XLOOKUP(tblRequirementMeasureXref[[#This Row],[dm_id]],tblDataRequirement[dm_id],tblDataRequirement[domain_sub_requirement])</f>
        <v>Service:Support type:Short-term</v>
      </c>
      <c r="B777" s="1" t="str">
        <f>_xlfn.XLOOKUP(tblRequirementMeasureXref[[#This Row],[dm_id]],tblDataRequirement[dm_id],tblDataRequirement[dm_phase])</f>
        <v>operate</v>
      </c>
      <c r="C777" s="1">
        <v>44</v>
      </c>
      <c r="D777" s="1">
        <v>194</v>
      </c>
      <c r="G777" s="1"/>
      <c r="H777" s="62" t="str">
        <f>_xlfn.XLOOKUP(tblRequirementMeasureXref[[#This Row],[msr_id]],tblMeasure[msr_id],tblMeasure[msr_table])</f>
        <v>Table 10</v>
      </c>
      <c r="I777" s="22" t="str">
        <f>_xlfn.XLOOKUP(tblRequirementMeasureXref[[#This Row],[msr_id]],tblMeasure[msr_id],tblMeasure[msr_name])</f>
        <v>Gross Current Expenditure on Short Term Care by Purpose and Primary Support Reason; CASSR Level</v>
      </c>
      <c r="J777" s="22" t="str">
        <f>_xlfn.XLOOKUP(tblRequirementMeasureXref[[#This Row],[msr_id]],tblMeasure[msr_id],tblMeasure[primary_dimensions])</f>
        <v>expenditure</v>
      </c>
      <c r="K777" s="22" t="str">
        <f>_xlfn.XLOOKUP(tblRequirementMeasureXref[[#This Row],[msr_id]],tblMeasure[msr_id],tblMeasure[msr_min_geo_resolution])</f>
        <v>LA</v>
      </c>
      <c r="L777" s="22" t="str">
        <f>_xlfn.XLOOKUP(tblRequirementMeasureXref[[#This Row],[msr_id]],tblMeasure[msr_id],tblMeasure[src_name])</f>
        <v>Personal Social Services: Expenditure and Unit Costs</v>
      </c>
    </row>
    <row r="778" spans="1:12" x14ac:dyDescent="0.15">
      <c r="A778" s="1" t="str">
        <f>_xlfn.XLOOKUP(tblRequirementMeasureXref[[#This Row],[dm_id]],tblDataRequirement[dm_id],tblDataRequirement[domain_sub_requirement])</f>
        <v>Service:Support type:Reablement / ST-MAX</v>
      </c>
      <c r="B778" s="1" t="str">
        <f>_xlfn.XLOOKUP(tblRequirementMeasureXref[[#This Row],[dm_id]],tblDataRequirement[dm_id],tblDataRequirement[dm_phase])</f>
        <v>operate</v>
      </c>
      <c r="C778" s="1">
        <v>46</v>
      </c>
      <c r="D778" s="1">
        <v>194</v>
      </c>
      <c r="G778" s="1"/>
      <c r="H778" s="62" t="str">
        <f>_xlfn.XLOOKUP(tblRequirementMeasureXref[[#This Row],[msr_id]],tblMeasure[msr_id],tblMeasure[msr_table])</f>
        <v>Table 10</v>
      </c>
      <c r="I778" s="22" t="str">
        <f>_xlfn.XLOOKUP(tblRequirementMeasureXref[[#This Row],[msr_id]],tblMeasure[msr_id],tblMeasure[msr_name])</f>
        <v>Gross Current Expenditure on Short Term Care by Purpose and Primary Support Reason; CASSR Level</v>
      </c>
      <c r="J778" s="22" t="str">
        <f>_xlfn.XLOOKUP(tblRequirementMeasureXref[[#This Row],[msr_id]],tblMeasure[msr_id],tblMeasure[primary_dimensions])</f>
        <v>expenditure</v>
      </c>
      <c r="K778" s="22" t="str">
        <f>_xlfn.XLOOKUP(tblRequirementMeasureXref[[#This Row],[msr_id]],tblMeasure[msr_id],tblMeasure[msr_min_geo_resolution])</f>
        <v>LA</v>
      </c>
      <c r="L778" s="22" t="str">
        <f>_xlfn.XLOOKUP(tblRequirementMeasureXref[[#This Row],[msr_id]],tblMeasure[msr_id],tblMeasure[src_name])</f>
        <v>Personal Social Services: Expenditure and Unit Costs</v>
      </c>
    </row>
    <row r="779" spans="1:12" x14ac:dyDescent="0.15">
      <c r="A779" s="1" t="str">
        <f>_xlfn.XLOOKUP(tblRequirementMeasureXref[[#This Row],[dm_id]],tblDataRequirement[dm_id],tblDataRequirement[domain_sub_requirement])</f>
        <v>Users:Care need:Support reason</v>
      </c>
      <c r="B779" s="1" t="str">
        <f>_xlfn.XLOOKUP(tblRequirementMeasureXref[[#This Row],[dm_id]],tblDataRequirement[dm_id],tblDataRequirement[dm_phase])</f>
        <v>demand</v>
      </c>
      <c r="C779" s="1">
        <v>56</v>
      </c>
      <c r="D779" s="1">
        <v>194</v>
      </c>
      <c r="G779" s="1"/>
      <c r="H779" s="62" t="str">
        <f>_xlfn.XLOOKUP(tblRequirementMeasureXref[[#This Row],[msr_id]],tblMeasure[msr_id],tblMeasure[msr_table])</f>
        <v>Table 10</v>
      </c>
      <c r="I779" s="22" t="str">
        <f>_xlfn.XLOOKUP(tblRequirementMeasureXref[[#This Row],[msr_id]],tblMeasure[msr_id],tblMeasure[msr_name])</f>
        <v>Gross Current Expenditure on Short Term Care by Purpose and Primary Support Reason; CASSR Level</v>
      </c>
      <c r="J779" s="22" t="str">
        <f>_xlfn.XLOOKUP(tblRequirementMeasureXref[[#This Row],[msr_id]],tblMeasure[msr_id],tblMeasure[primary_dimensions])</f>
        <v>expenditure</v>
      </c>
      <c r="K779" s="22" t="str">
        <f>_xlfn.XLOOKUP(tblRequirementMeasureXref[[#This Row],[msr_id]],tblMeasure[msr_id],tblMeasure[msr_min_geo_resolution])</f>
        <v>LA</v>
      </c>
      <c r="L779" s="22" t="str">
        <f>_xlfn.XLOOKUP(tblRequirementMeasureXref[[#This Row],[msr_id]],tblMeasure[msr_id],tblMeasure[src_name])</f>
        <v>Personal Social Services: Expenditure and Unit Costs</v>
      </c>
    </row>
    <row r="780" spans="1:12" x14ac:dyDescent="0.15">
      <c r="A780" s="1" t="str">
        <f>_xlfn.XLOOKUP(tblRequirementMeasureXref[[#This Row],[dm_id]],tblDataRequirement[dm_id],tblDataRequirement[domain_sub_requirement])</f>
        <v>Funders:Expenditure:Local authorities</v>
      </c>
      <c r="B780" s="1" t="str">
        <f>_xlfn.XLOOKUP(tblRequirementMeasureXref[[#This Row],[dm_id]],tblDataRequirement[dm_id],tblDataRequirement[dm_phase])</f>
        <v>supply</v>
      </c>
      <c r="C780" s="1">
        <v>3</v>
      </c>
      <c r="D780" s="1">
        <v>195</v>
      </c>
      <c r="G780" s="1"/>
      <c r="H780" s="62" t="str">
        <f>_xlfn.XLOOKUP(tblRequirementMeasureXref[[#This Row],[msr_id]],tblMeasure[msr_id],tblMeasure[msr_table])</f>
        <v>Table 11</v>
      </c>
      <c r="I780" s="22" t="str">
        <f>_xlfn.XLOOKUP(tblRequirementMeasureXref[[#This Row],[msr_id]],tblMeasure[msr_id],tblMeasure[msr_name])</f>
        <v>Gross Current Expenditure on Other Social Care costs; CASSR Level</v>
      </c>
      <c r="J780" s="22" t="str">
        <f>_xlfn.XLOOKUP(tblRequirementMeasureXref[[#This Row],[msr_id]],tblMeasure[msr_id],tblMeasure[primary_dimensions])</f>
        <v>expenditure</v>
      </c>
      <c r="K780" s="22" t="str">
        <f>_xlfn.XLOOKUP(tblRequirementMeasureXref[[#This Row],[msr_id]],tblMeasure[msr_id],tblMeasure[msr_min_geo_resolution])</f>
        <v>LA</v>
      </c>
      <c r="L780" s="22" t="str">
        <f>_xlfn.XLOOKUP(tblRequirementMeasureXref[[#This Row],[msr_id]],tblMeasure[msr_id],tblMeasure[src_name])</f>
        <v>Personal Social Services: Expenditure and Unit Costs</v>
      </c>
    </row>
    <row r="781" spans="1:12" x14ac:dyDescent="0.15">
      <c r="A781" s="1" t="str">
        <f>_xlfn.XLOOKUP(tblRequirementMeasureXref[[#This Row],[dm_id]],tblDataRequirement[dm_id],tblDataRequirement[domain_sub_requirement])</f>
        <v>Service:Support type:Other (not ST or LT)</v>
      </c>
      <c r="B781" s="1" t="str">
        <f>_xlfn.XLOOKUP(tblRequirementMeasureXref[[#This Row],[dm_id]],tblDataRequirement[dm_id],tblDataRequirement[dm_phase])</f>
        <v>operate</v>
      </c>
      <c r="C781" s="1">
        <v>68</v>
      </c>
      <c r="D781" s="1">
        <v>195</v>
      </c>
      <c r="G781" s="1"/>
      <c r="H781" s="62" t="str">
        <f>_xlfn.XLOOKUP(tblRequirementMeasureXref[[#This Row],[msr_id]],tblMeasure[msr_id],tblMeasure[msr_table])</f>
        <v>Table 11</v>
      </c>
      <c r="I781" s="22" t="str">
        <f>_xlfn.XLOOKUP(tblRequirementMeasureXref[[#This Row],[msr_id]],tblMeasure[msr_id],tblMeasure[msr_name])</f>
        <v>Gross Current Expenditure on Other Social Care costs; CASSR Level</v>
      </c>
      <c r="J781" s="22" t="str">
        <f>_xlfn.XLOOKUP(tblRequirementMeasureXref[[#This Row],[msr_id]],tblMeasure[msr_id],tblMeasure[primary_dimensions])</f>
        <v>expenditure</v>
      </c>
      <c r="K781" s="22" t="str">
        <f>_xlfn.XLOOKUP(tblRequirementMeasureXref[[#This Row],[msr_id]],tblMeasure[msr_id],tblMeasure[msr_min_geo_resolution])</f>
        <v>LA</v>
      </c>
      <c r="L781" s="22" t="str">
        <f>_xlfn.XLOOKUP(tblRequirementMeasureXref[[#This Row],[msr_id]],tblMeasure[msr_id],tblMeasure[src_name])</f>
        <v>Personal Social Services: Expenditure and Unit Costs</v>
      </c>
    </row>
    <row r="782" spans="1:12" x14ac:dyDescent="0.15">
      <c r="A782" s="1" t="str">
        <f>_xlfn.XLOOKUP(tblRequirementMeasureXref[[#This Row],[dm_id]],tblDataRequirement[dm_id],tblDataRequirement[domain_sub_requirement])</f>
        <v>Providers:Cost:Unit costs</v>
      </c>
      <c r="B782" s="1" t="str">
        <f>_xlfn.XLOOKUP(tblRequirementMeasureXref[[#This Row],[dm_id]],tblDataRequirement[dm_id],tblDataRequirement[dm_phase])</f>
        <v>operate</v>
      </c>
      <c r="C782" s="1">
        <v>14</v>
      </c>
      <c r="D782" s="1">
        <v>197</v>
      </c>
      <c r="G782" s="1"/>
      <c r="H782" s="62" t="str">
        <f>_xlfn.XLOOKUP(tblRequirementMeasureXref[[#This Row],[msr_id]],tblMeasure[msr_id],tblMeasure[msr_table])</f>
        <v>Table 13</v>
      </c>
      <c r="I782" s="22" t="str">
        <f>_xlfn.XLOOKUP(tblRequirementMeasureXref[[#This Row],[msr_id]],tblMeasure[msr_id],tblMeasure[msr_name])</f>
        <v>Total Unit costs1 by Support type and Primary Support Reason; CASSR level</v>
      </c>
      <c r="J782" s="22" t="str">
        <f>_xlfn.XLOOKUP(tblRequirementMeasureXref[[#This Row],[msr_id]],tblMeasure[msr_id],tblMeasure[primary_dimensions])</f>
        <v>unit cost</v>
      </c>
      <c r="K782" s="22" t="str">
        <f>_xlfn.XLOOKUP(tblRequirementMeasureXref[[#This Row],[msr_id]],tblMeasure[msr_id],tblMeasure[msr_min_geo_resolution])</f>
        <v>LA</v>
      </c>
      <c r="L782" s="22" t="str">
        <f>_xlfn.XLOOKUP(tblRequirementMeasureXref[[#This Row],[msr_id]],tblMeasure[msr_id],tblMeasure[src_name])</f>
        <v>Personal Social Services: Expenditure and Unit Costs</v>
      </c>
    </row>
    <row r="783" spans="1:12" x14ac:dyDescent="0.15">
      <c r="A783" s="1" t="str">
        <f>_xlfn.XLOOKUP(tblRequirementMeasureXref[[#This Row],[dm_id]],tblDataRequirement[dm_id],tblDataRequirement[domain_sub_requirement])</f>
        <v>Service:Support type:Long-term</v>
      </c>
      <c r="B783" s="1" t="str">
        <f>_xlfn.XLOOKUP(tblRequirementMeasureXref[[#This Row],[dm_id]],tblDataRequirement[dm_id],tblDataRequirement[dm_phase])</f>
        <v>operate</v>
      </c>
      <c r="C783" s="1">
        <v>45</v>
      </c>
      <c r="D783" s="1">
        <v>197</v>
      </c>
      <c r="G783" s="1"/>
      <c r="H783" s="62" t="str">
        <f>_xlfn.XLOOKUP(tblRequirementMeasureXref[[#This Row],[msr_id]],tblMeasure[msr_id],tblMeasure[msr_table])</f>
        <v>Table 13</v>
      </c>
      <c r="I783" s="22" t="str">
        <f>_xlfn.XLOOKUP(tblRequirementMeasureXref[[#This Row],[msr_id]],tblMeasure[msr_id],tblMeasure[msr_name])</f>
        <v>Total Unit costs1 by Support type and Primary Support Reason; CASSR level</v>
      </c>
      <c r="J783" s="22" t="str">
        <f>_xlfn.XLOOKUP(tblRequirementMeasureXref[[#This Row],[msr_id]],tblMeasure[msr_id],tblMeasure[primary_dimensions])</f>
        <v>unit cost</v>
      </c>
      <c r="K783" s="22" t="str">
        <f>_xlfn.XLOOKUP(tblRequirementMeasureXref[[#This Row],[msr_id]],tblMeasure[msr_id],tblMeasure[msr_min_geo_resolution])</f>
        <v>LA</v>
      </c>
      <c r="L783" s="22" t="str">
        <f>_xlfn.XLOOKUP(tblRequirementMeasureXref[[#This Row],[msr_id]],tblMeasure[msr_id],tblMeasure[src_name])</f>
        <v>Personal Social Services: Expenditure and Unit Costs</v>
      </c>
    </row>
    <row r="784" spans="1:12" x14ac:dyDescent="0.15">
      <c r="A784" s="1" t="str">
        <f>_xlfn.XLOOKUP(tblRequirementMeasureXref[[#This Row],[dm_id]],tblDataRequirement[dm_id],tblDataRequirement[domain_sub_requirement])</f>
        <v>Service:Support type:Reablement / ST-MAX</v>
      </c>
      <c r="B784" s="1" t="str">
        <f>_xlfn.XLOOKUP(tblRequirementMeasureXref[[#This Row],[dm_id]],tblDataRequirement[dm_id],tblDataRequirement[dm_phase])</f>
        <v>operate</v>
      </c>
      <c r="C784" s="1">
        <v>46</v>
      </c>
      <c r="D784" s="1">
        <v>197</v>
      </c>
      <c r="G784" s="1"/>
      <c r="H784" s="62" t="str">
        <f>_xlfn.XLOOKUP(tblRequirementMeasureXref[[#This Row],[msr_id]],tblMeasure[msr_id],tblMeasure[msr_table])</f>
        <v>Table 13</v>
      </c>
      <c r="I784" s="22" t="str">
        <f>_xlfn.XLOOKUP(tblRequirementMeasureXref[[#This Row],[msr_id]],tblMeasure[msr_id],tblMeasure[msr_name])</f>
        <v>Total Unit costs1 by Support type and Primary Support Reason; CASSR level</v>
      </c>
      <c r="J784" s="22" t="str">
        <f>_xlfn.XLOOKUP(tblRequirementMeasureXref[[#This Row],[msr_id]],tblMeasure[msr_id],tblMeasure[primary_dimensions])</f>
        <v>unit cost</v>
      </c>
      <c r="K784" s="22" t="str">
        <f>_xlfn.XLOOKUP(tblRequirementMeasureXref[[#This Row],[msr_id]],tblMeasure[msr_id],tblMeasure[msr_min_geo_resolution])</f>
        <v>LA</v>
      </c>
      <c r="L784" s="22" t="str">
        <f>_xlfn.XLOOKUP(tblRequirementMeasureXref[[#This Row],[msr_id]],tblMeasure[msr_id],tblMeasure[src_name])</f>
        <v>Personal Social Services: Expenditure and Unit Costs</v>
      </c>
    </row>
    <row r="785" spans="1:12" x14ac:dyDescent="0.15">
      <c r="A785" s="1" t="str">
        <f>_xlfn.XLOOKUP(tblRequirementMeasureXref[[#This Row],[dm_id]],tblDataRequirement[dm_id],tblDataRequirement[domain_sub_requirement])</f>
        <v>Users:Care need:Support reason</v>
      </c>
      <c r="B785" s="1" t="str">
        <f>_xlfn.XLOOKUP(tblRequirementMeasureXref[[#This Row],[dm_id]],tblDataRequirement[dm_id],tblDataRequirement[dm_phase])</f>
        <v>demand</v>
      </c>
      <c r="C785" s="1">
        <v>56</v>
      </c>
      <c r="D785" s="1">
        <v>197</v>
      </c>
      <c r="G785" s="1"/>
      <c r="H785" s="62" t="str">
        <f>_xlfn.XLOOKUP(tblRequirementMeasureXref[[#This Row],[msr_id]],tblMeasure[msr_id],tblMeasure[msr_table])</f>
        <v>Table 13</v>
      </c>
      <c r="I785" s="22" t="str">
        <f>_xlfn.XLOOKUP(tblRequirementMeasureXref[[#This Row],[msr_id]],tblMeasure[msr_id],tblMeasure[msr_name])</f>
        <v>Total Unit costs1 by Support type and Primary Support Reason; CASSR level</v>
      </c>
      <c r="J785" s="22" t="str">
        <f>_xlfn.XLOOKUP(tblRequirementMeasureXref[[#This Row],[msr_id]],tblMeasure[msr_id],tblMeasure[primary_dimensions])</f>
        <v>unit cost</v>
      </c>
      <c r="K785" s="22" t="str">
        <f>_xlfn.XLOOKUP(tblRequirementMeasureXref[[#This Row],[msr_id]],tblMeasure[msr_id],tblMeasure[msr_min_geo_resolution])</f>
        <v>LA</v>
      </c>
      <c r="L785" s="22" t="str">
        <f>_xlfn.XLOOKUP(tblRequirementMeasureXref[[#This Row],[msr_id]],tblMeasure[msr_id],tblMeasure[src_name])</f>
        <v>Personal Social Services: Expenditure and Unit Costs</v>
      </c>
    </row>
    <row r="786" spans="1:12" x14ac:dyDescent="0.15">
      <c r="A786" s="1" t="str">
        <f>_xlfn.XLOOKUP(tblRequirementMeasureXref[[#This Row],[dm_id]],tblDataRequirement[dm_id],tblDataRequirement[domain_sub_requirement])</f>
        <v>Service:Support setting:Residential care home</v>
      </c>
      <c r="B786" s="1" t="str">
        <f>_xlfn.XLOOKUP(tblRequirementMeasureXref[[#This Row],[dm_id]],tblDataRequirement[dm_id],tblDataRequirement[dm_phase])</f>
        <v>operate</v>
      </c>
      <c r="C786" s="1">
        <v>41</v>
      </c>
      <c r="D786" s="1">
        <v>197</v>
      </c>
      <c r="G786" s="1"/>
      <c r="H786" s="62" t="str">
        <f>_xlfn.XLOOKUP(tblRequirementMeasureXref[[#This Row],[msr_id]],tblMeasure[msr_id],tblMeasure[msr_table])</f>
        <v>Table 13</v>
      </c>
      <c r="I786" s="22" t="str">
        <f>_xlfn.XLOOKUP(tblRequirementMeasureXref[[#This Row],[msr_id]],tblMeasure[msr_id],tblMeasure[msr_name])</f>
        <v>Total Unit costs1 by Support type and Primary Support Reason; CASSR level</v>
      </c>
      <c r="J786" s="22" t="str">
        <f>_xlfn.XLOOKUP(tblRequirementMeasureXref[[#This Row],[msr_id]],tblMeasure[msr_id],tblMeasure[primary_dimensions])</f>
        <v>unit cost</v>
      </c>
      <c r="K786" s="22" t="str">
        <f>_xlfn.XLOOKUP(tblRequirementMeasureXref[[#This Row],[msr_id]],tblMeasure[msr_id],tblMeasure[msr_min_geo_resolution])</f>
        <v>LA</v>
      </c>
      <c r="L786" s="22" t="str">
        <f>_xlfn.XLOOKUP(tblRequirementMeasureXref[[#This Row],[msr_id]],tblMeasure[msr_id],tblMeasure[src_name])</f>
        <v>Personal Social Services: Expenditure and Unit Costs</v>
      </c>
    </row>
    <row r="787" spans="1:12" x14ac:dyDescent="0.15">
      <c r="A787" s="1" t="str">
        <f>_xlfn.XLOOKUP(tblRequirementMeasureXref[[#This Row],[dm_id]],tblDataRequirement[dm_id],tblDataRequirement[domain_sub_requirement])</f>
        <v>Service:Support setting:Nursing home</v>
      </c>
      <c r="B787" s="1" t="str">
        <f>_xlfn.XLOOKUP(tblRequirementMeasureXref[[#This Row],[dm_id]],tblDataRequirement[dm_id],tblDataRequirement[dm_phase])</f>
        <v>operate</v>
      </c>
      <c r="C787" s="1">
        <v>42</v>
      </c>
      <c r="D787" s="1">
        <v>197</v>
      </c>
      <c r="G787" s="1"/>
      <c r="H787" s="62" t="str">
        <f>_xlfn.XLOOKUP(tblRequirementMeasureXref[[#This Row],[msr_id]],tblMeasure[msr_id],tblMeasure[msr_table])</f>
        <v>Table 13</v>
      </c>
      <c r="I787" s="22" t="str">
        <f>_xlfn.XLOOKUP(tblRequirementMeasureXref[[#This Row],[msr_id]],tblMeasure[msr_id],tblMeasure[msr_name])</f>
        <v>Total Unit costs1 by Support type and Primary Support Reason; CASSR level</v>
      </c>
      <c r="J787" s="22" t="str">
        <f>_xlfn.XLOOKUP(tblRequirementMeasureXref[[#This Row],[msr_id]],tblMeasure[msr_id],tblMeasure[primary_dimensions])</f>
        <v>unit cost</v>
      </c>
      <c r="K787" s="22" t="str">
        <f>_xlfn.XLOOKUP(tblRequirementMeasureXref[[#This Row],[msr_id]],tblMeasure[msr_id],tblMeasure[msr_min_geo_resolution])</f>
        <v>LA</v>
      </c>
      <c r="L787" s="22" t="str">
        <f>_xlfn.XLOOKUP(tblRequirementMeasureXref[[#This Row],[msr_id]],tblMeasure[msr_id],tblMeasure[src_name])</f>
        <v>Personal Social Services: Expenditure and Unit Costs</v>
      </c>
    </row>
    <row r="788" spans="1:12" x14ac:dyDescent="0.15">
      <c r="A788" s="1" t="str">
        <f>_xlfn.XLOOKUP(tblRequirementMeasureXref[[#This Row],[dm_id]],tblDataRequirement[dm_id],tblDataRequirement[domain_sub_requirement])</f>
        <v>Providers:Cost:Unit costs</v>
      </c>
      <c r="B788" s="1" t="str">
        <f>_xlfn.XLOOKUP(tblRequirementMeasureXref[[#This Row],[dm_id]],tblDataRequirement[dm_id],tblDataRequirement[dm_phase])</f>
        <v>operate</v>
      </c>
      <c r="C788" s="1">
        <v>14</v>
      </c>
      <c r="D788" s="1">
        <v>198</v>
      </c>
      <c r="G788" s="1"/>
      <c r="H788" s="62" t="str">
        <f>_xlfn.XLOOKUP(tblRequirementMeasureXref[[#This Row],[msr_id]],tblMeasure[msr_id],tblMeasure[msr_table])</f>
        <v>Table 14</v>
      </c>
      <c r="I788" s="22" t="str">
        <f>_xlfn.XLOOKUP(tblRequirementMeasureXref[[#This Row],[msr_id]],tblMeasure[msr_id],tblMeasure[msr_name])</f>
        <v>Long Term Unit Costs1 by Support Setting and Age Band; CASSR level</v>
      </c>
      <c r="J788" s="22" t="str">
        <f>_xlfn.XLOOKUP(tblRequirementMeasureXref[[#This Row],[msr_id]],tblMeasure[msr_id],tblMeasure[primary_dimensions])</f>
        <v>unit cost</v>
      </c>
      <c r="K788" s="22" t="str">
        <f>_xlfn.XLOOKUP(tblRequirementMeasureXref[[#This Row],[msr_id]],tblMeasure[msr_id],tblMeasure[msr_min_geo_resolution])</f>
        <v>LA</v>
      </c>
      <c r="L788" s="22" t="str">
        <f>_xlfn.XLOOKUP(tblRequirementMeasureXref[[#This Row],[msr_id]],tblMeasure[msr_id],tblMeasure[src_name])</f>
        <v>Personal Social Services: Expenditure and Unit Costs</v>
      </c>
    </row>
    <row r="789" spans="1:12" x14ac:dyDescent="0.15">
      <c r="A789" s="1" t="str">
        <f>_xlfn.XLOOKUP(tblRequirementMeasureXref[[#This Row],[dm_id]],tblDataRequirement[dm_id],tblDataRequirement[domain_sub_requirement])</f>
        <v>Service:Support type:Long-term</v>
      </c>
      <c r="B789" s="1" t="str">
        <f>_xlfn.XLOOKUP(tblRequirementMeasureXref[[#This Row],[dm_id]],tblDataRequirement[dm_id],tblDataRequirement[dm_phase])</f>
        <v>operate</v>
      </c>
      <c r="C789" s="1">
        <v>45</v>
      </c>
      <c r="D789" s="1">
        <v>198</v>
      </c>
      <c r="G789" s="1"/>
      <c r="H789" s="62" t="str">
        <f>_xlfn.XLOOKUP(tblRequirementMeasureXref[[#This Row],[msr_id]],tblMeasure[msr_id],tblMeasure[msr_table])</f>
        <v>Table 14</v>
      </c>
      <c r="I789" s="22" t="str">
        <f>_xlfn.XLOOKUP(tblRequirementMeasureXref[[#This Row],[msr_id]],tblMeasure[msr_id],tblMeasure[msr_name])</f>
        <v>Long Term Unit Costs1 by Support Setting and Age Band; CASSR level</v>
      </c>
      <c r="J789" s="22" t="str">
        <f>_xlfn.XLOOKUP(tblRequirementMeasureXref[[#This Row],[msr_id]],tblMeasure[msr_id],tblMeasure[primary_dimensions])</f>
        <v>unit cost</v>
      </c>
      <c r="K789" s="22" t="str">
        <f>_xlfn.XLOOKUP(tblRequirementMeasureXref[[#This Row],[msr_id]],tblMeasure[msr_id],tblMeasure[msr_min_geo_resolution])</f>
        <v>LA</v>
      </c>
      <c r="L789" s="22" t="str">
        <f>_xlfn.XLOOKUP(tblRequirementMeasureXref[[#This Row],[msr_id]],tblMeasure[msr_id],tblMeasure[src_name])</f>
        <v>Personal Social Services: Expenditure and Unit Costs</v>
      </c>
    </row>
    <row r="790" spans="1:12" x14ac:dyDescent="0.15">
      <c r="A790" s="1" t="str">
        <f>_xlfn.XLOOKUP(tblRequirementMeasureXref[[#This Row],[dm_id]],tblDataRequirement[dm_id],tblDataRequirement[domain_sub_requirement])</f>
        <v>Service:Support setting:Residential care home</v>
      </c>
      <c r="B790" s="1" t="str">
        <f>_xlfn.XLOOKUP(tblRequirementMeasureXref[[#This Row],[dm_id]],tblDataRequirement[dm_id],tblDataRequirement[dm_phase])</f>
        <v>operate</v>
      </c>
      <c r="C790" s="1">
        <v>41</v>
      </c>
      <c r="D790" s="1">
        <v>198</v>
      </c>
      <c r="G790" s="1"/>
      <c r="H790" s="62" t="str">
        <f>_xlfn.XLOOKUP(tblRequirementMeasureXref[[#This Row],[msr_id]],tblMeasure[msr_id],tblMeasure[msr_table])</f>
        <v>Table 14</v>
      </c>
      <c r="I790" s="22" t="str">
        <f>_xlfn.XLOOKUP(tblRequirementMeasureXref[[#This Row],[msr_id]],tblMeasure[msr_id],tblMeasure[msr_name])</f>
        <v>Long Term Unit Costs1 by Support Setting and Age Band; CASSR level</v>
      </c>
      <c r="J790" s="22" t="str">
        <f>_xlfn.XLOOKUP(tblRequirementMeasureXref[[#This Row],[msr_id]],tblMeasure[msr_id],tblMeasure[primary_dimensions])</f>
        <v>unit cost</v>
      </c>
      <c r="K790" s="22" t="str">
        <f>_xlfn.XLOOKUP(tblRequirementMeasureXref[[#This Row],[msr_id]],tblMeasure[msr_id],tblMeasure[msr_min_geo_resolution])</f>
        <v>LA</v>
      </c>
      <c r="L790" s="22" t="str">
        <f>_xlfn.XLOOKUP(tblRequirementMeasureXref[[#This Row],[msr_id]],tblMeasure[msr_id],tblMeasure[src_name])</f>
        <v>Personal Social Services: Expenditure and Unit Costs</v>
      </c>
    </row>
    <row r="791" spans="1:12" x14ac:dyDescent="0.15">
      <c r="A791" s="1" t="str">
        <f>_xlfn.XLOOKUP(tblRequirementMeasureXref[[#This Row],[dm_id]],tblDataRequirement[dm_id],tblDataRequirement[domain_sub_requirement])</f>
        <v>Service:Support setting:Nursing home</v>
      </c>
      <c r="B791" s="1" t="str">
        <f>_xlfn.XLOOKUP(tblRequirementMeasureXref[[#This Row],[dm_id]],tblDataRequirement[dm_id],tblDataRequirement[dm_phase])</f>
        <v>operate</v>
      </c>
      <c r="C791" s="1">
        <v>42</v>
      </c>
      <c r="D791" s="1">
        <v>198</v>
      </c>
      <c r="G791" s="1"/>
      <c r="H791" s="62" t="str">
        <f>_xlfn.XLOOKUP(tblRequirementMeasureXref[[#This Row],[msr_id]],tblMeasure[msr_id],tblMeasure[msr_table])</f>
        <v>Table 14</v>
      </c>
      <c r="I791" s="22" t="str">
        <f>_xlfn.XLOOKUP(tblRequirementMeasureXref[[#This Row],[msr_id]],tblMeasure[msr_id],tblMeasure[msr_name])</f>
        <v>Long Term Unit Costs1 by Support Setting and Age Band; CASSR level</v>
      </c>
      <c r="J791" s="22" t="str">
        <f>_xlfn.XLOOKUP(tblRequirementMeasureXref[[#This Row],[msr_id]],tblMeasure[msr_id],tblMeasure[primary_dimensions])</f>
        <v>unit cost</v>
      </c>
      <c r="K791" s="22" t="str">
        <f>_xlfn.XLOOKUP(tblRequirementMeasureXref[[#This Row],[msr_id]],tblMeasure[msr_id],tblMeasure[msr_min_geo_resolution])</f>
        <v>LA</v>
      </c>
      <c r="L791" s="22" t="str">
        <f>_xlfn.XLOOKUP(tblRequirementMeasureXref[[#This Row],[msr_id]],tblMeasure[msr_id],tblMeasure[src_name])</f>
        <v>Personal Social Services: Expenditure and Unit Costs</v>
      </c>
    </row>
    <row r="792" spans="1:12" x14ac:dyDescent="0.15">
      <c r="A792" s="1" t="str">
        <f>_xlfn.XLOOKUP(tblRequirementMeasureXref[[#This Row],[dm_id]],tblDataRequirement[dm_id],tblDataRequirement[domain_sub_requirement])</f>
        <v>Users:Demographics:Age</v>
      </c>
      <c r="B792" s="1" t="str">
        <f>_xlfn.XLOOKUP(tblRequirementMeasureXref[[#This Row],[dm_id]],tblDataRequirement[dm_id],tblDataRequirement[dm_phase])</f>
        <v>demand</v>
      </c>
      <c r="C792" s="1">
        <v>51</v>
      </c>
      <c r="D792" s="1">
        <v>198</v>
      </c>
      <c r="G792" s="1"/>
      <c r="H792" s="62" t="str">
        <f>_xlfn.XLOOKUP(tblRequirementMeasureXref[[#This Row],[msr_id]],tblMeasure[msr_id],tblMeasure[msr_table])</f>
        <v>Table 14</v>
      </c>
      <c r="I792" s="22" t="str">
        <f>_xlfn.XLOOKUP(tblRequirementMeasureXref[[#This Row],[msr_id]],tblMeasure[msr_id],tblMeasure[msr_name])</f>
        <v>Long Term Unit Costs1 by Support Setting and Age Band; CASSR level</v>
      </c>
      <c r="J792" s="22" t="str">
        <f>_xlfn.XLOOKUP(tblRequirementMeasureXref[[#This Row],[msr_id]],tblMeasure[msr_id],tblMeasure[primary_dimensions])</f>
        <v>unit cost</v>
      </c>
      <c r="K792" s="22" t="str">
        <f>_xlfn.XLOOKUP(tblRequirementMeasureXref[[#This Row],[msr_id]],tblMeasure[msr_id],tblMeasure[msr_min_geo_resolution])</f>
        <v>LA</v>
      </c>
      <c r="L792" s="22" t="str">
        <f>_xlfn.XLOOKUP(tblRequirementMeasureXref[[#This Row],[msr_id]],tblMeasure[msr_id],tblMeasure[src_name])</f>
        <v>Personal Social Services: Expenditure and Unit Costs</v>
      </c>
    </row>
    <row r="793" spans="1:12" x14ac:dyDescent="0.15">
      <c r="A793" s="1" t="str">
        <f>_xlfn.XLOOKUP(tblRequirementMeasureXref[[#This Row],[dm_id]],tblDataRequirement[dm_id],tblDataRequirement[domain_sub_requirement])</f>
        <v>Providers:Cost:Unit costs</v>
      </c>
      <c r="B793" s="1" t="str">
        <f>_xlfn.XLOOKUP(tblRequirementMeasureXref[[#This Row],[dm_id]],tblDataRequirement[dm_id],tblDataRequirement[dm_phase])</f>
        <v>operate</v>
      </c>
      <c r="C793" s="1">
        <v>14</v>
      </c>
      <c r="D793" s="1">
        <v>199</v>
      </c>
      <c r="G793" s="1"/>
      <c r="H793" s="62" t="str">
        <f>_xlfn.XLOOKUP(tblRequirementMeasureXref[[#This Row],[msr_id]],tblMeasure[msr_id],tblMeasure[msr_table])</f>
        <v>Table 15</v>
      </c>
      <c r="I793" s="22" t="str">
        <f>_xlfn.XLOOKUP(tblRequirementMeasureXref[[#This Row],[msr_id]],tblMeasure[msr_id],tblMeasure[msr_name])</f>
        <v>Unit costs1 for Short Term Care to Maximise Independence2 by Age Group; CASSR level</v>
      </c>
      <c r="J793" s="22" t="str">
        <f>_xlfn.XLOOKUP(tblRequirementMeasureXref[[#This Row],[msr_id]],tblMeasure[msr_id],tblMeasure[primary_dimensions])</f>
        <v>unit cost</v>
      </c>
      <c r="K793" s="22" t="str">
        <f>_xlfn.XLOOKUP(tblRequirementMeasureXref[[#This Row],[msr_id]],tblMeasure[msr_id],tblMeasure[msr_min_geo_resolution])</f>
        <v>LA</v>
      </c>
      <c r="L793" s="22" t="str">
        <f>_xlfn.XLOOKUP(tblRequirementMeasureXref[[#This Row],[msr_id]],tblMeasure[msr_id],tblMeasure[src_name])</f>
        <v>Personal Social Services: Expenditure and Unit Costs</v>
      </c>
    </row>
    <row r="794" spans="1:12" x14ac:dyDescent="0.15">
      <c r="A794" s="1" t="str">
        <f>_xlfn.XLOOKUP(tblRequirementMeasureXref[[#This Row],[dm_id]],tblDataRequirement[dm_id],tblDataRequirement[domain_sub_requirement])</f>
        <v>Service:Support type:Reablement / ST-MAX</v>
      </c>
      <c r="B794" s="1" t="str">
        <f>_xlfn.XLOOKUP(tblRequirementMeasureXref[[#This Row],[dm_id]],tblDataRequirement[dm_id],tblDataRequirement[dm_phase])</f>
        <v>operate</v>
      </c>
      <c r="C794" s="1">
        <v>46</v>
      </c>
      <c r="D794" s="1">
        <v>199</v>
      </c>
      <c r="G794" s="1"/>
      <c r="H794" s="62" t="str">
        <f>_xlfn.XLOOKUP(tblRequirementMeasureXref[[#This Row],[msr_id]],tblMeasure[msr_id],tblMeasure[msr_table])</f>
        <v>Table 15</v>
      </c>
      <c r="I794" s="22" t="str">
        <f>_xlfn.XLOOKUP(tblRequirementMeasureXref[[#This Row],[msr_id]],tblMeasure[msr_id],tblMeasure[msr_name])</f>
        <v>Unit costs1 for Short Term Care to Maximise Independence2 by Age Group; CASSR level</v>
      </c>
      <c r="J794" s="22" t="str">
        <f>_xlfn.XLOOKUP(tblRequirementMeasureXref[[#This Row],[msr_id]],tblMeasure[msr_id],tblMeasure[primary_dimensions])</f>
        <v>unit cost</v>
      </c>
      <c r="K794" s="22" t="str">
        <f>_xlfn.XLOOKUP(tblRequirementMeasureXref[[#This Row],[msr_id]],tblMeasure[msr_id],tblMeasure[msr_min_geo_resolution])</f>
        <v>LA</v>
      </c>
      <c r="L794" s="22" t="str">
        <f>_xlfn.XLOOKUP(tblRequirementMeasureXref[[#This Row],[msr_id]],tblMeasure[msr_id],tblMeasure[src_name])</f>
        <v>Personal Social Services: Expenditure and Unit Costs</v>
      </c>
    </row>
    <row r="795" spans="1:12" x14ac:dyDescent="0.15">
      <c r="A795" s="1" t="str">
        <f>_xlfn.XLOOKUP(tblRequirementMeasureXref[[#This Row],[dm_id]],tblDataRequirement[dm_id],tblDataRequirement[domain_sub_requirement])</f>
        <v>Users:Demographics:Age</v>
      </c>
      <c r="B795" s="1" t="str">
        <f>_xlfn.XLOOKUP(tblRequirementMeasureXref[[#This Row],[dm_id]],tblDataRequirement[dm_id],tblDataRequirement[dm_phase])</f>
        <v>demand</v>
      </c>
      <c r="C795" s="1">
        <v>51</v>
      </c>
      <c r="D795" s="1">
        <v>199</v>
      </c>
      <c r="G795" s="1"/>
      <c r="H795" s="62" t="str">
        <f>_xlfn.XLOOKUP(tblRequirementMeasureXref[[#This Row],[msr_id]],tblMeasure[msr_id],tblMeasure[msr_table])</f>
        <v>Table 15</v>
      </c>
      <c r="I795" s="22" t="str">
        <f>_xlfn.XLOOKUP(tblRequirementMeasureXref[[#This Row],[msr_id]],tblMeasure[msr_id],tblMeasure[msr_name])</f>
        <v>Unit costs1 for Short Term Care to Maximise Independence2 by Age Group; CASSR level</v>
      </c>
      <c r="J795" s="22" t="str">
        <f>_xlfn.XLOOKUP(tblRequirementMeasureXref[[#This Row],[msr_id]],tblMeasure[msr_id],tblMeasure[primary_dimensions])</f>
        <v>unit cost</v>
      </c>
      <c r="K795" s="22" t="str">
        <f>_xlfn.XLOOKUP(tblRequirementMeasureXref[[#This Row],[msr_id]],tblMeasure[msr_id],tblMeasure[msr_min_geo_resolution])</f>
        <v>LA</v>
      </c>
      <c r="L795" s="22" t="str">
        <f>_xlfn.XLOOKUP(tblRequirementMeasureXref[[#This Row],[msr_id]],tblMeasure[msr_id],tblMeasure[src_name])</f>
        <v>Personal Social Services: Expenditure and Unit Costs</v>
      </c>
    </row>
    <row r="796" spans="1:12" x14ac:dyDescent="0.15">
      <c r="A796" s="1" t="str">
        <f>_xlfn.XLOOKUP(tblRequirementMeasureXref[[#This Row],[dm_id]],tblDataRequirement[dm_id],tblDataRequirement[domain_sub_requirement])</f>
        <v>Providers:Cost:Unit costs</v>
      </c>
      <c r="B796" s="1" t="str">
        <f>_xlfn.XLOOKUP(tblRequirementMeasureXref[[#This Row],[dm_id]],tblDataRequirement[dm_id],tblDataRequirement[dm_phase])</f>
        <v>operate</v>
      </c>
      <c r="C796" s="1">
        <v>14</v>
      </c>
      <c r="D796" s="1">
        <v>200</v>
      </c>
      <c r="G796" s="1"/>
      <c r="H796" s="62" t="str">
        <f>_xlfn.XLOOKUP(tblRequirementMeasureXref[[#This Row],[msr_id]],tblMeasure[msr_id],tblMeasure[msr_table])</f>
        <v>Table 16</v>
      </c>
      <c r="I796" s="22" t="str">
        <f>_xlfn.XLOOKUP(tblRequirementMeasureXref[[#This Row],[msr_id]],tblMeasure[msr_id],tblMeasure[msr_name])</f>
        <v>Hourly rates for Home Care by External1 and Internal2 Provision; CASSR level</v>
      </c>
      <c r="J796" s="22" t="str">
        <f>_xlfn.XLOOKUP(tblRequirementMeasureXref[[#This Row],[msr_id]],tblMeasure[msr_id],tblMeasure[primary_dimensions])</f>
        <v>hourly rate</v>
      </c>
      <c r="K796" s="22" t="str">
        <f>_xlfn.XLOOKUP(tblRequirementMeasureXref[[#This Row],[msr_id]],tblMeasure[msr_id],tblMeasure[msr_min_geo_resolution])</f>
        <v>LA</v>
      </c>
      <c r="L796" s="22" t="str">
        <f>_xlfn.XLOOKUP(tblRequirementMeasureXref[[#This Row],[msr_id]],tblMeasure[msr_id],tblMeasure[src_name])</f>
        <v>Personal Social Services: Expenditure and Unit Costs</v>
      </c>
    </row>
    <row r="797" spans="1:12" x14ac:dyDescent="0.15">
      <c r="A797" s="1" t="str">
        <f>_xlfn.XLOOKUP(tblRequirementMeasureXref[[#This Row],[dm_id]],tblDataRequirement[dm_id],tblDataRequirement[domain_sub_requirement])</f>
        <v>Service:Support setting:Home</v>
      </c>
      <c r="B797" s="1" t="str">
        <f>_xlfn.XLOOKUP(tblRequirementMeasureXref[[#This Row],[dm_id]],tblDataRequirement[dm_id],tblDataRequirement[dm_phase])</f>
        <v>operate</v>
      </c>
      <c r="C797" s="1">
        <v>40</v>
      </c>
      <c r="D797" s="1">
        <v>200</v>
      </c>
      <c r="G797" s="1"/>
      <c r="H797" s="62" t="str">
        <f>_xlfn.XLOOKUP(tblRequirementMeasureXref[[#This Row],[msr_id]],tblMeasure[msr_id],tblMeasure[msr_table])</f>
        <v>Table 16</v>
      </c>
      <c r="I797" s="22" t="str">
        <f>_xlfn.XLOOKUP(tblRequirementMeasureXref[[#This Row],[msr_id]],tblMeasure[msr_id],tblMeasure[msr_name])</f>
        <v>Hourly rates for Home Care by External1 and Internal2 Provision; CASSR level</v>
      </c>
      <c r="J797" s="22" t="str">
        <f>_xlfn.XLOOKUP(tblRequirementMeasureXref[[#This Row],[msr_id]],tblMeasure[msr_id],tblMeasure[primary_dimensions])</f>
        <v>hourly rate</v>
      </c>
      <c r="K797" s="22" t="str">
        <f>_xlfn.XLOOKUP(tblRequirementMeasureXref[[#This Row],[msr_id]],tblMeasure[msr_id],tblMeasure[msr_min_geo_resolution])</f>
        <v>LA</v>
      </c>
      <c r="L797" s="22" t="str">
        <f>_xlfn.XLOOKUP(tblRequirementMeasureXref[[#This Row],[msr_id]],tblMeasure[msr_id],tblMeasure[src_name])</f>
        <v>Personal Social Services: Expenditure and Unit Costs</v>
      </c>
    </row>
    <row r="798" spans="1:12" x14ac:dyDescent="0.15">
      <c r="A798" s="1" t="str">
        <f>_xlfn.XLOOKUP(tblRequirementMeasureXref[[#This Row],[dm_id]],tblDataRequirement[dm_id],tblDataRequirement[domain_sub_requirement])</f>
        <v>Providers:Type:Organisations</v>
      </c>
      <c r="B798" s="1" t="str">
        <f>_xlfn.XLOOKUP(tblRequirementMeasureXref[[#This Row],[dm_id]],tblDataRequirement[dm_id],tblDataRequirement[dm_phase])</f>
        <v>operate</v>
      </c>
      <c r="C798" s="1">
        <v>60</v>
      </c>
      <c r="D798" s="1">
        <v>200</v>
      </c>
      <c r="G798" s="1"/>
      <c r="H798" s="62" t="str">
        <f>_xlfn.XLOOKUP(tblRequirementMeasureXref[[#This Row],[msr_id]],tblMeasure[msr_id],tblMeasure[msr_table])</f>
        <v>Table 16</v>
      </c>
      <c r="I798" s="22" t="str">
        <f>_xlfn.XLOOKUP(tblRequirementMeasureXref[[#This Row],[msr_id]],tblMeasure[msr_id],tblMeasure[msr_name])</f>
        <v>Hourly rates for Home Care by External1 and Internal2 Provision; CASSR level</v>
      </c>
      <c r="J798" s="22" t="str">
        <f>_xlfn.XLOOKUP(tblRequirementMeasureXref[[#This Row],[msr_id]],tblMeasure[msr_id],tblMeasure[primary_dimensions])</f>
        <v>hourly rate</v>
      </c>
      <c r="K798" s="22" t="str">
        <f>_xlfn.XLOOKUP(tblRequirementMeasureXref[[#This Row],[msr_id]],tblMeasure[msr_id],tblMeasure[msr_min_geo_resolution])</f>
        <v>LA</v>
      </c>
      <c r="L798" s="22" t="str">
        <f>_xlfn.XLOOKUP(tblRequirementMeasureXref[[#This Row],[msr_id]],tblMeasure[msr_id],tblMeasure[src_name])</f>
        <v>Personal Social Services: Expenditure and Unit Costs</v>
      </c>
    </row>
    <row r="799" spans="1:12" x14ac:dyDescent="0.15">
      <c r="A799" s="1" t="str">
        <f>_xlfn.XLOOKUP(tblRequirementMeasureXref[[#This Row],[dm_id]],tblDataRequirement[dm_id],tblDataRequirement[domain_sub_requirement])</f>
        <v>Providers:Workforce:Filled jobs</v>
      </c>
      <c r="B799" s="1" t="str">
        <f>_xlfn.XLOOKUP(tblRequirementMeasureXref[[#This Row],[dm_id]],tblDataRequirement[dm_id],tblDataRequirement[dm_phase])</f>
        <v>supply</v>
      </c>
      <c r="C799" s="1">
        <v>10</v>
      </c>
      <c r="D799" s="1">
        <v>202</v>
      </c>
      <c r="G799" s="1"/>
      <c r="H799" s="62" t="str">
        <f>_xlfn.XLOOKUP(tblRequirementMeasureXref[[#This Row],[msr_id]],tblMeasure[msr_id],tblMeasure[msr_table])</f>
        <v>Table 1</v>
      </c>
      <c r="I799" s="22" t="str">
        <f>_xlfn.XLOOKUP(tblRequirementMeasureXref[[#This Row],[msr_id]],tblMeasure[msr_id],tblMeasure[msr_name])</f>
        <v>Number of adult social services jobs, whole time equivalent (WTE) jobs and headcount</v>
      </c>
      <c r="J799" s="22" t="str">
        <f>_xlfn.XLOOKUP(tblRequirementMeasureXref[[#This Row],[msr_id]],tblMeasure[msr_id],tblMeasure[primary_dimensions])</f>
        <v>jobs, headcount</v>
      </c>
      <c r="K799" s="22" t="str">
        <f>_xlfn.XLOOKUP(tblRequirementMeasureXref[[#This Row],[msr_id]],tblMeasure[msr_id],tblMeasure[msr_min_geo_resolution])</f>
        <v>England</v>
      </c>
      <c r="L799" s="22" t="str">
        <f>_xlfn.XLOOKUP(tblRequirementMeasureXref[[#This Row],[msr_id]],tblMeasure[msr_id],tblMeasure[src_name])</f>
        <v>Personal Social Services: Staff of Social Services Departments</v>
      </c>
    </row>
    <row r="800" spans="1:12" x14ac:dyDescent="0.15">
      <c r="A800" s="1" t="str">
        <f>_xlfn.XLOOKUP(tblRequirementMeasureXref[[#This Row],[dm_id]],tblDataRequirement[dm_id],tblDataRequirement[domain_sub_requirement])</f>
        <v>Providers:Workforce:Filled jobs</v>
      </c>
      <c r="B800" s="1" t="str">
        <f>_xlfn.XLOOKUP(tblRequirementMeasureXref[[#This Row],[dm_id]],tblDataRequirement[dm_id],tblDataRequirement[dm_phase])</f>
        <v>supply</v>
      </c>
      <c r="C800" s="1">
        <v>10</v>
      </c>
      <c r="D800" s="1">
        <v>203</v>
      </c>
      <c r="G800" s="1"/>
      <c r="H800" s="62" t="str">
        <f>_xlfn.XLOOKUP(tblRequirementMeasureXref[[#This Row],[msr_id]],tblMeasure[msr_id],tblMeasure[msr_table])</f>
        <v>Table 2</v>
      </c>
      <c r="I800" s="22" t="str">
        <f>_xlfn.XLOOKUP(tblRequirementMeasureXref[[#This Row],[msr_id]],tblMeasure[msr_id],tblMeasure[msr_name])</f>
        <v>Number of adult social services jobs by main service group and job role group</v>
      </c>
      <c r="J800" s="22" t="str">
        <f>_xlfn.XLOOKUP(tblRequirementMeasureXref[[#This Row],[msr_id]],tblMeasure[msr_id],tblMeasure[primary_dimensions])</f>
        <v>jobs, role group</v>
      </c>
      <c r="K800" s="22" t="str">
        <f>_xlfn.XLOOKUP(tblRequirementMeasureXref[[#This Row],[msr_id]],tblMeasure[msr_id],tblMeasure[msr_min_geo_resolution])</f>
        <v>LA</v>
      </c>
      <c r="L800" s="22" t="str">
        <f>_xlfn.XLOOKUP(tblRequirementMeasureXref[[#This Row],[msr_id]],tblMeasure[msr_id],tblMeasure[src_name])</f>
        <v>Personal Social Services: Staff of Social Services Departments</v>
      </c>
    </row>
    <row r="801" spans="1:12" x14ac:dyDescent="0.15">
      <c r="A801" s="1" t="str">
        <f>_xlfn.XLOOKUP(tblRequirementMeasureXref[[#This Row],[dm_id]],tblDataRequirement[dm_id],tblDataRequirement[domain_sub_requirement])</f>
        <v>Providers:Workforce:Filled jobs</v>
      </c>
      <c r="B801" s="1" t="str">
        <f>_xlfn.XLOOKUP(tblRequirementMeasureXref[[#This Row],[dm_id]],tblDataRequirement[dm_id],tblDataRequirement[dm_phase])</f>
        <v>supply</v>
      </c>
      <c r="C801" s="1">
        <v>10</v>
      </c>
      <c r="D801" s="1">
        <v>204</v>
      </c>
      <c r="G801" s="1"/>
      <c r="H801" s="62" t="str">
        <f>_xlfn.XLOOKUP(tblRequirementMeasureXref[[#This Row],[msr_id]],tblMeasure[msr_id],tblMeasure[msr_table])</f>
        <v>Table 3</v>
      </c>
      <c r="I801" s="22" t="str">
        <f>_xlfn.XLOOKUP(tblRequirementMeasureXref[[#This Row],[msr_id]],tblMeasure[msr_id],tblMeasure[msr_name])</f>
        <v>Number of employees, starters and leavers by job role group</v>
      </c>
      <c r="J801" s="22" t="str">
        <f>_xlfn.XLOOKUP(tblRequirementMeasureXref[[#This Row],[msr_id]],tblMeasure[msr_id],tblMeasure[primary_dimensions])</f>
        <v>employees, starters, leavers, role group</v>
      </c>
      <c r="K801" s="22" t="str">
        <f>_xlfn.XLOOKUP(tblRequirementMeasureXref[[#This Row],[msr_id]],tblMeasure[msr_id],tblMeasure[msr_min_geo_resolution])</f>
        <v>LA</v>
      </c>
      <c r="L801" s="22" t="str">
        <f>_xlfn.XLOOKUP(tblRequirementMeasureXref[[#This Row],[msr_id]],tblMeasure[msr_id],tblMeasure[src_name])</f>
        <v>Personal Social Services: Staff of Social Services Departments</v>
      </c>
    </row>
    <row r="802" spans="1:12" x14ac:dyDescent="0.15">
      <c r="A802" s="1" t="str">
        <f>_xlfn.XLOOKUP(tblRequirementMeasureXref[[#This Row],[dm_id]],tblDataRequirement[dm_id],tblDataRequirement[domain_sub_requirement])</f>
        <v>Providers:Workforce:Retention/turnover</v>
      </c>
      <c r="B802" s="1" t="str">
        <f>_xlfn.XLOOKUP(tblRequirementMeasureXref[[#This Row],[dm_id]],tblDataRequirement[dm_id],tblDataRequirement[dm_phase])</f>
        <v>operate</v>
      </c>
      <c r="C802" s="1">
        <v>12</v>
      </c>
      <c r="D802" s="1">
        <v>204</v>
      </c>
      <c r="G802" s="1"/>
      <c r="H802" s="62" t="str">
        <f>_xlfn.XLOOKUP(tblRequirementMeasureXref[[#This Row],[msr_id]],tblMeasure[msr_id],tblMeasure[msr_table])</f>
        <v>Table 3</v>
      </c>
      <c r="I802" s="22" t="str">
        <f>_xlfn.XLOOKUP(tblRequirementMeasureXref[[#This Row],[msr_id]],tblMeasure[msr_id],tblMeasure[msr_name])</f>
        <v>Number of employees, starters and leavers by job role group</v>
      </c>
      <c r="J802" s="22" t="str">
        <f>_xlfn.XLOOKUP(tblRequirementMeasureXref[[#This Row],[msr_id]],tblMeasure[msr_id],tblMeasure[primary_dimensions])</f>
        <v>employees, starters, leavers, role group</v>
      </c>
      <c r="K802" s="22" t="str">
        <f>_xlfn.XLOOKUP(tblRequirementMeasureXref[[#This Row],[msr_id]],tblMeasure[msr_id],tblMeasure[msr_min_geo_resolution])</f>
        <v>LA</v>
      </c>
      <c r="L802" s="22" t="str">
        <f>_xlfn.XLOOKUP(tblRequirementMeasureXref[[#This Row],[msr_id]],tblMeasure[msr_id],tblMeasure[src_name])</f>
        <v>Personal Social Services: Staff of Social Services Departments</v>
      </c>
    </row>
    <row r="803" spans="1:12" x14ac:dyDescent="0.15">
      <c r="A803" s="1" t="str">
        <f>_xlfn.XLOOKUP(tblRequirementMeasureXref[[#This Row],[dm_id]],tblDataRequirement[dm_id],tblDataRequirement[domain_sub_requirement])</f>
        <v>Providers:Workforce:Filled jobs</v>
      </c>
      <c r="B803" s="1" t="str">
        <f>_xlfn.XLOOKUP(tblRequirementMeasureXref[[#This Row],[dm_id]],tblDataRequirement[dm_id],tblDataRequirement[dm_phase])</f>
        <v>supply</v>
      </c>
      <c r="C803" s="1">
        <v>10</v>
      </c>
      <c r="D803" s="1">
        <v>205</v>
      </c>
      <c r="G803" s="1"/>
      <c r="H803" s="62" t="str">
        <f>_xlfn.XLOOKUP(tblRequirementMeasureXref[[#This Row],[msr_id]],tblMeasure[msr_id],tblMeasure[msr_table])</f>
        <v>Table 4</v>
      </c>
      <c r="I803" s="22" t="str">
        <f>_xlfn.XLOOKUP(tblRequirementMeasureXref[[#This Row],[msr_id]],tblMeasure[msr_id],tblMeasure[msr_name])</f>
        <v>Number of employees and vacancies by job role group</v>
      </c>
      <c r="J803" s="22" t="str">
        <f>_xlfn.XLOOKUP(tblRequirementMeasureXref[[#This Row],[msr_id]],tblMeasure[msr_id],tblMeasure[primary_dimensions])</f>
        <v>employees, vacancies, role group</v>
      </c>
      <c r="K803" s="22" t="str">
        <f>_xlfn.XLOOKUP(tblRequirementMeasureXref[[#This Row],[msr_id]],tblMeasure[msr_id],tblMeasure[msr_min_geo_resolution])</f>
        <v>LA</v>
      </c>
      <c r="L803" s="22" t="str">
        <f>_xlfn.XLOOKUP(tblRequirementMeasureXref[[#This Row],[msr_id]],tblMeasure[msr_id],tblMeasure[src_name])</f>
        <v>Personal Social Services: Staff of Social Services Departments</v>
      </c>
    </row>
    <row r="804" spans="1:12" x14ac:dyDescent="0.15">
      <c r="A804" s="1" t="str">
        <f>_xlfn.XLOOKUP(tblRequirementMeasureXref[[#This Row],[dm_id]],tblDataRequirement[dm_id],tblDataRequirement[domain_sub_requirement])</f>
        <v>Providers:Workforce:Vacancies</v>
      </c>
      <c r="B804" s="1" t="str">
        <f>_xlfn.XLOOKUP(tblRequirementMeasureXref[[#This Row],[dm_id]],tblDataRequirement[dm_id],tblDataRequirement[dm_phase])</f>
        <v>supply</v>
      </c>
      <c r="C804" s="1">
        <v>11</v>
      </c>
      <c r="D804" s="1">
        <v>205</v>
      </c>
      <c r="G804" s="1"/>
      <c r="H804" s="62" t="str">
        <f>_xlfn.XLOOKUP(tblRequirementMeasureXref[[#This Row],[msr_id]],tblMeasure[msr_id],tblMeasure[msr_table])</f>
        <v>Table 4</v>
      </c>
      <c r="I804" s="22" t="str">
        <f>_xlfn.XLOOKUP(tblRequirementMeasureXref[[#This Row],[msr_id]],tblMeasure[msr_id],tblMeasure[msr_name])</f>
        <v>Number of employees and vacancies by job role group</v>
      </c>
      <c r="J804" s="22" t="str">
        <f>_xlfn.XLOOKUP(tblRequirementMeasureXref[[#This Row],[msr_id]],tblMeasure[msr_id],tblMeasure[primary_dimensions])</f>
        <v>employees, vacancies, role group</v>
      </c>
      <c r="K804" s="22" t="str">
        <f>_xlfn.XLOOKUP(tblRequirementMeasureXref[[#This Row],[msr_id]],tblMeasure[msr_id],tblMeasure[msr_min_geo_resolution])</f>
        <v>LA</v>
      </c>
      <c r="L804" s="22" t="str">
        <f>_xlfn.XLOOKUP(tblRequirementMeasureXref[[#This Row],[msr_id]],tblMeasure[msr_id],tblMeasure[src_name])</f>
        <v>Personal Social Services: Staff of Social Services Departments</v>
      </c>
    </row>
    <row r="805" spans="1:12" x14ac:dyDescent="0.15">
      <c r="A805" s="1" t="str">
        <f>_xlfn.XLOOKUP(tblRequirementMeasureXref[[#This Row],[dm_id]],tblDataRequirement[dm_id],tblDataRequirement[domain_sub_requirement])</f>
        <v>Providers:Workforce:Filled jobs</v>
      </c>
      <c r="B805" s="1" t="str">
        <f>_xlfn.XLOOKUP(tblRequirementMeasureXref[[#This Row],[dm_id]],tblDataRequirement[dm_id],tblDataRequirement[dm_phase])</f>
        <v>supply</v>
      </c>
      <c r="C805" s="1">
        <v>10</v>
      </c>
      <c r="D805" s="1">
        <v>206</v>
      </c>
      <c r="G805" s="1"/>
      <c r="H805" s="62" t="str">
        <f>_xlfn.XLOOKUP(tblRequirementMeasureXref[[#This Row],[msr_id]],tblMeasure[msr_id],tblMeasure[msr_table])</f>
        <v>Table 5</v>
      </c>
      <c r="I805" s="22" t="str">
        <f>_xlfn.XLOOKUP(tblRequirementMeasureXref[[#This Row],[msr_id]],tblMeasure[msr_id],tblMeasure[msr_name])</f>
        <v>Number of adult social services jobs by job role group and employment status</v>
      </c>
      <c r="J805" s="22" t="str">
        <f>_xlfn.XLOOKUP(tblRequirementMeasureXref[[#This Row],[msr_id]],tblMeasure[msr_id],tblMeasure[primary_dimensions])</f>
        <v>jobs, employment status, role group</v>
      </c>
      <c r="K805" s="22" t="str">
        <f>_xlfn.XLOOKUP(tblRequirementMeasureXref[[#This Row],[msr_id]],tblMeasure[msr_id],tblMeasure[msr_min_geo_resolution])</f>
        <v>England</v>
      </c>
      <c r="L805" s="22" t="str">
        <f>_xlfn.XLOOKUP(tblRequirementMeasureXref[[#This Row],[msr_id]],tblMeasure[msr_id],tblMeasure[src_name])</f>
        <v>Personal Social Services: Staff of Social Services Departments</v>
      </c>
    </row>
    <row r="806" spans="1:12" x14ac:dyDescent="0.15">
      <c r="A806" s="1" t="str">
        <f>_xlfn.XLOOKUP(tblRequirementMeasureXref[[#This Row],[dm_id]],tblDataRequirement[dm_id],tblDataRequirement[domain_sub_requirement])</f>
        <v>Workforce:Type:Employment Status</v>
      </c>
      <c r="B806" s="1" t="str">
        <f>_xlfn.XLOOKUP(tblRequirementMeasureXref[[#This Row],[dm_id]],tblDataRequirement[dm_id],tblDataRequirement[dm_phase])</f>
        <v>operate</v>
      </c>
      <c r="C806" s="1">
        <v>18</v>
      </c>
      <c r="D806" s="1">
        <v>206</v>
      </c>
      <c r="G806" s="1"/>
      <c r="H806" s="62" t="str">
        <f>_xlfn.XLOOKUP(tblRequirementMeasureXref[[#This Row],[msr_id]],tblMeasure[msr_id],tblMeasure[msr_table])</f>
        <v>Table 5</v>
      </c>
      <c r="I806" s="22" t="str">
        <f>_xlfn.XLOOKUP(tblRequirementMeasureXref[[#This Row],[msr_id]],tblMeasure[msr_id],tblMeasure[msr_name])</f>
        <v>Number of adult social services jobs by job role group and employment status</v>
      </c>
      <c r="J806" s="22" t="str">
        <f>_xlfn.XLOOKUP(tblRequirementMeasureXref[[#This Row],[msr_id]],tblMeasure[msr_id],tblMeasure[primary_dimensions])</f>
        <v>jobs, employment status, role group</v>
      </c>
      <c r="K806" s="22" t="str">
        <f>_xlfn.XLOOKUP(tblRequirementMeasureXref[[#This Row],[msr_id]],tblMeasure[msr_id],tblMeasure[msr_min_geo_resolution])</f>
        <v>England</v>
      </c>
      <c r="L806" s="22" t="str">
        <f>_xlfn.XLOOKUP(tblRequirementMeasureXref[[#This Row],[msr_id]],tblMeasure[msr_id],tblMeasure[src_name])</f>
        <v>Personal Social Services: Staff of Social Services Departments</v>
      </c>
    </row>
    <row r="807" spans="1:12" x14ac:dyDescent="0.15">
      <c r="A807" s="1" t="str">
        <f>_xlfn.XLOOKUP(tblRequirementMeasureXref[[#This Row],[dm_id]],tblDataRequirement[dm_id],tblDataRequirement[domain_sub_requirement])</f>
        <v>Providers:Workforce:Filled jobs</v>
      </c>
      <c r="B807" s="1" t="str">
        <f>_xlfn.XLOOKUP(tblRequirementMeasureXref[[#This Row],[dm_id]],tblDataRequirement[dm_id],tblDataRequirement[dm_phase])</f>
        <v>supply</v>
      </c>
      <c r="C807" s="1">
        <v>10</v>
      </c>
      <c r="D807" s="1">
        <v>207</v>
      </c>
      <c r="G807" s="1"/>
      <c r="H807" s="62" t="str">
        <f>_xlfn.XLOOKUP(tblRequirementMeasureXref[[#This Row],[msr_id]],tblMeasure[msr_id],tblMeasure[msr_table])</f>
        <v>Table 6</v>
      </c>
      <c r="I807" s="22" t="str">
        <f>_xlfn.XLOOKUP(tblRequirementMeasureXref[[#This Row],[msr_id]],tblMeasure[msr_id],tblMeasure[msr_name])</f>
        <v>Number of adult social services jobs by main service group and employment status</v>
      </c>
      <c r="J807" s="22" t="str">
        <f>_xlfn.XLOOKUP(tblRequirementMeasureXref[[#This Row],[msr_id]],tblMeasure[msr_id],tblMeasure[primary_dimensions])</f>
        <v>jobs, employment status</v>
      </c>
      <c r="K807" s="22" t="str">
        <f>_xlfn.XLOOKUP(tblRequirementMeasureXref[[#This Row],[msr_id]],tblMeasure[msr_id],tblMeasure[msr_min_geo_resolution])</f>
        <v>England</v>
      </c>
      <c r="L807" s="22" t="str">
        <f>_xlfn.XLOOKUP(tblRequirementMeasureXref[[#This Row],[msr_id]],tblMeasure[msr_id],tblMeasure[src_name])</f>
        <v>Personal Social Services: Staff of Social Services Departments</v>
      </c>
    </row>
    <row r="808" spans="1:12" x14ac:dyDescent="0.15">
      <c r="A808" s="1" t="str">
        <f>_xlfn.XLOOKUP(tblRequirementMeasureXref[[#This Row],[dm_id]],tblDataRequirement[dm_id],tblDataRequirement[domain_sub_requirement])</f>
        <v>Workforce:Type:Employment Status</v>
      </c>
      <c r="B808" s="1" t="str">
        <f>_xlfn.XLOOKUP(tblRequirementMeasureXref[[#This Row],[dm_id]],tblDataRequirement[dm_id],tblDataRequirement[dm_phase])</f>
        <v>operate</v>
      </c>
      <c r="C808" s="1">
        <v>18</v>
      </c>
      <c r="D808" s="1">
        <v>207</v>
      </c>
      <c r="G808" s="1"/>
      <c r="H808" s="62" t="str">
        <f>_xlfn.XLOOKUP(tblRequirementMeasureXref[[#This Row],[msr_id]],tblMeasure[msr_id],tblMeasure[msr_table])</f>
        <v>Table 6</v>
      </c>
      <c r="I808" s="22" t="str">
        <f>_xlfn.XLOOKUP(tblRequirementMeasureXref[[#This Row],[msr_id]],tblMeasure[msr_id],tblMeasure[msr_name])</f>
        <v>Number of adult social services jobs by main service group and employment status</v>
      </c>
      <c r="J808" s="22" t="str">
        <f>_xlfn.XLOOKUP(tblRequirementMeasureXref[[#This Row],[msr_id]],tblMeasure[msr_id],tblMeasure[primary_dimensions])</f>
        <v>jobs, employment status</v>
      </c>
      <c r="K808" s="22" t="str">
        <f>_xlfn.XLOOKUP(tblRequirementMeasureXref[[#This Row],[msr_id]],tblMeasure[msr_id],tblMeasure[msr_min_geo_resolution])</f>
        <v>England</v>
      </c>
      <c r="L808" s="22" t="str">
        <f>_xlfn.XLOOKUP(tblRequirementMeasureXref[[#This Row],[msr_id]],tblMeasure[msr_id],tblMeasure[src_name])</f>
        <v>Personal Social Services: Staff of Social Services Departments</v>
      </c>
    </row>
    <row r="809" spans="1:12" x14ac:dyDescent="0.15">
      <c r="A809" s="1" t="str">
        <f>_xlfn.XLOOKUP(tblRequirementMeasureXref[[#This Row],[dm_id]],tblDataRequirement[dm_id],tblDataRequirement[domain_sub_requirement])</f>
        <v>Service:Support setting:Residential care home</v>
      </c>
      <c r="B809" s="1" t="str">
        <f>_xlfn.XLOOKUP(tblRequirementMeasureXref[[#This Row],[dm_id]],tblDataRequirement[dm_id],tblDataRequirement[dm_phase])</f>
        <v>operate</v>
      </c>
      <c r="C809" s="1">
        <v>41</v>
      </c>
      <c r="D809" s="1">
        <v>207</v>
      </c>
      <c r="G809" s="1"/>
      <c r="H809" s="62" t="str">
        <f>_xlfn.XLOOKUP(tblRequirementMeasureXref[[#This Row],[msr_id]],tblMeasure[msr_id],tblMeasure[msr_table])</f>
        <v>Table 6</v>
      </c>
      <c r="I809" s="22" t="str">
        <f>_xlfn.XLOOKUP(tblRequirementMeasureXref[[#This Row],[msr_id]],tblMeasure[msr_id],tblMeasure[msr_name])</f>
        <v>Number of adult social services jobs by main service group and employment status</v>
      </c>
      <c r="J809" s="22" t="str">
        <f>_xlfn.XLOOKUP(tblRequirementMeasureXref[[#This Row],[msr_id]],tblMeasure[msr_id],tblMeasure[primary_dimensions])</f>
        <v>jobs, employment status</v>
      </c>
      <c r="K809" s="22" t="str">
        <f>_xlfn.XLOOKUP(tblRequirementMeasureXref[[#This Row],[msr_id]],tblMeasure[msr_id],tblMeasure[msr_min_geo_resolution])</f>
        <v>England</v>
      </c>
      <c r="L809" s="22" t="str">
        <f>_xlfn.XLOOKUP(tblRequirementMeasureXref[[#This Row],[msr_id]],tblMeasure[msr_id],tblMeasure[src_name])</f>
        <v>Personal Social Services: Staff of Social Services Departments</v>
      </c>
    </row>
    <row r="810" spans="1:12" x14ac:dyDescent="0.15">
      <c r="A810" s="1" t="str">
        <f>_xlfn.XLOOKUP(tblRequirementMeasureXref[[#This Row],[dm_id]],tblDataRequirement[dm_id],tblDataRequirement[domain_sub_requirement])</f>
        <v>Service:Support setting:Nursing home</v>
      </c>
      <c r="B810" s="1" t="str">
        <f>_xlfn.XLOOKUP(tblRequirementMeasureXref[[#This Row],[dm_id]],tblDataRequirement[dm_id],tblDataRequirement[dm_phase])</f>
        <v>operate</v>
      </c>
      <c r="C810" s="1">
        <v>42</v>
      </c>
      <c r="D810" s="1">
        <v>207</v>
      </c>
      <c r="G810" s="1"/>
      <c r="H810" s="62" t="str">
        <f>_xlfn.XLOOKUP(tblRequirementMeasureXref[[#This Row],[msr_id]],tblMeasure[msr_id],tblMeasure[msr_table])</f>
        <v>Table 6</v>
      </c>
      <c r="I810" s="22" t="str">
        <f>_xlfn.XLOOKUP(tblRequirementMeasureXref[[#This Row],[msr_id]],tblMeasure[msr_id],tblMeasure[msr_name])</f>
        <v>Number of adult social services jobs by main service group and employment status</v>
      </c>
      <c r="J810" s="22" t="str">
        <f>_xlfn.XLOOKUP(tblRequirementMeasureXref[[#This Row],[msr_id]],tblMeasure[msr_id],tblMeasure[primary_dimensions])</f>
        <v>jobs, employment status</v>
      </c>
      <c r="K810" s="22" t="str">
        <f>_xlfn.XLOOKUP(tblRequirementMeasureXref[[#This Row],[msr_id]],tblMeasure[msr_id],tblMeasure[msr_min_geo_resolution])</f>
        <v>England</v>
      </c>
      <c r="L810" s="22" t="str">
        <f>_xlfn.XLOOKUP(tblRequirementMeasureXref[[#This Row],[msr_id]],tblMeasure[msr_id],tblMeasure[src_name])</f>
        <v>Personal Social Services: Staff of Social Services Departments</v>
      </c>
    </row>
    <row r="811" spans="1:12" x14ac:dyDescent="0.15">
      <c r="A811" s="1" t="str">
        <f>_xlfn.XLOOKUP(tblRequirementMeasureXref[[#This Row],[dm_id]],tblDataRequirement[dm_id],tblDataRequirement[domain_sub_requirement])</f>
        <v>Service:Support setting:Community</v>
      </c>
      <c r="B811" s="1" t="str">
        <f>_xlfn.XLOOKUP(tblRequirementMeasureXref[[#This Row],[dm_id]],tblDataRequirement[dm_id],tblDataRequirement[dm_phase])</f>
        <v>operate</v>
      </c>
      <c r="C811" s="1">
        <v>43</v>
      </c>
      <c r="D811" s="1">
        <v>207</v>
      </c>
      <c r="G811" s="1"/>
      <c r="H811" s="62" t="str">
        <f>_xlfn.XLOOKUP(tblRequirementMeasureXref[[#This Row],[msr_id]],tblMeasure[msr_id],tblMeasure[msr_table])</f>
        <v>Table 6</v>
      </c>
      <c r="I811" s="22" t="str">
        <f>_xlfn.XLOOKUP(tblRequirementMeasureXref[[#This Row],[msr_id]],tblMeasure[msr_id],tblMeasure[msr_name])</f>
        <v>Number of adult social services jobs by main service group and employment status</v>
      </c>
      <c r="J811" s="22" t="str">
        <f>_xlfn.XLOOKUP(tblRequirementMeasureXref[[#This Row],[msr_id]],tblMeasure[msr_id],tblMeasure[primary_dimensions])</f>
        <v>jobs, employment status</v>
      </c>
      <c r="K811" s="22" t="str">
        <f>_xlfn.XLOOKUP(tblRequirementMeasureXref[[#This Row],[msr_id]],tblMeasure[msr_id],tblMeasure[msr_min_geo_resolution])</f>
        <v>England</v>
      </c>
      <c r="L811" s="22" t="str">
        <f>_xlfn.XLOOKUP(tblRequirementMeasureXref[[#This Row],[msr_id]],tblMeasure[msr_id],tblMeasure[src_name])</f>
        <v>Personal Social Services: Staff of Social Services Departments</v>
      </c>
    </row>
    <row r="812" spans="1:12" x14ac:dyDescent="0.15">
      <c r="A812" s="1" t="str">
        <f>_xlfn.XLOOKUP(tblRequirementMeasureXref[[#This Row],[dm_id]],tblDataRequirement[dm_id],tblDataRequirement[domain_sub_requirement])</f>
        <v>Service:Support setting:Residential care home</v>
      </c>
      <c r="B812" s="1" t="str">
        <f>_xlfn.XLOOKUP(tblRequirementMeasureXref[[#This Row],[dm_id]],tblDataRequirement[dm_id],tblDataRequirement[dm_phase])</f>
        <v>operate</v>
      </c>
      <c r="C812" s="1">
        <v>41</v>
      </c>
      <c r="D812" s="1">
        <v>208</v>
      </c>
      <c r="G812" s="1"/>
      <c r="H812" s="62" t="str">
        <f>_xlfn.XLOOKUP(tblRequirementMeasureXref[[#This Row],[msr_id]],tblMeasure[msr_id],tblMeasure[msr_table])</f>
        <v>Table 7</v>
      </c>
      <c r="I812" s="22" t="str">
        <f>_xlfn.XLOOKUP(tblRequirementMeasureXref[[#This Row],[msr_id]],tblMeasure[msr_id],tblMeasure[msr_name])</f>
        <v>Number of establishments / teams with capacity, the capacity of services and the utilisation of services</v>
      </c>
      <c r="J812" s="22" t="str">
        <f>_xlfn.XLOOKUP(tblRequirementMeasureXref[[#This Row],[msr_id]],tblMeasure[msr_id],tblMeasure[primary_dimensions])</f>
        <v>establishments/teams, capacity, utilisation</v>
      </c>
      <c r="K812" s="22" t="str">
        <f>_xlfn.XLOOKUP(tblRequirementMeasureXref[[#This Row],[msr_id]],tblMeasure[msr_id],tblMeasure[msr_min_geo_resolution])</f>
        <v>LA</v>
      </c>
      <c r="L812" s="22" t="str">
        <f>_xlfn.XLOOKUP(tblRequirementMeasureXref[[#This Row],[msr_id]],tblMeasure[msr_id],tblMeasure[src_name])</f>
        <v>Personal Social Services: Staff of Social Services Departments</v>
      </c>
    </row>
    <row r="813" spans="1:12" x14ac:dyDescent="0.15">
      <c r="A813" s="1" t="str">
        <f>_xlfn.XLOOKUP(tblRequirementMeasureXref[[#This Row],[dm_id]],tblDataRequirement[dm_id],tblDataRequirement[domain_sub_requirement])</f>
        <v>Service:Support setting:Nursing home</v>
      </c>
      <c r="B813" s="1" t="str">
        <f>_xlfn.XLOOKUP(tblRequirementMeasureXref[[#This Row],[dm_id]],tblDataRequirement[dm_id],tblDataRequirement[dm_phase])</f>
        <v>operate</v>
      </c>
      <c r="C813" s="1">
        <v>42</v>
      </c>
      <c r="D813" s="1">
        <v>208</v>
      </c>
      <c r="G813" s="1"/>
      <c r="H813" s="62" t="str">
        <f>_xlfn.XLOOKUP(tblRequirementMeasureXref[[#This Row],[msr_id]],tblMeasure[msr_id],tblMeasure[msr_table])</f>
        <v>Table 7</v>
      </c>
      <c r="I813" s="22" t="str">
        <f>_xlfn.XLOOKUP(tblRequirementMeasureXref[[#This Row],[msr_id]],tblMeasure[msr_id],tblMeasure[msr_name])</f>
        <v>Number of establishments / teams with capacity, the capacity of services and the utilisation of services</v>
      </c>
      <c r="J813" s="22" t="str">
        <f>_xlfn.XLOOKUP(tblRequirementMeasureXref[[#This Row],[msr_id]],tblMeasure[msr_id],tblMeasure[primary_dimensions])</f>
        <v>establishments/teams, capacity, utilisation</v>
      </c>
      <c r="K813" s="22" t="str">
        <f>_xlfn.XLOOKUP(tblRequirementMeasureXref[[#This Row],[msr_id]],tblMeasure[msr_id],tblMeasure[msr_min_geo_resolution])</f>
        <v>LA</v>
      </c>
      <c r="L813" s="22" t="str">
        <f>_xlfn.XLOOKUP(tblRequirementMeasureXref[[#This Row],[msr_id]],tblMeasure[msr_id],tblMeasure[src_name])</f>
        <v>Personal Social Services: Staff of Social Services Departments</v>
      </c>
    </row>
    <row r="814" spans="1:12" x14ac:dyDescent="0.15">
      <c r="A814" s="1" t="str">
        <f>_xlfn.XLOOKUP(tblRequirementMeasureXref[[#This Row],[dm_id]],tblDataRequirement[dm_id],tblDataRequirement[domain_sub_requirement])</f>
        <v>Service:Support setting:Community</v>
      </c>
      <c r="B814" s="1" t="str">
        <f>_xlfn.XLOOKUP(tblRequirementMeasureXref[[#This Row],[dm_id]],tblDataRequirement[dm_id],tblDataRequirement[dm_phase])</f>
        <v>operate</v>
      </c>
      <c r="C814" s="1">
        <v>43</v>
      </c>
      <c r="D814" s="1">
        <v>208</v>
      </c>
      <c r="G814" s="1"/>
      <c r="H814" s="62" t="str">
        <f>_xlfn.XLOOKUP(tblRequirementMeasureXref[[#This Row],[msr_id]],tblMeasure[msr_id],tblMeasure[msr_table])</f>
        <v>Table 7</v>
      </c>
      <c r="I814" s="22" t="str">
        <f>_xlfn.XLOOKUP(tblRequirementMeasureXref[[#This Row],[msr_id]],tblMeasure[msr_id],tblMeasure[msr_name])</f>
        <v>Number of establishments / teams with capacity, the capacity of services and the utilisation of services</v>
      </c>
      <c r="J814" s="22" t="str">
        <f>_xlfn.XLOOKUP(tblRequirementMeasureXref[[#This Row],[msr_id]],tblMeasure[msr_id],tblMeasure[primary_dimensions])</f>
        <v>establishments/teams, capacity, utilisation</v>
      </c>
      <c r="K814" s="22" t="str">
        <f>_xlfn.XLOOKUP(tblRequirementMeasureXref[[#This Row],[msr_id]],tblMeasure[msr_id],tblMeasure[msr_min_geo_resolution])</f>
        <v>LA</v>
      </c>
      <c r="L814" s="22" t="str">
        <f>_xlfn.XLOOKUP(tblRequirementMeasureXref[[#This Row],[msr_id]],tblMeasure[msr_id],tblMeasure[src_name])</f>
        <v>Personal Social Services: Staff of Social Services Departments</v>
      </c>
    </row>
    <row r="815" spans="1:12" x14ac:dyDescent="0.15">
      <c r="A815" s="1" t="str">
        <f>_xlfn.XLOOKUP(tblRequirementMeasureXref[[#This Row],[dm_id]],tblDataRequirement[dm_id],tblDataRequirement[domain_sub_requirement])</f>
        <v>Providers:Type:Capacity</v>
      </c>
      <c r="B815" s="1" t="str">
        <f>_xlfn.XLOOKUP(tblRequirementMeasureXref[[#This Row],[dm_id]],tblDataRequirement[dm_id],tblDataRequirement[dm_phase])</f>
        <v>supply</v>
      </c>
      <c r="C815" s="1">
        <v>96</v>
      </c>
      <c r="D815" s="1">
        <v>208</v>
      </c>
      <c r="G815" s="1"/>
      <c r="H815" s="62" t="str">
        <f>_xlfn.XLOOKUP(tblRequirementMeasureXref[[#This Row],[msr_id]],tblMeasure[msr_id],tblMeasure[msr_table])</f>
        <v>Table 7</v>
      </c>
      <c r="I815" s="22" t="str">
        <f>_xlfn.XLOOKUP(tblRequirementMeasureXref[[#This Row],[msr_id]],tblMeasure[msr_id],tblMeasure[msr_name])</f>
        <v>Number of establishments / teams with capacity, the capacity of services and the utilisation of services</v>
      </c>
      <c r="J815" s="22" t="str">
        <f>_xlfn.XLOOKUP(tblRequirementMeasureXref[[#This Row],[msr_id]],tblMeasure[msr_id],tblMeasure[primary_dimensions])</f>
        <v>establishments/teams, capacity, utilisation</v>
      </c>
      <c r="K815" s="22" t="str">
        <f>_xlfn.XLOOKUP(tblRequirementMeasureXref[[#This Row],[msr_id]],tblMeasure[msr_id],tblMeasure[msr_min_geo_resolution])</f>
        <v>LA</v>
      </c>
      <c r="L815" s="22" t="str">
        <f>_xlfn.XLOOKUP(tblRequirementMeasureXref[[#This Row],[msr_id]],tblMeasure[msr_id],tblMeasure[src_name])</f>
        <v>Personal Social Services: Staff of Social Services Departments</v>
      </c>
    </row>
    <row r="816" spans="1:12" x14ac:dyDescent="0.15">
      <c r="A816" s="1" t="str">
        <f>_xlfn.XLOOKUP(tblRequirementMeasureXref[[#This Row],[dm_id]],tblDataRequirement[dm_id],tblDataRequirement[domain_sub_requirement])</f>
        <v>Providers:Workforce:Filled jobs</v>
      </c>
      <c r="B816" s="1" t="str">
        <f>_xlfn.XLOOKUP(tblRequirementMeasureXref[[#This Row],[dm_id]],tblDataRequirement[dm_id],tblDataRequirement[dm_phase])</f>
        <v>supply</v>
      </c>
      <c r="C816" s="1">
        <v>10</v>
      </c>
      <c r="D816" s="1">
        <v>209</v>
      </c>
      <c r="G816" s="1"/>
      <c r="H816" s="62" t="str">
        <f>_xlfn.XLOOKUP(tblRequirementMeasureXref[[#This Row],[msr_id]],tblMeasure[msr_id],tblMeasure[msr_table])</f>
        <v>Table 8</v>
      </c>
      <c r="I816" s="22" t="str">
        <f>_xlfn.XLOOKUP(tblRequirementMeasureXref[[#This Row],[msr_id]],tblMeasure[msr_id],tblMeasure[msr_name])</f>
        <v>Number of adult social services jobs by gender and job role</v>
      </c>
      <c r="J816" s="22" t="str">
        <f>_xlfn.XLOOKUP(tblRequirementMeasureXref[[#This Row],[msr_id]],tblMeasure[msr_id],tblMeasure[primary_dimensions])</f>
        <v>jobs, gender, role</v>
      </c>
      <c r="K816" s="22" t="str">
        <f>_xlfn.XLOOKUP(tblRequirementMeasureXref[[#This Row],[msr_id]],tblMeasure[msr_id],tblMeasure[msr_min_geo_resolution])</f>
        <v>England</v>
      </c>
      <c r="L816" s="22" t="str">
        <f>_xlfn.XLOOKUP(tblRequirementMeasureXref[[#This Row],[msr_id]],tblMeasure[msr_id],tblMeasure[src_name])</f>
        <v>Personal Social Services: Staff of Social Services Departments</v>
      </c>
    </row>
    <row r="817" spans="1:12" x14ac:dyDescent="0.15">
      <c r="A817" s="1" t="str">
        <f>_xlfn.XLOOKUP(tblRequirementMeasureXref[[#This Row],[dm_id]],tblDataRequirement[dm_id],tblDataRequirement[domain_sub_requirement])</f>
        <v>Workforce:Demographics:Gender</v>
      </c>
      <c r="B817" s="1" t="str">
        <f>_xlfn.XLOOKUP(tblRequirementMeasureXref[[#This Row],[dm_id]],tblDataRequirement[dm_id],tblDataRequirement[dm_phase])</f>
        <v>supply</v>
      </c>
      <c r="C817" s="1">
        <v>65</v>
      </c>
      <c r="D817" s="1">
        <v>209</v>
      </c>
      <c r="G817" s="1"/>
      <c r="H817" s="62" t="str">
        <f>_xlfn.XLOOKUP(tblRequirementMeasureXref[[#This Row],[msr_id]],tblMeasure[msr_id],tblMeasure[msr_table])</f>
        <v>Table 8</v>
      </c>
      <c r="I817" s="22" t="str">
        <f>_xlfn.XLOOKUP(tblRequirementMeasureXref[[#This Row],[msr_id]],tblMeasure[msr_id],tblMeasure[msr_name])</f>
        <v>Number of adult social services jobs by gender and job role</v>
      </c>
      <c r="J817" s="22" t="str">
        <f>_xlfn.XLOOKUP(tblRequirementMeasureXref[[#This Row],[msr_id]],tblMeasure[msr_id],tblMeasure[primary_dimensions])</f>
        <v>jobs, gender, role</v>
      </c>
      <c r="K817" s="22" t="str">
        <f>_xlfn.XLOOKUP(tblRequirementMeasureXref[[#This Row],[msr_id]],tblMeasure[msr_id],tblMeasure[msr_min_geo_resolution])</f>
        <v>England</v>
      </c>
      <c r="L817" s="22" t="str">
        <f>_xlfn.XLOOKUP(tblRequirementMeasureXref[[#This Row],[msr_id]],tblMeasure[msr_id],tblMeasure[src_name])</f>
        <v>Personal Social Services: Staff of Social Services Departments</v>
      </c>
    </row>
    <row r="818" spans="1:12" x14ac:dyDescent="0.15">
      <c r="A818" s="1" t="str">
        <f>_xlfn.XLOOKUP(tblRequirementMeasureXref[[#This Row],[dm_id]],tblDataRequirement[dm_id],tblDataRequirement[domain_sub_requirement])</f>
        <v>Providers:Workforce:Filled jobs</v>
      </c>
      <c r="B818" s="1" t="str">
        <f>_xlfn.XLOOKUP(tblRequirementMeasureXref[[#This Row],[dm_id]],tblDataRequirement[dm_id],tblDataRequirement[dm_phase])</f>
        <v>supply</v>
      </c>
      <c r="C818" s="1">
        <v>10</v>
      </c>
      <c r="D818" s="1">
        <v>210</v>
      </c>
      <c r="G818" s="1"/>
      <c r="H818" s="62" t="str">
        <f>_xlfn.XLOOKUP(tblRequirementMeasureXref[[#This Row],[msr_id]],tblMeasure[msr_id],tblMeasure[msr_table])</f>
        <v>Table 9</v>
      </c>
      <c r="I818" s="22" t="str">
        <f>_xlfn.XLOOKUP(tblRequirementMeasureXref[[#This Row],[msr_id]],tblMeasure[msr_id],tblMeasure[msr_name])</f>
        <v>Number of adult social services jobs by gender and age group</v>
      </c>
      <c r="J818" s="22" t="str">
        <f>_xlfn.XLOOKUP(tblRequirementMeasureXref[[#This Row],[msr_id]],tblMeasure[msr_id],tblMeasure[primary_dimensions])</f>
        <v>jobs, gender, age group</v>
      </c>
      <c r="K818" s="22" t="str">
        <f>_xlfn.XLOOKUP(tblRequirementMeasureXref[[#This Row],[msr_id]],tblMeasure[msr_id],tblMeasure[msr_min_geo_resolution])</f>
        <v>England</v>
      </c>
      <c r="L818" s="22" t="str">
        <f>_xlfn.XLOOKUP(tblRequirementMeasureXref[[#This Row],[msr_id]],tblMeasure[msr_id],tblMeasure[src_name])</f>
        <v>Personal Social Services: Staff of Social Services Departments</v>
      </c>
    </row>
    <row r="819" spans="1:12" x14ac:dyDescent="0.15">
      <c r="A819" s="1" t="str">
        <f>_xlfn.XLOOKUP(tblRequirementMeasureXref[[#This Row],[dm_id]],tblDataRequirement[dm_id],tblDataRequirement[domain_sub_requirement])</f>
        <v>Workforce:Demographics:Gender</v>
      </c>
      <c r="B819" s="1" t="str">
        <f>_xlfn.XLOOKUP(tblRequirementMeasureXref[[#This Row],[dm_id]],tblDataRequirement[dm_id],tblDataRequirement[dm_phase])</f>
        <v>supply</v>
      </c>
      <c r="C819" s="1">
        <v>65</v>
      </c>
      <c r="D819" s="1">
        <v>210</v>
      </c>
      <c r="G819" s="1"/>
      <c r="H819" s="62" t="str">
        <f>_xlfn.XLOOKUP(tblRequirementMeasureXref[[#This Row],[msr_id]],tblMeasure[msr_id],tblMeasure[msr_table])</f>
        <v>Table 9</v>
      </c>
      <c r="I819" s="22" t="str">
        <f>_xlfn.XLOOKUP(tblRequirementMeasureXref[[#This Row],[msr_id]],tblMeasure[msr_id],tblMeasure[msr_name])</f>
        <v>Number of adult social services jobs by gender and age group</v>
      </c>
      <c r="J819" s="22" t="str">
        <f>_xlfn.XLOOKUP(tblRequirementMeasureXref[[#This Row],[msr_id]],tblMeasure[msr_id],tblMeasure[primary_dimensions])</f>
        <v>jobs, gender, age group</v>
      </c>
      <c r="K819" s="22" t="str">
        <f>_xlfn.XLOOKUP(tblRequirementMeasureXref[[#This Row],[msr_id]],tblMeasure[msr_id],tblMeasure[msr_min_geo_resolution])</f>
        <v>England</v>
      </c>
      <c r="L819" s="22" t="str">
        <f>_xlfn.XLOOKUP(tblRequirementMeasureXref[[#This Row],[msr_id]],tblMeasure[msr_id],tblMeasure[src_name])</f>
        <v>Personal Social Services: Staff of Social Services Departments</v>
      </c>
    </row>
    <row r="820" spans="1:12" x14ac:dyDescent="0.15">
      <c r="A820" s="1" t="str">
        <f>_xlfn.XLOOKUP(tblRequirementMeasureXref[[#This Row],[dm_id]],tblDataRequirement[dm_id],tblDataRequirement[domain_sub_requirement])</f>
        <v>Workforce:Demographics:Age</v>
      </c>
      <c r="B820" s="1" t="str">
        <f>_xlfn.XLOOKUP(tblRequirementMeasureXref[[#This Row],[dm_id]],tblDataRequirement[dm_id],tblDataRequirement[dm_phase])</f>
        <v>supply</v>
      </c>
      <c r="C820" s="1">
        <v>17</v>
      </c>
      <c r="D820" s="1">
        <v>210</v>
      </c>
      <c r="G820" s="1"/>
      <c r="H820" s="62" t="str">
        <f>_xlfn.XLOOKUP(tblRequirementMeasureXref[[#This Row],[msr_id]],tblMeasure[msr_id],tblMeasure[msr_table])</f>
        <v>Table 9</v>
      </c>
      <c r="I820" s="22" t="str">
        <f>_xlfn.XLOOKUP(tblRequirementMeasureXref[[#This Row],[msr_id]],tblMeasure[msr_id],tblMeasure[msr_name])</f>
        <v>Number of adult social services jobs by gender and age group</v>
      </c>
      <c r="J820" s="22" t="str">
        <f>_xlfn.XLOOKUP(tblRequirementMeasureXref[[#This Row],[msr_id]],tblMeasure[msr_id],tblMeasure[primary_dimensions])</f>
        <v>jobs, gender, age group</v>
      </c>
      <c r="K820" s="22" t="str">
        <f>_xlfn.XLOOKUP(tblRequirementMeasureXref[[#This Row],[msr_id]],tblMeasure[msr_id],tblMeasure[msr_min_geo_resolution])</f>
        <v>England</v>
      </c>
      <c r="L820" s="22" t="str">
        <f>_xlfn.XLOOKUP(tblRequirementMeasureXref[[#This Row],[msr_id]],tblMeasure[msr_id],tblMeasure[src_name])</f>
        <v>Personal Social Services: Staff of Social Services Departments</v>
      </c>
    </row>
    <row r="821" spans="1:12" x14ac:dyDescent="0.15">
      <c r="A821" s="1" t="str">
        <f>_xlfn.XLOOKUP(tblRequirementMeasureXref[[#This Row],[dm_id]],tblDataRequirement[dm_id],tblDataRequirement[domain_sub_requirement])</f>
        <v>Providers:Workforce:Filled jobs</v>
      </c>
      <c r="B821" s="1" t="str">
        <f>_xlfn.XLOOKUP(tblRequirementMeasureXref[[#This Row],[dm_id]],tblDataRequirement[dm_id],tblDataRequirement[dm_phase])</f>
        <v>supply</v>
      </c>
      <c r="C821" s="1">
        <v>10</v>
      </c>
      <c r="D821" s="1">
        <v>211</v>
      </c>
      <c r="G821" s="1"/>
      <c r="H821" s="62" t="str">
        <f>_xlfn.XLOOKUP(tblRequirementMeasureXref[[#This Row],[msr_id]],tblMeasure[msr_id],tblMeasure[msr_table])</f>
        <v>Table 10</v>
      </c>
      <c r="I821" s="22" t="str">
        <f>_xlfn.XLOOKUP(tblRequirementMeasureXref[[#This Row],[msr_id]],tblMeasure[msr_id],tblMeasure[msr_name])</f>
        <v>Number of adult social services jobs by job role group and gender</v>
      </c>
      <c r="J821" s="22" t="str">
        <f>_xlfn.XLOOKUP(tblRequirementMeasureXref[[#This Row],[msr_id]],tblMeasure[msr_id],tblMeasure[primary_dimensions])</f>
        <v>jobs, gender, role group</v>
      </c>
      <c r="K821" s="22" t="str">
        <f>_xlfn.XLOOKUP(tblRequirementMeasureXref[[#This Row],[msr_id]],tblMeasure[msr_id],tblMeasure[msr_min_geo_resolution])</f>
        <v>LA</v>
      </c>
      <c r="L821" s="22" t="str">
        <f>_xlfn.XLOOKUP(tblRequirementMeasureXref[[#This Row],[msr_id]],tblMeasure[msr_id],tblMeasure[src_name])</f>
        <v>Personal Social Services: Staff of Social Services Departments</v>
      </c>
    </row>
    <row r="822" spans="1:12" x14ac:dyDescent="0.15">
      <c r="A822" s="1" t="str">
        <f>_xlfn.XLOOKUP(tblRequirementMeasureXref[[#This Row],[dm_id]],tblDataRequirement[dm_id],tblDataRequirement[domain_sub_requirement])</f>
        <v>Workforce:Demographics:Gender</v>
      </c>
      <c r="B822" s="1" t="str">
        <f>_xlfn.XLOOKUP(tblRequirementMeasureXref[[#This Row],[dm_id]],tblDataRequirement[dm_id],tblDataRequirement[dm_phase])</f>
        <v>supply</v>
      </c>
      <c r="C822" s="1">
        <v>65</v>
      </c>
      <c r="D822" s="1">
        <v>211</v>
      </c>
      <c r="G822" s="1"/>
      <c r="H822" s="62" t="str">
        <f>_xlfn.XLOOKUP(tblRequirementMeasureXref[[#This Row],[msr_id]],tblMeasure[msr_id],tblMeasure[msr_table])</f>
        <v>Table 10</v>
      </c>
      <c r="I822" s="22" t="str">
        <f>_xlfn.XLOOKUP(tblRequirementMeasureXref[[#This Row],[msr_id]],tblMeasure[msr_id],tblMeasure[msr_name])</f>
        <v>Number of adult social services jobs by job role group and gender</v>
      </c>
      <c r="J822" s="22" t="str">
        <f>_xlfn.XLOOKUP(tblRequirementMeasureXref[[#This Row],[msr_id]],tblMeasure[msr_id],tblMeasure[primary_dimensions])</f>
        <v>jobs, gender, role group</v>
      </c>
      <c r="K822" s="22" t="str">
        <f>_xlfn.XLOOKUP(tblRequirementMeasureXref[[#This Row],[msr_id]],tblMeasure[msr_id],tblMeasure[msr_min_geo_resolution])</f>
        <v>LA</v>
      </c>
      <c r="L822" s="22" t="str">
        <f>_xlfn.XLOOKUP(tblRequirementMeasureXref[[#This Row],[msr_id]],tblMeasure[msr_id],tblMeasure[src_name])</f>
        <v>Personal Social Services: Staff of Social Services Departments</v>
      </c>
    </row>
    <row r="823" spans="1:12" x14ac:dyDescent="0.15">
      <c r="A823" s="1" t="str">
        <f>_xlfn.XLOOKUP(tblRequirementMeasureXref[[#This Row],[dm_id]],tblDataRequirement[dm_id],tblDataRequirement[domain_sub_requirement])</f>
        <v>Providers:Workforce:Filled jobs</v>
      </c>
      <c r="B823" s="1" t="str">
        <f>_xlfn.XLOOKUP(tblRequirementMeasureXref[[#This Row],[dm_id]],tblDataRequirement[dm_id],tblDataRequirement[dm_phase])</f>
        <v>supply</v>
      </c>
      <c r="C823" s="1">
        <v>10</v>
      </c>
      <c r="D823" s="1">
        <v>212</v>
      </c>
      <c r="G823" s="1"/>
      <c r="H823" s="62" t="str">
        <f>_xlfn.XLOOKUP(tblRequirementMeasureXref[[#This Row],[msr_id]],tblMeasure[msr_id],tblMeasure[msr_table])</f>
        <v>Table 11</v>
      </c>
      <c r="I823" s="22" t="str">
        <f>_xlfn.XLOOKUP(tblRequirementMeasureXref[[#This Row],[msr_id]],tblMeasure[msr_id],tblMeasure[msr_name])</f>
        <v>Number of adult social services jobs by age group of worker and job role</v>
      </c>
      <c r="J823" s="22" t="str">
        <f>_xlfn.XLOOKUP(tblRequirementMeasureXref[[#This Row],[msr_id]],tblMeasure[msr_id],tblMeasure[primary_dimensions])</f>
        <v>jobs, gender, age group, role</v>
      </c>
      <c r="K823" s="22" t="str">
        <f>_xlfn.XLOOKUP(tblRequirementMeasureXref[[#This Row],[msr_id]],tblMeasure[msr_id],tblMeasure[msr_min_geo_resolution])</f>
        <v>England</v>
      </c>
      <c r="L823" s="22" t="str">
        <f>_xlfn.XLOOKUP(tblRequirementMeasureXref[[#This Row],[msr_id]],tblMeasure[msr_id],tblMeasure[src_name])</f>
        <v>Personal Social Services: Staff of Social Services Departments</v>
      </c>
    </row>
    <row r="824" spans="1:12" x14ac:dyDescent="0.15">
      <c r="A824" s="1" t="str">
        <f>_xlfn.XLOOKUP(tblRequirementMeasureXref[[#This Row],[dm_id]],tblDataRequirement[dm_id],tblDataRequirement[domain_sub_requirement])</f>
        <v>Workforce:Demographics:Age</v>
      </c>
      <c r="B824" s="1" t="str">
        <f>_xlfn.XLOOKUP(tblRequirementMeasureXref[[#This Row],[dm_id]],tblDataRequirement[dm_id],tblDataRequirement[dm_phase])</f>
        <v>supply</v>
      </c>
      <c r="C824" s="1">
        <v>17</v>
      </c>
      <c r="D824" s="1">
        <v>212</v>
      </c>
      <c r="G824" s="1"/>
      <c r="H824" s="62" t="str">
        <f>_xlfn.XLOOKUP(tblRequirementMeasureXref[[#This Row],[msr_id]],tblMeasure[msr_id],tblMeasure[msr_table])</f>
        <v>Table 11</v>
      </c>
      <c r="I824" s="22" t="str">
        <f>_xlfn.XLOOKUP(tblRequirementMeasureXref[[#This Row],[msr_id]],tblMeasure[msr_id],tblMeasure[msr_name])</f>
        <v>Number of adult social services jobs by age group of worker and job role</v>
      </c>
      <c r="J824" s="22" t="str">
        <f>_xlfn.XLOOKUP(tblRequirementMeasureXref[[#This Row],[msr_id]],tblMeasure[msr_id],tblMeasure[primary_dimensions])</f>
        <v>jobs, gender, age group, role</v>
      </c>
      <c r="K824" s="22" t="str">
        <f>_xlfn.XLOOKUP(tblRequirementMeasureXref[[#This Row],[msr_id]],tblMeasure[msr_id],tblMeasure[msr_min_geo_resolution])</f>
        <v>England</v>
      </c>
      <c r="L824" s="22" t="str">
        <f>_xlfn.XLOOKUP(tblRequirementMeasureXref[[#This Row],[msr_id]],tblMeasure[msr_id],tblMeasure[src_name])</f>
        <v>Personal Social Services: Staff of Social Services Departments</v>
      </c>
    </row>
    <row r="825" spans="1:12" x14ac:dyDescent="0.15">
      <c r="A825" s="1" t="str">
        <f>_xlfn.XLOOKUP(tblRequirementMeasureXref[[#This Row],[dm_id]],tblDataRequirement[dm_id],tblDataRequirement[domain_sub_requirement])</f>
        <v>Providers:Workforce:Filled jobs</v>
      </c>
      <c r="B825" s="1" t="str">
        <f>_xlfn.XLOOKUP(tblRequirementMeasureXref[[#This Row],[dm_id]],tblDataRequirement[dm_id],tblDataRequirement[dm_phase])</f>
        <v>supply</v>
      </c>
      <c r="C825" s="1">
        <v>10</v>
      </c>
      <c r="D825" s="1">
        <v>213</v>
      </c>
      <c r="G825" s="1"/>
      <c r="H825" s="62" t="str">
        <f>_xlfn.XLOOKUP(tblRequirementMeasureXref[[#This Row],[msr_id]],tblMeasure[msr_id],tblMeasure[msr_table])</f>
        <v>Table 12</v>
      </c>
      <c r="I825" s="22" t="str">
        <f>_xlfn.XLOOKUP(tblRequirementMeasureXref[[#This Row],[msr_id]],tblMeasure[msr_id],tblMeasure[msr_name])</f>
        <v>Number of adult social services jobs by job role group and age group of worker</v>
      </c>
      <c r="J825" s="22" t="str">
        <f>_xlfn.XLOOKUP(tblRequirementMeasureXref[[#This Row],[msr_id]],tblMeasure[msr_id],tblMeasure[primary_dimensions])</f>
        <v>jobs, role group, age group</v>
      </c>
      <c r="K825" s="22" t="str">
        <f>_xlfn.XLOOKUP(tblRequirementMeasureXref[[#This Row],[msr_id]],tblMeasure[msr_id],tblMeasure[msr_min_geo_resolution])</f>
        <v>LA</v>
      </c>
      <c r="L825" s="22" t="str">
        <f>_xlfn.XLOOKUP(tblRequirementMeasureXref[[#This Row],[msr_id]],tblMeasure[msr_id],tblMeasure[src_name])</f>
        <v>Personal Social Services: Staff of Social Services Departments</v>
      </c>
    </row>
    <row r="826" spans="1:12" x14ac:dyDescent="0.15">
      <c r="A826" s="1" t="str">
        <f>_xlfn.XLOOKUP(tblRequirementMeasureXref[[#This Row],[dm_id]],tblDataRequirement[dm_id],tblDataRequirement[domain_sub_requirement])</f>
        <v>Workforce:Demographics:Age</v>
      </c>
      <c r="B826" s="1" t="str">
        <f>_xlfn.XLOOKUP(tblRequirementMeasureXref[[#This Row],[dm_id]],tblDataRequirement[dm_id],tblDataRequirement[dm_phase])</f>
        <v>supply</v>
      </c>
      <c r="C826" s="1">
        <v>17</v>
      </c>
      <c r="D826" s="1">
        <v>213</v>
      </c>
      <c r="G826" s="1"/>
      <c r="H826" s="62" t="str">
        <f>_xlfn.XLOOKUP(tblRequirementMeasureXref[[#This Row],[msr_id]],tblMeasure[msr_id],tblMeasure[msr_table])</f>
        <v>Table 12</v>
      </c>
      <c r="I826" s="22" t="str">
        <f>_xlfn.XLOOKUP(tblRequirementMeasureXref[[#This Row],[msr_id]],tblMeasure[msr_id],tblMeasure[msr_name])</f>
        <v>Number of adult social services jobs by job role group and age group of worker</v>
      </c>
      <c r="J826" s="22" t="str">
        <f>_xlfn.XLOOKUP(tblRequirementMeasureXref[[#This Row],[msr_id]],tblMeasure[msr_id],tblMeasure[primary_dimensions])</f>
        <v>jobs, role group, age group</v>
      </c>
      <c r="K826" s="22" t="str">
        <f>_xlfn.XLOOKUP(tblRequirementMeasureXref[[#This Row],[msr_id]],tblMeasure[msr_id],tblMeasure[msr_min_geo_resolution])</f>
        <v>LA</v>
      </c>
      <c r="L826" s="22" t="str">
        <f>_xlfn.XLOOKUP(tblRequirementMeasureXref[[#This Row],[msr_id]],tblMeasure[msr_id],tblMeasure[src_name])</f>
        <v>Personal Social Services: Staff of Social Services Departments</v>
      </c>
    </row>
    <row r="827" spans="1:12" x14ac:dyDescent="0.15">
      <c r="A827" s="1" t="str">
        <f>_xlfn.XLOOKUP(tblRequirementMeasureXref[[#This Row],[dm_id]],tblDataRequirement[dm_id],tblDataRequirement[domain_sub_requirement])</f>
        <v>Providers:Workforce:Filled jobs</v>
      </c>
      <c r="B827" s="1" t="str">
        <f>_xlfn.XLOOKUP(tblRequirementMeasureXref[[#This Row],[dm_id]],tblDataRequirement[dm_id],tblDataRequirement[dm_phase])</f>
        <v>supply</v>
      </c>
      <c r="C827" s="1">
        <v>10</v>
      </c>
      <c r="D827" s="1">
        <v>214</v>
      </c>
      <c r="G827" s="1"/>
      <c r="H827" s="62" t="str">
        <f>_xlfn.XLOOKUP(tblRequirementMeasureXref[[#This Row],[msr_id]],tblMeasure[msr_id],tblMeasure[msr_table])</f>
        <v>Table 13</v>
      </c>
      <c r="I827" s="22" t="str">
        <f>_xlfn.XLOOKUP(tblRequirementMeasureXref[[#This Row],[msr_id]],tblMeasure[msr_id],tblMeasure[msr_name])</f>
        <v>Number of adult social services jobs by ethnic group and job role</v>
      </c>
      <c r="J827" s="22" t="str">
        <f>_xlfn.XLOOKUP(tblRequirementMeasureXref[[#This Row],[msr_id]],tblMeasure[msr_id],tblMeasure[primary_dimensions])</f>
        <v>jobs, role, ethnic group</v>
      </c>
      <c r="K827" s="22" t="str">
        <f>_xlfn.XLOOKUP(tblRequirementMeasureXref[[#This Row],[msr_id]],tblMeasure[msr_id],tblMeasure[msr_min_geo_resolution])</f>
        <v>England</v>
      </c>
      <c r="L827" s="22" t="str">
        <f>_xlfn.XLOOKUP(tblRequirementMeasureXref[[#This Row],[msr_id]],tblMeasure[msr_id],tblMeasure[src_name])</f>
        <v>Personal Social Services: Staff of Social Services Departments</v>
      </c>
    </row>
    <row r="828" spans="1:12" x14ac:dyDescent="0.15">
      <c r="A828" s="1" t="str">
        <f>_xlfn.XLOOKUP(tblRequirementMeasureXref[[#This Row],[dm_id]],tblDataRequirement[dm_id],tblDataRequirement[domain_sub_requirement])</f>
        <v>Workforce:Demographics:Ethnicity</v>
      </c>
      <c r="B828" s="1" t="str">
        <f>_xlfn.XLOOKUP(tblRequirementMeasureXref[[#This Row],[dm_id]],tblDataRequirement[dm_id],tblDataRequirement[dm_phase])</f>
        <v>supply</v>
      </c>
      <c r="C828" s="1">
        <v>97</v>
      </c>
      <c r="D828" s="1">
        <v>214</v>
      </c>
      <c r="G828" s="1"/>
      <c r="H828" s="62" t="str">
        <f>_xlfn.XLOOKUP(tblRequirementMeasureXref[[#This Row],[msr_id]],tblMeasure[msr_id],tblMeasure[msr_table])</f>
        <v>Table 13</v>
      </c>
      <c r="I828" s="22" t="str">
        <f>_xlfn.XLOOKUP(tblRequirementMeasureXref[[#This Row],[msr_id]],tblMeasure[msr_id],tblMeasure[msr_name])</f>
        <v>Number of adult social services jobs by ethnic group and job role</v>
      </c>
      <c r="J828" s="22" t="str">
        <f>_xlfn.XLOOKUP(tblRequirementMeasureXref[[#This Row],[msr_id]],tblMeasure[msr_id],tblMeasure[primary_dimensions])</f>
        <v>jobs, role, ethnic group</v>
      </c>
      <c r="K828" s="22" t="str">
        <f>_xlfn.XLOOKUP(tblRequirementMeasureXref[[#This Row],[msr_id]],tblMeasure[msr_id],tblMeasure[msr_min_geo_resolution])</f>
        <v>England</v>
      </c>
      <c r="L828" s="22" t="str">
        <f>_xlfn.XLOOKUP(tblRequirementMeasureXref[[#This Row],[msr_id]],tblMeasure[msr_id],tblMeasure[src_name])</f>
        <v>Personal Social Services: Staff of Social Services Departments</v>
      </c>
    </row>
    <row r="829" spans="1:12" x14ac:dyDescent="0.15">
      <c r="A829" s="1" t="str">
        <f>_xlfn.XLOOKUP(tblRequirementMeasureXref[[#This Row],[dm_id]],tblDataRequirement[dm_id],tblDataRequirement[domain_sub_requirement])</f>
        <v>Providers:Workforce:Filled jobs</v>
      </c>
      <c r="B829" s="1" t="str">
        <f>_xlfn.XLOOKUP(tblRequirementMeasureXref[[#This Row],[dm_id]],tblDataRequirement[dm_id],tblDataRequirement[dm_phase])</f>
        <v>supply</v>
      </c>
      <c r="C829" s="1">
        <v>10</v>
      </c>
      <c r="D829" s="1">
        <v>215</v>
      </c>
      <c r="G829" s="1"/>
      <c r="H829" s="62" t="str">
        <f>_xlfn.XLOOKUP(tblRequirementMeasureXref[[#This Row],[msr_id]],tblMeasure[msr_id],tblMeasure[msr_table])</f>
        <v>Table 14</v>
      </c>
      <c r="I829" s="22" t="str">
        <f>_xlfn.XLOOKUP(tblRequirementMeasureXref[[#This Row],[msr_id]],tblMeasure[msr_id],tblMeasure[msr_name])</f>
        <v>Number of adult social services jobs by job role group and ethnic group</v>
      </c>
      <c r="J829" s="22" t="str">
        <f>_xlfn.XLOOKUP(tblRequirementMeasureXref[[#This Row],[msr_id]],tblMeasure[msr_id],tblMeasure[primary_dimensions])</f>
        <v>jobs, role group, ethnic group</v>
      </c>
      <c r="K829" s="22" t="str">
        <f>_xlfn.XLOOKUP(tblRequirementMeasureXref[[#This Row],[msr_id]],tblMeasure[msr_id],tblMeasure[msr_min_geo_resolution])</f>
        <v>LA</v>
      </c>
      <c r="L829" s="22" t="str">
        <f>_xlfn.XLOOKUP(tblRequirementMeasureXref[[#This Row],[msr_id]],tblMeasure[msr_id],tblMeasure[src_name])</f>
        <v>Personal Social Services: Staff of Social Services Departments</v>
      </c>
    </row>
    <row r="830" spans="1:12" x14ac:dyDescent="0.15">
      <c r="A830" s="1" t="str">
        <f>_xlfn.XLOOKUP(tblRequirementMeasureXref[[#This Row],[dm_id]],tblDataRequirement[dm_id],tblDataRequirement[domain_sub_requirement])</f>
        <v>Workforce:Demographics:Ethnicity</v>
      </c>
      <c r="B830" s="1" t="str">
        <f>_xlfn.XLOOKUP(tblRequirementMeasureXref[[#This Row],[dm_id]],tblDataRequirement[dm_id],tblDataRequirement[dm_phase])</f>
        <v>supply</v>
      </c>
      <c r="C830" s="1">
        <v>97</v>
      </c>
      <c r="D830" s="1">
        <v>215</v>
      </c>
      <c r="G830" s="1"/>
      <c r="H830" s="62" t="str">
        <f>_xlfn.XLOOKUP(tblRequirementMeasureXref[[#This Row],[msr_id]],tblMeasure[msr_id],tblMeasure[msr_table])</f>
        <v>Table 14</v>
      </c>
      <c r="I830" s="22" t="str">
        <f>_xlfn.XLOOKUP(tblRequirementMeasureXref[[#This Row],[msr_id]],tblMeasure[msr_id],tblMeasure[msr_name])</f>
        <v>Number of adult social services jobs by job role group and ethnic group</v>
      </c>
      <c r="J830" s="22" t="str">
        <f>_xlfn.XLOOKUP(tblRequirementMeasureXref[[#This Row],[msr_id]],tblMeasure[msr_id],tblMeasure[primary_dimensions])</f>
        <v>jobs, role group, ethnic group</v>
      </c>
      <c r="K830" s="22" t="str">
        <f>_xlfn.XLOOKUP(tblRequirementMeasureXref[[#This Row],[msr_id]],tblMeasure[msr_id],tblMeasure[msr_min_geo_resolution])</f>
        <v>LA</v>
      </c>
      <c r="L830" s="22" t="str">
        <f>_xlfn.XLOOKUP(tblRequirementMeasureXref[[#This Row],[msr_id]],tblMeasure[msr_id],tblMeasure[src_name])</f>
        <v>Personal Social Services: Staff of Social Services Departments</v>
      </c>
    </row>
    <row r="831" spans="1:12" x14ac:dyDescent="0.15">
      <c r="A831" s="1" t="str">
        <f>_xlfn.XLOOKUP(tblRequirementMeasureXref[[#This Row],[dm_id]],tblDataRequirement[dm_id],tblDataRequirement[domain_sub_requirement])</f>
        <v>Workforce:Income:Pay</v>
      </c>
      <c r="B831" s="1" t="str">
        <f>_xlfn.XLOOKUP(tblRequirementMeasureXref[[#This Row],[dm_id]],tblDataRequirement[dm_id],tblDataRequirement[dm_phase])</f>
        <v>operate</v>
      </c>
      <c r="C831" s="1">
        <v>67</v>
      </c>
      <c r="D831" s="1">
        <v>217</v>
      </c>
      <c r="G831" s="1"/>
      <c r="H831" s="62" t="str">
        <f>_xlfn.XLOOKUP(tblRequirementMeasureXref[[#This Row],[msr_id]],tblMeasure[msr_id],tblMeasure[msr_table])</f>
        <v>Table 16</v>
      </c>
      <c r="I831" s="22" t="str">
        <f>_xlfn.XLOOKUP(tblRequirementMeasureXref[[#This Row],[msr_id]],tblMeasure[msr_id],tblMeasure[msr_name])</f>
        <v>Median whole time equivalent annual pay of adult social services jobs by region and job role</v>
      </c>
      <c r="J831" s="22" t="str">
        <f>_xlfn.XLOOKUP(tblRequirementMeasureXref[[#This Row],[msr_id]],tblMeasure[msr_id],tblMeasure[primary_dimensions])</f>
        <v>pay, role</v>
      </c>
      <c r="K831" s="22" t="str">
        <f>_xlfn.XLOOKUP(tblRequirementMeasureXref[[#This Row],[msr_id]],tblMeasure[msr_id],tblMeasure[msr_min_geo_resolution])</f>
        <v>Region</v>
      </c>
      <c r="L831" s="22" t="str">
        <f>_xlfn.XLOOKUP(tblRequirementMeasureXref[[#This Row],[msr_id]],tblMeasure[msr_id],tblMeasure[src_name])</f>
        <v>Personal Social Services: Staff of Social Services Departments</v>
      </c>
    </row>
    <row r="832" spans="1:12" x14ac:dyDescent="0.15">
      <c r="A832" s="1" t="str">
        <f>_xlfn.XLOOKUP(tblRequirementMeasureXref[[#This Row],[dm_id]],tblDataRequirement[dm_id],tblDataRequirement[domain_sub_requirement])</f>
        <v>Workforce:Type:Employment Status</v>
      </c>
      <c r="B832" s="1" t="str">
        <f>_xlfn.XLOOKUP(tblRequirementMeasureXref[[#This Row],[dm_id]],tblDataRequirement[dm_id],tblDataRequirement[dm_phase])</f>
        <v>operate</v>
      </c>
      <c r="C832" s="1">
        <v>18</v>
      </c>
      <c r="D832" s="1">
        <v>220</v>
      </c>
      <c r="G832" s="1"/>
      <c r="H832" s="62" t="str">
        <f>_xlfn.XLOOKUP(tblRequirementMeasureXref[[#This Row],[msr_id]],tblMeasure[msr_id],tblMeasure[msr_table])</f>
        <v>Table 19</v>
      </c>
      <c r="I832" s="22" t="str">
        <f>_xlfn.XLOOKUP(tblRequirementMeasureXref[[#This Row],[msr_id]],tblMeasure[msr_id],tblMeasure[msr_name])</f>
        <v>Median and mean number of sickness days in adult social services jobs by job role group</v>
      </c>
      <c r="J832" s="22" t="str">
        <f>_xlfn.XLOOKUP(tblRequirementMeasureXref[[#This Row],[msr_id]],tblMeasure[msr_id],tblMeasure[primary_dimensions])</f>
        <v>sickness days, role group</v>
      </c>
      <c r="K832" s="22" t="str">
        <f>_xlfn.XLOOKUP(tblRequirementMeasureXref[[#This Row],[msr_id]],tblMeasure[msr_id],tblMeasure[msr_min_geo_resolution])</f>
        <v>LA</v>
      </c>
      <c r="L832" s="22" t="str">
        <f>_xlfn.XLOOKUP(tblRequirementMeasureXref[[#This Row],[msr_id]],tblMeasure[msr_id],tblMeasure[src_name])</f>
        <v>Personal Social Services: Staff of Social Services Departments</v>
      </c>
    </row>
    <row r="833" spans="1:12" x14ac:dyDescent="0.15">
      <c r="A833" s="1" t="str">
        <f>_xlfn.XLOOKUP(tblRequirementMeasureXref[[#This Row],[dm_id]],tblDataRequirement[dm_id],tblDataRequirement[domain_sub_requirement])</f>
        <v>Providers:Type:Capacity</v>
      </c>
      <c r="B833" s="1" t="str">
        <f>_xlfn.XLOOKUP(tblRequirementMeasureXref[[#This Row],[dm_id]],tblDataRequirement[dm_id],tblDataRequirement[dm_phase])</f>
        <v>supply</v>
      </c>
      <c r="C833" s="1">
        <v>96</v>
      </c>
      <c r="D833" s="1">
        <v>220</v>
      </c>
      <c r="G833" s="1"/>
      <c r="H833" s="62" t="str">
        <f>_xlfn.XLOOKUP(tblRequirementMeasureXref[[#This Row],[msr_id]],tblMeasure[msr_id],tblMeasure[msr_table])</f>
        <v>Table 19</v>
      </c>
      <c r="I833" s="22" t="str">
        <f>_xlfn.XLOOKUP(tblRequirementMeasureXref[[#This Row],[msr_id]],tblMeasure[msr_id],tblMeasure[msr_name])</f>
        <v>Median and mean number of sickness days in adult social services jobs by job role group</v>
      </c>
      <c r="J833" s="22" t="str">
        <f>_xlfn.XLOOKUP(tblRequirementMeasureXref[[#This Row],[msr_id]],tblMeasure[msr_id],tblMeasure[primary_dimensions])</f>
        <v>sickness days, role group</v>
      </c>
      <c r="K833" s="22" t="str">
        <f>_xlfn.XLOOKUP(tblRequirementMeasureXref[[#This Row],[msr_id]],tblMeasure[msr_id],tblMeasure[msr_min_geo_resolution])</f>
        <v>LA</v>
      </c>
      <c r="L833" s="22" t="str">
        <f>_xlfn.XLOOKUP(tblRequirementMeasureXref[[#This Row],[msr_id]],tblMeasure[msr_id],tblMeasure[src_name])</f>
        <v>Personal Social Services: Staff of Social Services Departments</v>
      </c>
    </row>
    <row r="834" spans="1:12" x14ac:dyDescent="0.15">
      <c r="A834" s="1" t="str">
        <f>_xlfn.XLOOKUP(tblRequirementMeasureXref[[#This Row],[dm_id]],tblDataRequirement[dm_id],tblDataRequirement[domain_sub_requirement])</f>
        <v>Providers:Workforce:Sickness absence</v>
      </c>
      <c r="B834" s="1" t="str">
        <f>_xlfn.XLOOKUP(tblRequirementMeasureXref[[#This Row],[dm_id]],tblDataRequirement[dm_id],tblDataRequirement[dm_phase])</f>
        <v>operate</v>
      </c>
      <c r="C834" s="1">
        <v>100</v>
      </c>
      <c r="D834" s="1">
        <v>220</v>
      </c>
      <c r="G834" s="1"/>
      <c r="H834" s="62" t="str">
        <f>_xlfn.XLOOKUP(tblRequirementMeasureXref[[#This Row],[msr_id]],tblMeasure[msr_id],tblMeasure[msr_table])</f>
        <v>Table 19</v>
      </c>
      <c r="I834" s="22" t="str">
        <f>_xlfn.XLOOKUP(tblRequirementMeasureXref[[#This Row],[msr_id]],tblMeasure[msr_id],tblMeasure[msr_name])</f>
        <v>Median and mean number of sickness days in adult social services jobs by job role group</v>
      </c>
      <c r="J834" s="22" t="str">
        <f>_xlfn.XLOOKUP(tblRequirementMeasureXref[[#This Row],[msr_id]],tblMeasure[msr_id],tblMeasure[primary_dimensions])</f>
        <v>sickness days, role group</v>
      </c>
      <c r="K834" s="22" t="str">
        <f>_xlfn.XLOOKUP(tblRequirementMeasureXref[[#This Row],[msr_id]],tblMeasure[msr_id],tblMeasure[msr_min_geo_resolution])</f>
        <v>LA</v>
      </c>
      <c r="L834" s="22" t="str">
        <f>_xlfn.XLOOKUP(tblRequirementMeasureXref[[#This Row],[msr_id]],tblMeasure[msr_id],tblMeasure[src_name])</f>
        <v>Personal Social Services: Staff of Social Services Departments</v>
      </c>
    </row>
    <row r="835" spans="1:12" x14ac:dyDescent="0.15">
      <c r="A835" s="1" t="str">
        <f>_xlfn.XLOOKUP(tblRequirementMeasureXref[[#This Row],[dm_id]],tblDataRequirement[dm_id],tblDataRequirement[domain_sub_requirement])</f>
        <v>Providers:Workforce:Filled jobs</v>
      </c>
      <c r="B835" s="1" t="str">
        <f>_xlfn.XLOOKUP(tblRequirementMeasureXref[[#This Row],[dm_id]],tblDataRequirement[dm_id],tblDataRequirement[dm_phase])</f>
        <v>supply</v>
      </c>
      <c r="C835" s="1">
        <v>10</v>
      </c>
      <c r="D835" s="1">
        <v>222</v>
      </c>
      <c r="G835" s="1"/>
      <c r="H835" s="62" t="str">
        <f>_xlfn.XLOOKUP(tblRequirementMeasureXref[[#This Row],[msr_id]],tblMeasure[msr_id],tblMeasure[msr_table])</f>
        <v>Table 21</v>
      </c>
      <c r="I835" s="22" t="str">
        <f>_xlfn.XLOOKUP(tblRequirementMeasureXref[[#This Row],[msr_id]],tblMeasure[msr_id],tblMeasure[msr_name])</f>
        <v>Number of adult social services jobs by if the worker holds any qualifications relevant to social care, and if so, the highest level relevant social care qualification the worker has achieved by job role group</v>
      </c>
      <c r="J835" s="22" t="str">
        <f>_xlfn.XLOOKUP(tblRequirementMeasureXref[[#This Row],[msr_id]],tblMeasure[msr_id],tblMeasure[primary_dimensions])</f>
        <v>qualification, role group</v>
      </c>
      <c r="K835" s="22" t="str">
        <f>_xlfn.XLOOKUP(tblRequirementMeasureXref[[#This Row],[msr_id]],tblMeasure[msr_id],tblMeasure[msr_min_geo_resolution])</f>
        <v>England</v>
      </c>
      <c r="L835" s="22" t="str">
        <f>_xlfn.XLOOKUP(tblRequirementMeasureXref[[#This Row],[msr_id]],tblMeasure[msr_id],tblMeasure[src_name])</f>
        <v>Personal Social Services: Staff of Social Services Departments</v>
      </c>
    </row>
    <row r="836" spans="1:12" x14ac:dyDescent="0.15">
      <c r="A836" s="1" t="str">
        <f>_xlfn.XLOOKUP(tblRequirementMeasureXref[[#This Row],[dm_id]],tblDataRequirement[dm_id],tblDataRequirement[domain_sub_requirement])</f>
        <v>Workforce:Type:Qualification</v>
      </c>
      <c r="B836" s="1" t="str">
        <f>_xlfn.XLOOKUP(tblRequirementMeasureXref[[#This Row],[dm_id]],tblDataRequirement[dm_id],tblDataRequirement[dm_phase])</f>
        <v>supply</v>
      </c>
      <c r="C836" s="1">
        <v>101</v>
      </c>
      <c r="D836" s="1">
        <v>222</v>
      </c>
      <c r="G836" s="1"/>
      <c r="H836" s="62" t="str">
        <f>_xlfn.XLOOKUP(tblRequirementMeasureXref[[#This Row],[msr_id]],tblMeasure[msr_id],tblMeasure[msr_table])</f>
        <v>Table 21</v>
      </c>
      <c r="I836" s="22" t="str">
        <f>_xlfn.XLOOKUP(tblRequirementMeasureXref[[#This Row],[msr_id]],tblMeasure[msr_id],tblMeasure[msr_name])</f>
        <v>Number of adult social services jobs by if the worker holds any qualifications relevant to social care, and if so, the highest level relevant social care qualification the worker has achieved by job role group</v>
      </c>
      <c r="J836" s="22" t="str">
        <f>_xlfn.XLOOKUP(tblRequirementMeasureXref[[#This Row],[msr_id]],tblMeasure[msr_id],tblMeasure[primary_dimensions])</f>
        <v>qualification, role group</v>
      </c>
      <c r="K836" s="22" t="str">
        <f>_xlfn.XLOOKUP(tblRequirementMeasureXref[[#This Row],[msr_id]],tblMeasure[msr_id],tblMeasure[msr_min_geo_resolution])</f>
        <v>England</v>
      </c>
      <c r="L836" s="22" t="str">
        <f>_xlfn.XLOOKUP(tblRequirementMeasureXref[[#This Row],[msr_id]],tblMeasure[msr_id],tblMeasure[src_name])</f>
        <v>Personal Social Services: Staff of Social Services Departments</v>
      </c>
    </row>
    <row r="837" spans="1:12" x14ac:dyDescent="0.15">
      <c r="A837" s="1" t="str">
        <f>_xlfn.XLOOKUP(tblRequirementMeasureXref[[#This Row],[dm_id]],tblDataRequirement[dm_id],tblDataRequirement[domain_sub_requirement])</f>
        <v>Providers:Workforce:Filled jobs</v>
      </c>
      <c r="B837" s="1" t="str">
        <f>_xlfn.XLOOKUP(tblRequirementMeasureXref[[#This Row],[dm_id]],tblDataRequirement[dm_id],tblDataRequirement[dm_phase])</f>
        <v>supply</v>
      </c>
      <c r="C837" s="1">
        <v>10</v>
      </c>
      <c r="D837" s="1">
        <v>223</v>
      </c>
      <c r="G837" s="1"/>
      <c r="H837" s="62" t="str">
        <f>_xlfn.XLOOKUP(tblRequirementMeasureXref[[#This Row],[msr_id]],tblMeasure[msr_id],tblMeasure[msr_table])</f>
        <v>Table 22</v>
      </c>
      <c r="I837" s="22" t="str">
        <f>_xlfn.XLOOKUP(tblRequirementMeasureXref[[#This Row],[msr_id]],tblMeasure[msr_id],tblMeasure[msr_name])</f>
        <v>Number of adult social services jobs by if the worker holds any qualifications relevant to social care, and if so, the highest level relevant social care qualification the worker has achieved</v>
      </c>
      <c r="J837" s="22" t="str">
        <f>_xlfn.XLOOKUP(tblRequirementMeasureXref[[#This Row],[msr_id]],tblMeasure[msr_id],tblMeasure[primary_dimensions])</f>
        <v>qualifications</v>
      </c>
      <c r="K837" s="22" t="str">
        <f>_xlfn.XLOOKUP(tblRequirementMeasureXref[[#This Row],[msr_id]],tblMeasure[msr_id],tblMeasure[msr_min_geo_resolution])</f>
        <v>LA</v>
      </c>
      <c r="L837" s="22" t="str">
        <f>_xlfn.XLOOKUP(tblRequirementMeasureXref[[#This Row],[msr_id]],tblMeasure[msr_id],tblMeasure[src_name])</f>
        <v>Personal Social Services: Staff of Social Services Departments</v>
      </c>
    </row>
    <row r="838" spans="1:12" x14ac:dyDescent="0.15">
      <c r="A838" s="1" t="str">
        <f>_xlfn.XLOOKUP(tblRequirementMeasureXref[[#This Row],[dm_id]],tblDataRequirement[dm_id],tblDataRequirement[domain_sub_requirement])</f>
        <v>Workforce:Type:Qualification</v>
      </c>
      <c r="B838" s="1" t="str">
        <f>_xlfn.XLOOKUP(tblRequirementMeasureXref[[#This Row],[dm_id]],tblDataRequirement[dm_id],tblDataRequirement[dm_phase])</f>
        <v>supply</v>
      </c>
      <c r="C838" s="1">
        <v>101</v>
      </c>
      <c r="D838" s="1">
        <v>223</v>
      </c>
      <c r="G838" s="1"/>
      <c r="H838" s="62" t="str">
        <f>_xlfn.XLOOKUP(tblRequirementMeasureXref[[#This Row],[msr_id]],tblMeasure[msr_id],tblMeasure[msr_table])</f>
        <v>Table 22</v>
      </c>
      <c r="I838" s="22" t="str">
        <f>_xlfn.XLOOKUP(tblRequirementMeasureXref[[#This Row],[msr_id]],tblMeasure[msr_id],tblMeasure[msr_name])</f>
        <v>Number of adult social services jobs by if the worker holds any qualifications relevant to social care, and if so, the highest level relevant social care qualification the worker has achieved</v>
      </c>
      <c r="J838" s="22" t="str">
        <f>_xlfn.XLOOKUP(tblRequirementMeasureXref[[#This Row],[msr_id]],tblMeasure[msr_id],tblMeasure[primary_dimensions])</f>
        <v>qualifications</v>
      </c>
      <c r="K838" s="22" t="str">
        <f>_xlfn.XLOOKUP(tblRequirementMeasureXref[[#This Row],[msr_id]],tblMeasure[msr_id],tblMeasure[msr_min_geo_resolution])</f>
        <v>LA</v>
      </c>
      <c r="L838" s="22" t="str">
        <f>_xlfn.XLOOKUP(tblRequirementMeasureXref[[#This Row],[msr_id]],tblMeasure[msr_id],tblMeasure[src_name])</f>
        <v>Personal Social Services: Staff of Social Services Departments</v>
      </c>
    </row>
    <row r="839" spans="1:12" x14ac:dyDescent="0.15">
      <c r="A839" s="1" t="str">
        <f>_xlfn.XLOOKUP(tblRequirementMeasureXref[[#This Row],[dm_id]],tblDataRequirement[dm_id],tblDataRequirement[domain_sub_requirement])</f>
        <v>Providers:Workforce:Filled jobs</v>
      </c>
      <c r="B839" s="1" t="str">
        <f>_xlfn.XLOOKUP(tblRequirementMeasureXref[[#This Row],[dm_id]],tblDataRequirement[dm_id],tblDataRequirement[dm_phase])</f>
        <v>supply</v>
      </c>
      <c r="C839" s="1">
        <v>10</v>
      </c>
      <c r="D839" s="1">
        <v>224</v>
      </c>
      <c r="G839" s="1"/>
      <c r="H839" s="62" t="str">
        <f>_xlfn.XLOOKUP(tblRequirementMeasureXref[[#This Row],[msr_id]],tblMeasure[msr_id],tblMeasure[msr_table])</f>
        <v>Table 23</v>
      </c>
      <c r="I839" s="22" t="str">
        <f>_xlfn.XLOOKUP(tblRequirementMeasureXref[[#This Row],[msr_id]],tblMeasure[msr_id],tblMeasure[msr_name])</f>
        <v>Number of adult social services jobs by zero hours contract status and employment status</v>
      </c>
      <c r="J839" s="22" t="str">
        <f>_xlfn.XLOOKUP(tblRequirementMeasureXref[[#This Row],[msr_id]],tblMeasure[msr_id],tblMeasure[primary_dimensions])</f>
        <v>zero hours contracts</v>
      </c>
      <c r="K839" s="22" t="str">
        <f>_xlfn.XLOOKUP(tblRequirementMeasureXref[[#This Row],[msr_id]],tblMeasure[msr_id],tblMeasure[msr_min_geo_resolution])</f>
        <v>England</v>
      </c>
      <c r="L839" s="22" t="str">
        <f>_xlfn.XLOOKUP(tblRequirementMeasureXref[[#This Row],[msr_id]],tblMeasure[msr_id],tblMeasure[src_name])</f>
        <v>Personal Social Services: Staff of Social Services Departments</v>
      </c>
    </row>
    <row r="840" spans="1:12" x14ac:dyDescent="0.15">
      <c r="A840" s="1" t="str">
        <f>_xlfn.XLOOKUP(tblRequirementMeasureXref[[#This Row],[dm_id]],tblDataRequirement[dm_id],tblDataRequirement[domain_sub_requirement])</f>
        <v>Workforce:Type:Employment Status</v>
      </c>
      <c r="B840" s="1" t="str">
        <f>_xlfn.XLOOKUP(tblRequirementMeasureXref[[#This Row],[dm_id]],tblDataRequirement[dm_id],tblDataRequirement[dm_phase])</f>
        <v>operate</v>
      </c>
      <c r="C840" s="1">
        <v>18</v>
      </c>
      <c r="D840" s="1">
        <v>224</v>
      </c>
      <c r="G840" s="1"/>
      <c r="H840" s="62" t="str">
        <f>_xlfn.XLOOKUP(tblRequirementMeasureXref[[#This Row],[msr_id]],tblMeasure[msr_id],tblMeasure[msr_table])</f>
        <v>Table 23</v>
      </c>
      <c r="I840" s="22" t="str">
        <f>_xlfn.XLOOKUP(tblRequirementMeasureXref[[#This Row],[msr_id]],tblMeasure[msr_id],tblMeasure[msr_name])</f>
        <v>Number of adult social services jobs by zero hours contract status and employment status</v>
      </c>
      <c r="J840" s="22" t="str">
        <f>_xlfn.XLOOKUP(tblRequirementMeasureXref[[#This Row],[msr_id]],tblMeasure[msr_id],tblMeasure[primary_dimensions])</f>
        <v>zero hours contracts</v>
      </c>
      <c r="K840" s="22" t="str">
        <f>_xlfn.XLOOKUP(tblRequirementMeasureXref[[#This Row],[msr_id]],tblMeasure[msr_id],tblMeasure[msr_min_geo_resolution])</f>
        <v>England</v>
      </c>
      <c r="L840" s="22" t="str">
        <f>_xlfn.XLOOKUP(tblRequirementMeasureXref[[#This Row],[msr_id]],tblMeasure[msr_id],tblMeasure[src_name])</f>
        <v>Personal Social Services: Staff of Social Services Departments</v>
      </c>
    </row>
    <row r="841" spans="1:12" x14ac:dyDescent="0.15">
      <c r="A841" s="1" t="str">
        <f>_xlfn.XLOOKUP(tblRequirementMeasureXref[[#This Row],[dm_id]],tblDataRequirement[dm_id],tblDataRequirement[domain_sub_requirement])</f>
        <v>Providers:Workforce:Filled jobs</v>
      </c>
      <c r="B841" s="1" t="str">
        <f>_xlfn.XLOOKUP(tblRequirementMeasureXref[[#This Row],[dm_id]],tblDataRequirement[dm_id],tblDataRequirement[dm_phase])</f>
        <v>supply</v>
      </c>
      <c r="C841" s="1">
        <v>10</v>
      </c>
      <c r="D841" s="1">
        <v>225</v>
      </c>
      <c r="G841" s="1"/>
      <c r="H841" s="62" t="str">
        <f>_xlfn.XLOOKUP(tblRequirementMeasureXref[[#This Row],[msr_id]],tblMeasure[msr_id],tblMeasure[msr_table])</f>
        <v>Table 24</v>
      </c>
      <c r="I841" s="22" t="str">
        <f>_xlfn.XLOOKUP(tblRequirementMeasureXref[[#This Row],[msr_id]],tblMeasure[msr_id],tblMeasure[msr_name])</f>
        <v>Number of zero hour contract adult social services jobs</v>
      </c>
      <c r="J841" s="22" t="str">
        <f>_xlfn.XLOOKUP(tblRequirementMeasureXref[[#This Row],[msr_id]],tblMeasure[msr_id],tblMeasure[primary_dimensions])</f>
        <v>zero hours contracts, role group</v>
      </c>
      <c r="K841" s="22" t="str">
        <f>_xlfn.XLOOKUP(tblRequirementMeasureXref[[#This Row],[msr_id]],tblMeasure[msr_id],tblMeasure[msr_min_geo_resolution])</f>
        <v>LA</v>
      </c>
      <c r="L841" s="22" t="str">
        <f>_xlfn.XLOOKUP(tblRequirementMeasureXref[[#This Row],[msr_id]],tblMeasure[msr_id],tblMeasure[src_name])</f>
        <v>Personal Social Services: Staff of Social Services Departments</v>
      </c>
    </row>
    <row r="842" spans="1:12" x14ac:dyDescent="0.15">
      <c r="A842" s="1" t="str">
        <f>_xlfn.XLOOKUP(tblRequirementMeasureXref[[#This Row],[dm_id]],tblDataRequirement[dm_id],tblDataRequirement[domain_sub_requirement])</f>
        <v>Workforce:Type:Employment Status</v>
      </c>
      <c r="B842" s="1" t="str">
        <f>_xlfn.XLOOKUP(tblRequirementMeasureXref[[#This Row],[dm_id]],tblDataRequirement[dm_id],tblDataRequirement[dm_phase])</f>
        <v>operate</v>
      </c>
      <c r="C842" s="1">
        <v>18</v>
      </c>
      <c r="D842" s="1">
        <v>225</v>
      </c>
      <c r="G842" s="1"/>
      <c r="H842" s="62" t="str">
        <f>_xlfn.XLOOKUP(tblRequirementMeasureXref[[#This Row],[msr_id]],tblMeasure[msr_id],tblMeasure[msr_table])</f>
        <v>Table 24</v>
      </c>
      <c r="I842" s="22" t="str">
        <f>_xlfn.XLOOKUP(tblRequirementMeasureXref[[#This Row],[msr_id]],tblMeasure[msr_id],tblMeasure[msr_name])</f>
        <v>Number of zero hour contract adult social services jobs</v>
      </c>
      <c r="J842" s="22" t="str">
        <f>_xlfn.XLOOKUP(tblRequirementMeasureXref[[#This Row],[msr_id]],tblMeasure[msr_id],tblMeasure[primary_dimensions])</f>
        <v>zero hours contracts, role group</v>
      </c>
      <c r="K842" s="22" t="str">
        <f>_xlfn.XLOOKUP(tblRequirementMeasureXref[[#This Row],[msr_id]],tblMeasure[msr_id],tblMeasure[msr_min_geo_resolution])</f>
        <v>LA</v>
      </c>
      <c r="L842" s="22" t="str">
        <f>_xlfn.XLOOKUP(tblRequirementMeasureXref[[#This Row],[msr_id]],tblMeasure[msr_id],tblMeasure[src_name])</f>
        <v>Personal Social Services: Staff of Social Services Departments</v>
      </c>
    </row>
    <row r="843" spans="1:12" x14ac:dyDescent="0.15">
      <c r="A843" s="1" t="str">
        <f>_xlfn.XLOOKUP(tblRequirementMeasureXref[[#This Row],[dm_id]],tblDataRequirement[dm_id],tblDataRequirement[domain_sub_requirement])</f>
        <v>Service:Quality:Safety</v>
      </c>
      <c r="B843" s="1" t="str">
        <f>_xlfn.XLOOKUP(tblRequirementMeasureXref[[#This Row],[dm_id]],tblDataRequirement[dm_id],tblDataRequirement[dm_phase])</f>
        <v>outcome</v>
      </c>
      <c r="C843" s="1">
        <v>74</v>
      </c>
      <c r="D843" s="1">
        <v>226</v>
      </c>
      <c r="G843" s="1"/>
      <c r="H843" s="62" t="str">
        <f>_xlfn.XLOOKUP(tblRequirementMeasureXref[[#This Row],[msr_id]],tblMeasure[msr_id],tblMeasure[msr_table])</f>
        <v>Table 1</v>
      </c>
      <c r="I843" s="22" t="str">
        <f>_xlfn.XLOOKUP(tblRequirementMeasureXref[[#This Row],[msr_id]],tblMeasure[msr_id],tblMeasure[msr_name])</f>
        <v>Counts of safeguarding activity</v>
      </c>
      <c r="J843" s="22" t="str">
        <f>_xlfn.XLOOKUP(tblRequirementMeasureXref[[#This Row],[msr_id]],tblMeasure[msr_id],tblMeasure[primary_dimensions])</f>
        <v>safeguarding activity</v>
      </c>
      <c r="K843" s="22" t="str">
        <f>_xlfn.XLOOKUP(tblRequirementMeasureXref[[#This Row],[msr_id]],tblMeasure[msr_id],tblMeasure[msr_min_geo_resolution])</f>
        <v>LA</v>
      </c>
      <c r="L843" s="22" t="str">
        <f>_xlfn.XLOOKUP(tblRequirementMeasureXref[[#This Row],[msr_id]],tblMeasure[msr_id],tblMeasure[src_name])</f>
        <v>Safeguarding Adults</v>
      </c>
    </row>
    <row r="844" spans="1:12" x14ac:dyDescent="0.15">
      <c r="A844" s="1" t="str">
        <f>_xlfn.XLOOKUP(tblRequirementMeasureXref[[#This Row],[dm_id]],tblDataRequirement[dm_id],tblDataRequirement[domain_sub_requirement])</f>
        <v>Service:Quality:Safety</v>
      </c>
      <c r="B844" s="1" t="str">
        <f>_xlfn.XLOOKUP(tblRequirementMeasureXref[[#This Row],[dm_id]],tblDataRequirement[dm_id],tblDataRequirement[dm_phase])</f>
        <v>outcome</v>
      </c>
      <c r="C844" s="1">
        <v>74</v>
      </c>
      <c r="D844" s="1">
        <v>227</v>
      </c>
      <c r="G844" s="1"/>
      <c r="H844" s="62" t="str">
        <f>_xlfn.XLOOKUP(tblRequirementMeasureXref[[#This Row],[msr_id]],tblMeasure[msr_id],tblMeasure[msr_table])</f>
        <v>Table 2</v>
      </c>
      <c r="I844" s="22" t="str">
        <f>_xlfn.XLOOKUP(tblRequirementMeasureXref[[#This Row],[msr_id]],tblMeasure[msr_id],tblMeasure[msr_name])</f>
        <v>Count of concluded Section 42 safeguarding enquiries by type, location and source of risk</v>
      </c>
      <c r="J844" s="22" t="str">
        <f>_xlfn.XLOOKUP(tblRequirementMeasureXref[[#This Row],[msr_id]],tblMeasure[msr_id],tblMeasure[primary_dimensions])</f>
        <v>concluded safeguarding enquiries, risk type, risk location, risk source</v>
      </c>
      <c r="K844" s="22" t="str">
        <f>_xlfn.XLOOKUP(tblRequirementMeasureXref[[#This Row],[msr_id]],tblMeasure[msr_id],tblMeasure[msr_min_geo_resolution])</f>
        <v>LA</v>
      </c>
      <c r="L844" s="22" t="str">
        <f>_xlfn.XLOOKUP(tblRequirementMeasureXref[[#This Row],[msr_id]],tblMeasure[msr_id],tblMeasure[src_name])</f>
        <v>Safeguarding Adults</v>
      </c>
    </row>
    <row r="845" spans="1:12" x14ac:dyDescent="0.15">
      <c r="A845" s="1" t="str">
        <f>_xlfn.XLOOKUP(tblRequirementMeasureXref[[#This Row],[dm_id]],tblDataRequirement[dm_id],tblDataRequirement[domain_sub_requirement])</f>
        <v>Service:Support setting:Home</v>
      </c>
      <c r="B845" s="1" t="str">
        <f>_xlfn.XLOOKUP(tblRequirementMeasureXref[[#This Row],[dm_id]],tblDataRequirement[dm_id],tblDataRequirement[dm_phase])</f>
        <v>operate</v>
      </c>
      <c r="C845" s="1">
        <v>40</v>
      </c>
      <c r="D845" s="1">
        <v>227</v>
      </c>
      <c r="G845" s="1"/>
      <c r="H845" s="62" t="str">
        <f>_xlfn.XLOOKUP(tblRequirementMeasureXref[[#This Row],[msr_id]],tblMeasure[msr_id],tblMeasure[msr_table])</f>
        <v>Table 2</v>
      </c>
      <c r="I845" s="22" t="str">
        <f>_xlfn.XLOOKUP(tblRequirementMeasureXref[[#This Row],[msr_id]],tblMeasure[msr_id],tblMeasure[msr_name])</f>
        <v>Count of concluded Section 42 safeguarding enquiries by type, location and source of risk</v>
      </c>
      <c r="J845" s="22" t="str">
        <f>_xlfn.XLOOKUP(tblRequirementMeasureXref[[#This Row],[msr_id]],tblMeasure[msr_id],tblMeasure[primary_dimensions])</f>
        <v>concluded safeguarding enquiries, risk type, risk location, risk source</v>
      </c>
      <c r="K845" s="22" t="str">
        <f>_xlfn.XLOOKUP(tblRequirementMeasureXref[[#This Row],[msr_id]],tblMeasure[msr_id],tblMeasure[msr_min_geo_resolution])</f>
        <v>LA</v>
      </c>
      <c r="L845" s="22" t="str">
        <f>_xlfn.XLOOKUP(tblRequirementMeasureXref[[#This Row],[msr_id]],tblMeasure[msr_id],tblMeasure[src_name])</f>
        <v>Safeguarding Adults</v>
      </c>
    </row>
    <row r="846" spans="1:12" x14ac:dyDescent="0.15">
      <c r="A846" s="1" t="str">
        <f>_xlfn.XLOOKUP(tblRequirementMeasureXref[[#This Row],[dm_id]],tblDataRequirement[dm_id],tblDataRequirement[domain_sub_requirement])</f>
        <v>Service:Support setting:Residential care home</v>
      </c>
      <c r="B846" s="1" t="str">
        <f>_xlfn.XLOOKUP(tblRequirementMeasureXref[[#This Row],[dm_id]],tblDataRequirement[dm_id],tblDataRequirement[dm_phase])</f>
        <v>operate</v>
      </c>
      <c r="C846" s="1">
        <v>41</v>
      </c>
      <c r="D846" s="1">
        <v>227</v>
      </c>
      <c r="G846" s="1"/>
      <c r="H846" s="62" t="str">
        <f>_xlfn.XLOOKUP(tblRequirementMeasureXref[[#This Row],[msr_id]],tblMeasure[msr_id],tblMeasure[msr_table])</f>
        <v>Table 2</v>
      </c>
      <c r="I846" s="22" t="str">
        <f>_xlfn.XLOOKUP(tblRequirementMeasureXref[[#This Row],[msr_id]],tblMeasure[msr_id],tblMeasure[msr_name])</f>
        <v>Count of concluded Section 42 safeguarding enquiries by type, location and source of risk</v>
      </c>
      <c r="J846" s="22" t="str">
        <f>_xlfn.XLOOKUP(tblRequirementMeasureXref[[#This Row],[msr_id]],tblMeasure[msr_id],tblMeasure[primary_dimensions])</f>
        <v>concluded safeguarding enquiries, risk type, risk location, risk source</v>
      </c>
      <c r="K846" s="22" t="str">
        <f>_xlfn.XLOOKUP(tblRequirementMeasureXref[[#This Row],[msr_id]],tblMeasure[msr_id],tblMeasure[msr_min_geo_resolution])</f>
        <v>LA</v>
      </c>
      <c r="L846" s="22" t="str">
        <f>_xlfn.XLOOKUP(tblRequirementMeasureXref[[#This Row],[msr_id]],tblMeasure[msr_id],tblMeasure[src_name])</f>
        <v>Safeguarding Adults</v>
      </c>
    </row>
    <row r="847" spans="1:12" x14ac:dyDescent="0.15">
      <c r="A847" s="1" t="str">
        <f>_xlfn.XLOOKUP(tblRequirementMeasureXref[[#This Row],[dm_id]],tblDataRequirement[dm_id],tblDataRequirement[domain_sub_requirement])</f>
        <v>Service:Support setting:Nursing home</v>
      </c>
      <c r="B847" s="1" t="str">
        <f>_xlfn.XLOOKUP(tblRequirementMeasureXref[[#This Row],[dm_id]],tblDataRequirement[dm_id],tblDataRequirement[dm_phase])</f>
        <v>operate</v>
      </c>
      <c r="C847" s="1">
        <v>42</v>
      </c>
      <c r="D847" s="1">
        <v>227</v>
      </c>
      <c r="G847" s="1"/>
      <c r="H847" s="62" t="str">
        <f>_xlfn.XLOOKUP(tblRequirementMeasureXref[[#This Row],[msr_id]],tblMeasure[msr_id],tblMeasure[msr_table])</f>
        <v>Table 2</v>
      </c>
      <c r="I847" s="22" t="str">
        <f>_xlfn.XLOOKUP(tblRequirementMeasureXref[[#This Row],[msr_id]],tblMeasure[msr_id],tblMeasure[msr_name])</f>
        <v>Count of concluded Section 42 safeguarding enquiries by type, location and source of risk</v>
      </c>
      <c r="J847" s="22" t="str">
        <f>_xlfn.XLOOKUP(tblRequirementMeasureXref[[#This Row],[msr_id]],tblMeasure[msr_id],tblMeasure[primary_dimensions])</f>
        <v>concluded safeguarding enquiries, risk type, risk location, risk source</v>
      </c>
      <c r="K847" s="22" t="str">
        <f>_xlfn.XLOOKUP(tblRequirementMeasureXref[[#This Row],[msr_id]],tblMeasure[msr_id],tblMeasure[msr_min_geo_resolution])</f>
        <v>LA</v>
      </c>
      <c r="L847" s="22" t="str">
        <f>_xlfn.XLOOKUP(tblRequirementMeasureXref[[#This Row],[msr_id]],tblMeasure[msr_id],tblMeasure[src_name])</f>
        <v>Safeguarding Adults</v>
      </c>
    </row>
    <row r="848" spans="1:12" x14ac:dyDescent="0.15">
      <c r="A848" s="1" t="str">
        <f>_xlfn.XLOOKUP(tblRequirementMeasureXref[[#This Row],[dm_id]],tblDataRequirement[dm_id],tblDataRequirement[domain_sub_requirement])</f>
        <v>Service:Support setting:Community</v>
      </c>
      <c r="B848" s="1" t="str">
        <f>_xlfn.XLOOKUP(tblRequirementMeasureXref[[#This Row],[dm_id]],tblDataRequirement[dm_id],tblDataRequirement[dm_phase])</f>
        <v>operate</v>
      </c>
      <c r="C848" s="1">
        <v>43</v>
      </c>
      <c r="D848" s="1">
        <v>227</v>
      </c>
      <c r="G848" s="1"/>
      <c r="H848" s="62" t="str">
        <f>_xlfn.XLOOKUP(tblRequirementMeasureXref[[#This Row],[msr_id]],tblMeasure[msr_id],tblMeasure[msr_table])</f>
        <v>Table 2</v>
      </c>
      <c r="I848" s="22" t="str">
        <f>_xlfn.XLOOKUP(tblRequirementMeasureXref[[#This Row],[msr_id]],tblMeasure[msr_id],tblMeasure[msr_name])</f>
        <v>Count of concluded Section 42 safeguarding enquiries by type, location and source of risk</v>
      </c>
      <c r="J848" s="22" t="str">
        <f>_xlfn.XLOOKUP(tblRequirementMeasureXref[[#This Row],[msr_id]],tblMeasure[msr_id],tblMeasure[primary_dimensions])</f>
        <v>concluded safeguarding enquiries, risk type, risk location, risk source</v>
      </c>
      <c r="K848" s="22" t="str">
        <f>_xlfn.XLOOKUP(tblRequirementMeasureXref[[#This Row],[msr_id]],tblMeasure[msr_id],tblMeasure[msr_min_geo_resolution])</f>
        <v>LA</v>
      </c>
      <c r="L848" s="22" t="str">
        <f>_xlfn.XLOOKUP(tblRequirementMeasureXref[[#This Row],[msr_id]],tblMeasure[msr_id],tblMeasure[src_name])</f>
        <v>Safeguarding Adults</v>
      </c>
    </row>
    <row r="849" spans="1:12" x14ac:dyDescent="0.15">
      <c r="A849" s="1" t="str">
        <f>_xlfn.XLOOKUP(tblRequirementMeasureXref[[#This Row],[dm_id]],tblDataRequirement[dm_id],tblDataRequirement[domain_sub_requirement])</f>
        <v>Providers:Type:Organisations</v>
      </c>
      <c r="B849" s="1" t="str">
        <f>_xlfn.XLOOKUP(tblRequirementMeasureXref[[#This Row],[dm_id]],tblDataRequirement[dm_id],tblDataRequirement[dm_phase])</f>
        <v>operate</v>
      </c>
      <c r="C849" s="1">
        <v>60</v>
      </c>
      <c r="D849" s="1">
        <v>227</v>
      </c>
      <c r="G849" s="1"/>
      <c r="H849" s="62" t="str">
        <f>_xlfn.XLOOKUP(tblRequirementMeasureXref[[#This Row],[msr_id]],tblMeasure[msr_id],tblMeasure[msr_table])</f>
        <v>Table 2</v>
      </c>
      <c r="I849" s="22" t="str">
        <f>_xlfn.XLOOKUP(tblRequirementMeasureXref[[#This Row],[msr_id]],tblMeasure[msr_id],tblMeasure[msr_name])</f>
        <v>Count of concluded Section 42 safeguarding enquiries by type, location and source of risk</v>
      </c>
      <c r="J849" s="22" t="str">
        <f>_xlfn.XLOOKUP(tblRequirementMeasureXref[[#This Row],[msr_id]],tblMeasure[msr_id],tblMeasure[primary_dimensions])</f>
        <v>concluded safeguarding enquiries, risk type, risk location, risk source</v>
      </c>
      <c r="K849" s="22" t="str">
        <f>_xlfn.XLOOKUP(tblRequirementMeasureXref[[#This Row],[msr_id]],tblMeasure[msr_id],tblMeasure[msr_min_geo_resolution])</f>
        <v>LA</v>
      </c>
      <c r="L849" s="22" t="str">
        <f>_xlfn.XLOOKUP(tblRequirementMeasureXref[[#This Row],[msr_id]],tblMeasure[msr_id],tblMeasure[src_name])</f>
        <v>Safeguarding Adults</v>
      </c>
    </row>
    <row r="850" spans="1:12" x14ac:dyDescent="0.15">
      <c r="A850" s="1" t="str">
        <f>_xlfn.XLOOKUP(tblRequirementMeasureXref[[#This Row],[dm_id]],tblDataRequirement[dm_id],tblDataRequirement[domain_sub_requirement])</f>
        <v>Service:Quality:Safety</v>
      </c>
      <c r="B850" s="1" t="str">
        <f>_xlfn.XLOOKUP(tblRequirementMeasureXref[[#This Row],[dm_id]],tblDataRequirement[dm_id],tblDataRequirement[dm_phase])</f>
        <v>outcome</v>
      </c>
      <c r="C850" s="1">
        <v>74</v>
      </c>
      <c r="D850" s="1">
        <v>228</v>
      </c>
      <c r="G850" s="1"/>
      <c r="H850" s="62" t="str">
        <f>_xlfn.XLOOKUP(tblRequirementMeasureXref[[#This Row],[msr_id]],tblMeasure[msr_id],tblMeasure[msr_table])</f>
        <v>Table 3</v>
      </c>
      <c r="I850" s="22" t="str">
        <f>_xlfn.XLOOKUP(tblRequirementMeasureXref[[#This Row],[msr_id]],tblMeasure[msr_id],tblMeasure[msr_name])</f>
        <v>Count of concluded Section 42 safeguarding enquiries by risk assessment outcome and risk outcome</v>
      </c>
      <c r="J850" s="22" t="str">
        <f>_xlfn.XLOOKUP(tblRequirementMeasureXref[[#This Row],[msr_id]],tblMeasure[msr_id],tblMeasure[primary_dimensions])</f>
        <v>concluded safeguarding enquiries, risk assessment outcome, risk outcome</v>
      </c>
      <c r="K850" s="22" t="str">
        <f>_xlfn.XLOOKUP(tblRequirementMeasureXref[[#This Row],[msr_id]],tblMeasure[msr_id],tblMeasure[msr_min_geo_resolution])</f>
        <v>LA</v>
      </c>
      <c r="L850" s="22" t="str">
        <f>_xlfn.XLOOKUP(tblRequirementMeasureXref[[#This Row],[msr_id]],tblMeasure[msr_id],tblMeasure[src_name])</f>
        <v>Safeguarding Adults</v>
      </c>
    </row>
    <row r="851" spans="1:12" x14ac:dyDescent="0.15">
      <c r="A851" s="1" t="str">
        <f>_xlfn.XLOOKUP(tblRequirementMeasureXref[[#This Row],[dm_id]],tblDataRequirement[dm_id],tblDataRequirement[domain_sub_requirement])</f>
        <v>Service:Quality:Safety</v>
      </c>
      <c r="B851" s="1" t="str">
        <f>_xlfn.XLOOKUP(tblRequirementMeasureXref[[#This Row],[dm_id]],tblDataRequirement[dm_id],tblDataRequirement[dm_phase])</f>
        <v>outcome</v>
      </c>
      <c r="C851" s="1">
        <v>74</v>
      </c>
      <c r="D851" s="1">
        <v>229</v>
      </c>
      <c r="G851" s="1"/>
      <c r="H851" s="62" t="str">
        <f>_xlfn.XLOOKUP(tblRequirementMeasureXref[[#This Row],[msr_id]],tblMeasure[msr_id],tblMeasure[msr_table])</f>
        <v>Table 4</v>
      </c>
      <c r="I851" s="22" t="str">
        <f>_xlfn.XLOOKUP(tblRequirementMeasureXref[[#This Row],[msr_id]],tblMeasure[msr_id],tblMeasure[msr_name])</f>
        <v>Individuals involved in Section 42 safeguarding enquiries per 100,000 adults by age group and age standardised rate</v>
      </c>
      <c r="J851" s="22" t="str">
        <f>_xlfn.XLOOKUP(tblRequirementMeasureXref[[#This Row],[msr_id]],tblMeasure[msr_id],tblMeasure[primary_dimensions])</f>
        <v>individuals involved in safeguarding enquiries, age group</v>
      </c>
      <c r="K851" s="22" t="str">
        <f>_xlfn.XLOOKUP(tblRequirementMeasureXref[[#This Row],[msr_id]],tblMeasure[msr_id],tblMeasure[msr_min_geo_resolution])</f>
        <v>LA</v>
      </c>
      <c r="L851" s="22" t="str">
        <f>_xlfn.XLOOKUP(tblRequirementMeasureXref[[#This Row],[msr_id]],tblMeasure[msr_id],tblMeasure[src_name])</f>
        <v>Safeguarding Adults</v>
      </c>
    </row>
    <row r="852" spans="1:12" x14ac:dyDescent="0.15">
      <c r="A852" s="1" t="str">
        <f>_xlfn.XLOOKUP(tblRequirementMeasureXref[[#This Row],[dm_id]],tblDataRequirement[dm_id],tblDataRequirement[domain_sub_requirement])</f>
        <v>Users:Demographics:Age</v>
      </c>
      <c r="B852" s="1" t="str">
        <f>_xlfn.XLOOKUP(tblRequirementMeasureXref[[#This Row],[dm_id]],tblDataRequirement[dm_id],tblDataRequirement[dm_phase])</f>
        <v>demand</v>
      </c>
      <c r="C852" s="1">
        <v>51</v>
      </c>
      <c r="D852" s="1">
        <v>229</v>
      </c>
      <c r="G852" s="1"/>
      <c r="H852" s="62" t="str">
        <f>_xlfn.XLOOKUP(tblRequirementMeasureXref[[#This Row],[msr_id]],tblMeasure[msr_id],tblMeasure[msr_table])</f>
        <v>Table 4</v>
      </c>
      <c r="I852" s="22" t="str">
        <f>_xlfn.XLOOKUP(tblRequirementMeasureXref[[#This Row],[msr_id]],tblMeasure[msr_id],tblMeasure[msr_name])</f>
        <v>Individuals involved in Section 42 safeguarding enquiries per 100,000 adults by age group and age standardised rate</v>
      </c>
      <c r="J852" s="22" t="str">
        <f>_xlfn.XLOOKUP(tblRequirementMeasureXref[[#This Row],[msr_id]],tblMeasure[msr_id],tblMeasure[primary_dimensions])</f>
        <v>individuals involved in safeguarding enquiries, age group</v>
      </c>
      <c r="K852" s="22" t="str">
        <f>_xlfn.XLOOKUP(tblRequirementMeasureXref[[#This Row],[msr_id]],tblMeasure[msr_id],tblMeasure[msr_min_geo_resolution])</f>
        <v>LA</v>
      </c>
      <c r="L852" s="22" t="str">
        <f>_xlfn.XLOOKUP(tblRequirementMeasureXref[[#This Row],[msr_id]],tblMeasure[msr_id],tblMeasure[src_name])</f>
        <v>Safeguarding Adults</v>
      </c>
    </row>
    <row r="853" spans="1:12" x14ac:dyDescent="0.15">
      <c r="A853" s="1" t="str">
        <f>_xlfn.XLOOKUP(tblRequirementMeasureXref[[#This Row],[dm_id]],tblDataRequirement[dm_id],tblDataRequirement[domain_sub_requirement])</f>
        <v>Service:Quality:Safety</v>
      </c>
      <c r="B853" s="1" t="str">
        <f>_xlfn.XLOOKUP(tblRequirementMeasureXref[[#This Row],[dm_id]],tblDataRequirement[dm_id],tblDataRequirement[dm_phase])</f>
        <v>outcome</v>
      </c>
      <c r="C853" s="1">
        <v>74</v>
      </c>
      <c r="D853" s="1">
        <v>230</v>
      </c>
      <c r="G853" s="1"/>
      <c r="H853" s="62" t="str">
        <f>_xlfn.XLOOKUP(tblRequirementMeasureXref[[#This Row],[msr_id]],tblMeasure[msr_id],tblMeasure[msr_table])</f>
        <v>Table 5</v>
      </c>
      <c r="I853" s="22" t="str">
        <f>_xlfn.XLOOKUP(tblRequirementMeasureXref[[#This Row],[msr_id]],tblMeasure[msr_id],tblMeasure[msr_name])</f>
        <v>Individuals involved in Section 42 safeguarding enquiries by gender and ethnic origin</v>
      </c>
      <c r="J853" s="22" t="str">
        <f>_xlfn.XLOOKUP(tblRequirementMeasureXref[[#This Row],[msr_id]],tblMeasure[msr_id],tblMeasure[primary_dimensions])</f>
        <v>individuals involved in safeguarding enquiries, gender, ethnic group</v>
      </c>
      <c r="K853" s="22" t="str">
        <f>_xlfn.XLOOKUP(tblRequirementMeasureXref[[#This Row],[msr_id]],tblMeasure[msr_id],tblMeasure[msr_min_geo_resolution])</f>
        <v>LA</v>
      </c>
      <c r="L853" s="22" t="str">
        <f>_xlfn.XLOOKUP(tblRequirementMeasureXref[[#This Row],[msr_id]],tblMeasure[msr_id],tblMeasure[src_name])</f>
        <v>Safeguarding Adults</v>
      </c>
    </row>
    <row r="854" spans="1:12" x14ac:dyDescent="0.15">
      <c r="A854" s="1" t="str">
        <f>_xlfn.XLOOKUP(tblRequirementMeasureXref[[#This Row],[dm_id]],tblDataRequirement[dm_id],tblDataRequirement[domain_sub_requirement])</f>
        <v>Users:Demographics:Gender</v>
      </c>
      <c r="B854" s="1" t="str">
        <f>_xlfn.XLOOKUP(tblRequirementMeasureXref[[#This Row],[dm_id]],tblDataRequirement[dm_id],tblDataRequirement[dm_phase])</f>
        <v>demand</v>
      </c>
      <c r="C854" s="1">
        <v>62</v>
      </c>
      <c r="D854" s="1">
        <v>230</v>
      </c>
      <c r="G854" s="1"/>
      <c r="H854" s="62" t="str">
        <f>_xlfn.XLOOKUP(tblRequirementMeasureXref[[#This Row],[msr_id]],tblMeasure[msr_id],tblMeasure[msr_table])</f>
        <v>Table 5</v>
      </c>
      <c r="I854" s="22" t="str">
        <f>_xlfn.XLOOKUP(tblRequirementMeasureXref[[#This Row],[msr_id]],tblMeasure[msr_id],tblMeasure[msr_name])</f>
        <v>Individuals involved in Section 42 safeguarding enquiries by gender and ethnic origin</v>
      </c>
      <c r="J854" s="22" t="str">
        <f>_xlfn.XLOOKUP(tblRequirementMeasureXref[[#This Row],[msr_id]],tblMeasure[msr_id],tblMeasure[primary_dimensions])</f>
        <v>individuals involved in safeguarding enquiries, gender, ethnic group</v>
      </c>
      <c r="K854" s="22" t="str">
        <f>_xlfn.XLOOKUP(tblRequirementMeasureXref[[#This Row],[msr_id]],tblMeasure[msr_id],tblMeasure[msr_min_geo_resolution])</f>
        <v>LA</v>
      </c>
      <c r="L854" s="22" t="str">
        <f>_xlfn.XLOOKUP(tblRequirementMeasureXref[[#This Row],[msr_id]],tblMeasure[msr_id],tblMeasure[src_name])</f>
        <v>Safeguarding Adults</v>
      </c>
    </row>
    <row r="855" spans="1:12" x14ac:dyDescent="0.15">
      <c r="A855" s="1" t="str">
        <f>_xlfn.XLOOKUP(tblRequirementMeasureXref[[#This Row],[dm_id]],tblDataRequirement[dm_id],tblDataRequirement[domain_sub_requirement])</f>
        <v>Users:Demographics:Ethnicity</v>
      </c>
      <c r="B855" s="1" t="str">
        <f>_xlfn.XLOOKUP(tblRequirementMeasureXref[[#This Row],[dm_id]],tblDataRequirement[dm_id],tblDataRequirement[dm_phase])</f>
        <v>demand</v>
      </c>
      <c r="C855" s="1">
        <v>73</v>
      </c>
      <c r="D855" s="1">
        <v>230</v>
      </c>
      <c r="G855" s="1"/>
      <c r="H855" s="62" t="str">
        <f>_xlfn.XLOOKUP(tblRequirementMeasureXref[[#This Row],[msr_id]],tblMeasure[msr_id],tblMeasure[msr_table])</f>
        <v>Table 5</v>
      </c>
      <c r="I855" s="22" t="str">
        <f>_xlfn.XLOOKUP(tblRequirementMeasureXref[[#This Row],[msr_id]],tblMeasure[msr_id],tblMeasure[msr_name])</f>
        <v>Individuals involved in Section 42 safeguarding enquiries by gender and ethnic origin</v>
      </c>
      <c r="J855" s="22" t="str">
        <f>_xlfn.XLOOKUP(tblRequirementMeasureXref[[#This Row],[msr_id]],tblMeasure[msr_id],tblMeasure[primary_dimensions])</f>
        <v>individuals involved in safeguarding enquiries, gender, ethnic group</v>
      </c>
      <c r="K855" s="22" t="str">
        <f>_xlfn.XLOOKUP(tblRequirementMeasureXref[[#This Row],[msr_id]],tblMeasure[msr_id],tblMeasure[msr_min_geo_resolution])</f>
        <v>LA</v>
      </c>
      <c r="L855" s="22" t="str">
        <f>_xlfn.XLOOKUP(tblRequirementMeasureXref[[#This Row],[msr_id]],tblMeasure[msr_id],tblMeasure[src_name])</f>
        <v>Safeguarding Adults</v>
      </c>
    </row>
    <row r="856" spans="1:12" x14ac:dyDescent="0.15">
      <c r="A856" s="1" t="str">
        <f>_xlfn.XLOOKUP(tblRequirementMeasureXref[[#This Row],[dm_id]],tblDataRequirement[dm_id],tblDataRequirement[domain_sub_requirement])</f>
        <v>Service:Quality:Safety</v>
      </c>
      <c r="B856" s="1" t="str">
        <f>_xlfn.XLOOKUP(tblRequirementMeasureXref[[#This Row],[dm_id]],tblDataRequirement[dm_id],tblDataRequirement[dm_phase])</f>
        <v>outcome</v>
      </c>
      <c r="C856" s="1">
        <v>74</v>
      </c>
      <c r="D856" s="1">
        <v>231</v>
      </c>
      <c r="G856" s="1"/>
      <c r="H856" s="62" t="str">
        <f>_xlfn.XLOOKUP(tblRequirementMeasureXref[[#This Row],[msr_id]],tblMeasure[msr_id],tblMeasure[msr_table])</f>
        <v>Table 6</v>
      </c>
      <c r="I856" s="22" t="str">
        <f>_xlfn.XLOOKUP(tblRequirementMeasureXref[[#This Row],[msr_id]],tblMeasure[msr_id],tblMeasure[msr_name])</f>
        <v>Individuals involved in Section 42 safeguarding enquiries by primary support reason and reported health condition</v>
      </c>
      <c r="J856" s="22" t="str">
        <f>_xlfn.XLOOKUP(tblRequirementMeasureXref[[#This Row],[msr_id]],tblMeasure[msr_id],tblMeasure[primary_dimensions])</f>
        <v>individuals involved in safeguarding enquiries, LD type</v>
      </c>
      <c r="K856" s="22" t="str">
        <f>_xlfn.XLOOKUP(tblRequirementMeasureXref[[#This Row],[msr_id]],tblMeasure[msr_id],tblMeasure[msr_min_geo_resolution])</f>
        <v>LA</v>
      </c>
      <c r="L856" s="22" t="str">
        <f>_xlfn.XLOOKUP(tblRequirementMeasureXref[[#This Row],[msr_id]],tblMeasure[msr_id],tblMeasure[src_name])</f>
        <v>Safeguarding Adults</v>
      </c>
    </row>
    <row r="857" spans="1:12" x14ac:dyDescent="0.15">
      <c r="A857" s="1" t="str">
        <f>_xlfn.XLOOKUP(tblRequirementMeasureXref[[#This Row],[dm_id]],tblDataRequirement[dm_id],tblDataRequirement[domain_sub_requirement])</f>
        <v>Users:Care need:Support reason</v>
      </c>
      <c r="B857" s="1" t="str">
        <f>_xlfn.XLOOKUP(tblRequirementMeasureXref[[#This Row],[dm_id]],tblDataRequirement[dm_id],tblDataRequirement[dm_phase])</f>
        <v>demand</v>
      </c>
      <c r="C857" s="1">
        <v>56</v>
      </c>
      <c r="D857" s="1">
        <v>231</v>
      </c>
      <c r="G857" s="1"/>
      <c r="H857" s="62" t="str">
        <f>_xlfn.XLOOKUP(tblRequirementMeasureXref[[#This Row],[msr_id]],tblMeasure[msr_id],tblMeasure[msr_table])</f>
        <v>Table 6</v>
      </c>
      <c r="I857" s="22" t="str">
        <f>_xlfn.XLOOKUP(tblRequirementMeasureXref[[#This Row],[msr_id]],tblMeasure[msr_id],tblMeasure[msr_name])</f>
        <v>Individuals involved in Section 42 safeguarding enquiries by primary support reason and reported health condition</v>
      </c>
      <c r="J857" s="22" t="str">
        <f>_xlfn.XLOOKUP(tblRequirementMeasureXref[[#This Row],[msr_id]],tblMeasure[msr_id],tblMeasure[primary_dimensions])</f>
        <v>individuals involved in safeguarding enquiries, LD type</v>
      </c>
      <c r="K857" s="22" t="str">
        <f>_xlfn.XLOOKUP(tblRequirementMeasureXref[[#This Row],[msr_id]],tblMeasure[msr_id],tblMeasure[msr_min_geo_resolution])</f>
        <v>LA</v>
      </c>
      <c r="L857" s="22" t="str">
        <f>_xlfn.XLOOKUP(tblRequirementMeasureXref[[#This Row],[msr_id]],tblMeasure[msr_id],tblMeasure[src_name])</f>
        <v>Safeguarding Adults</v>
      </c>
    </row>
    <row r="858" spans="1:12" x14ac:dyDescent="0.15">
      <c r="A858" s="1" t="str">
        <f>_xlfn.XLOOKUP(tblRequirementMeasureXref[[#This Row],[dm_id]],tblDataRequirement[dm_id],tblDataRequirement[domain_sub_requirement])</f>
        <v>Service:Quality:Safety</v>
      </c>
      <c r="B858" s="1" t="str">
        <f>_xlfn.XLOOKUP(tblRequirementMeasureXref[[#This Row],[dm_id]],tblDataRequirement[dm_id],tblDataRequirement[dm_phase])</f>
        <v>outcome</v>
      </c>
      <c r="C858" s="1">
        <v>74</v>
      </c>
      <c r="D858" s="1">
        <v>232</v>
      </c>
      <c r="G858" s="1"/>
      <c r="H858" s="62" t="str">
        <f>_xlfn.XLOOKUP(tblRequirementMeasureXref[[#This Row],[msr_id]],tblMeasure[msr_id],tblMeasure[msr_table])</f>
        <v>Table 7</v>
      </c>
      <c r="I858" s="22" t="str">
        <f>_xlfn.XLOOKUP(tblRequirementMeasureXref[[#This Row],[msr_id]],tblMeasure[msr_id],tblMeasure[msr_name])</f>
        <v>Mental capacity assessment outcomes for concluded Section 42 safeguarding enquiries</v>
      </c>
      <c r="J858" s="22" t="str">
        <f>_xlfn.XLOOKUP(tblRequirementMeasureXref[[#This Row],[msr_id]],tblMeasure[msr_id],tblMeasure[primary_dimensions])</f>
        <v>mental capacity assessment outcomes</v>
      </c>
      <c r="K858" s="22" t="str">
        <f>_xlfn.XLOOKUP(tblRequirementMeasureXref[[#This Row],[msr_id]],tblMeasure[msr_id],tblMeasure[msr_min_geo_resolution])</f>
        <v>LA</v>
      </c>
      <c r="L858" s="22" t="str">
        <f>_xlfn.XLOOKUP(tblRequirementMeasureXref[[#This Row],[msr_id]],tblMeasure[msr_id],tblMeasure[src_name])</f>
        <v>Safeguarding Adults</v>
      </c>
    </row>
    <row r="859" spans="1:12" x14ac:dyDescent="0.15">
      <c r="A859" s="1" t="str">
        <f>_xlfn.XLOOKUP(tblRequirementMeasureXref[[#This Row],[dm_id]],tblDataRequirement[dm_id],tblDataRequirement[domain_sub_requirement])</f>
        <v>Service:Quality:Safety</v>
      </c>
      <c r="B859" s="1" t="str">
        <f>_xlfn.XLOOKUP(tblRequirementMeasureXref[[#This Row],[dm_id]],tblDataRequirement[dm_id],tblDataRequirement[dm_phase])</f>
        <v>outcome</v>
      </c>
      <c r="C859" s="1">
        <v>74</v>
      </c>
      <c r="D859" s="1">
        <v>233</v>
      </c>
      <c r="G859" s="1"/>
      <c r="H859" s="62" t="str">
        <f>_xlfn.XLOOKUP(tblRequirementMeasureXref[[#This Row],[msr_id]],tblMeasure[msr_id],tblMeasure[msr_table])</f>
        <v>Table 8</v>
      </c>
      <c r="I859" s="22" t="str">
        <f>_xlfn.XLOOKUP(tblRequirementMeasureXref[[#This Row],[msr_id]],tblMeasure[msr_id],tblMeasure[msr_name])</f>
        <v>Making Safeguarding Personal responses for concluded Section 42 safeguarding enquiries</v>
      </c>
      <c r="J859" s="22" t="str">
        <f>_xlfn.XLOOKUP(tblRequirementMeasureXref[[#This Row],[msr_id]],tblMeasure[msr_id],tblMeasure[primary_dimensions])</f>
        <v>safeguarding personal responses</v>
      </c>
      <c r="K859" s="22" t="str">
        <f>_xlfn.XLOOKUP(tblRequirementMeasureXref[[#This Row],[msr_id]],tblMeasure[msr_id],tblMeasure[msr_min_geo_resolution])</f>
        <v>LA</v>
      </c>
      <c r="L859" s="22" t="str">
        <f>_xlfn.XLOOKUP(tblRequirementMeasureXref[[#This Row],[msr_id]],tblMeasure[msr_id],tblMeasure[src_name])</f>
        <v>Safeguarding Adults</v>
      </c>
    </row>
    <row r="860" spans="1:12" x14ac:dyDescent="0.15">
      <c r="A860" s="1" t="str">
        <f>_xlfn.XLOOKUP(tblRequirementMeasureXref[[#This Row],[dm_id]],tblDataRequirement[dm_id],tblDataRequirement[domain_sub_requirement])</f>
        <v>Service:Integration:NHS secondary care</v>
      </c>
      <c r="B860" s="1" t="str">
        <f>_xlfn.XLOOKUP(tblRequirementMeasureXref[[#This Row],[dm_id]],tblDataRequirement[dm_id],tblDataRequirement[dm_phase])</f>
        <v>operate</v>
      </c>
      <c r="C860" s="1">
        <v>37</v>
      </c>
      <c r="D860" s="1">
        <v>234</v>
      </c>
      <c r="G860" s="1"/>
      <c r="H860" s="62" t="str">
        <f>_xlfn.XLOOKUP(tblRequirementMeasureXref[[#This Row],[msr_id]],tblMeasure[msr_id],tblMeasure[msr_table])</f>
        <v>Table 1</v>
      </c>
      <c r="I860" s="22" t="str">
        <f>_xlfn.XLOOKUP(tblRequirementMeasureXref[[#This Row],[msr_id]],tblMeasure[msr_id],tblMeasure[msr_name])</f>
        <v>Delayed Transfers of Care (DTOC) by who the delay is attributable to (NHS, Social Care or Both) and by the reasons for the delay.</v>
      </c>
      <c r="J860" s="22" t="str">
        <f>_xlfn.XLOOKUP(tblRequirementMeasureXref[[#This Row],[msr_id]],tblMeasure[msr_id],tblMeasure[primary_dimensions])</f>
        <v>delayed days, NHS care type, attributable service, delay reason</v>
      </c>
      <c r="K860" s="22" t="str">
        <f>_xlfn.XLOOKUP(tblRequirementMeasureXref[[#This Row],[msr_id]],tblMeasure[msr_id],tblMeasure[msr_min_geo_resolution])</f>
        <v>England</v>
      </c>
      <c r="L860" s="22" t="str">
        <f>_xlfn.XLOOKUP(tblRequirementMeasureXref[[#This Row],[msr_id]],tblMeasure[msr_id],tblMeasure[src_name])</f>
        <v>Delayed Transfers of Care</v>
      </c>
    </row>
    <row r="861" spans="1:12" x14ac:dyDescent="0.15">
      <c r="A861" s="1" t="str">
        <f>_xlfn.XLOOKUP(tblRequirementMeasureXref[[#This Row],[dm_id]],tblDataRequirement[dm_id],tblDataRequirement[domain_sub_requirement])</f>
        <v>Providers:Type:Organisations</v>
      </c>
      <c r="B861" s="1" t="str">
        <f>_xlfn.XLOOKUP(tblRequirementMeasureXref[[#This Row],[dm_id]],tblDataRequirement[dm_id],tblDataRequirement[dm_phase])</f>
        <v>operate</v>
      </c>
      <c r="C861" s="1">
        <v>60</v>
      </c>
      <c r="D861" s="1">
        <v>234</v>
      </c>
      <c r="G861" s="1"/>
      <c r="H861" s="62" t="str">
        <f>_xlfn.XLOOKUP(tblRequirementMeasureXref[[#This Row],[msr_id]],tblMeasure[msr_id],tblMeasure[msr_table])</f>
        <v>Table 1</v>
      </c>
      <c r="I861" s="22" t="str">
        <f>_xlfn.XLOOKUP(tblRequirementMeasureXref[[#This Row],[msr_id]],tblMeasure[msr_id],tblMeasure[msr_name])</f>
        <v>Delayed Transfers of Care (DTOC) by who the delay is attributable to (NHS, Social Care or Both) and by the reasons for the delay.</v>
      </c>
      <c r="J861" s="22" t="str">
        <f>_xlfn.XLOOKUP(tblRequirementMeasureXref[[#This Row],[msr_id]],tblMeasure[msr_id],tblMeasure[primary_dimensions])</f>
        <v>delayed days, NHS care type, attributable service, delay reason</v>
      </c>
      <c r="K861" s="22" t="str">
        <f>_xlfn.XLOOKUP(tblRequirementMeasureXref[[#This Row],[msr_id]],tblMeasure[msr_id],tblMeasure[msr_min_geo_resolution])</f>
        <v>England</v>
      </c>
      <c r="L861" s="22" t="str">
        <f>_xlfn.XLOOKUP(tblRequirementMeasureXref[[#This Row],[msr_id]],tblMeasure[msr_id],tblMeasure[src_name])</f>
        <v>Delayed Transfers of Care</v>
      </c>
    </row>
    <row r="862" spans="1:12" x14ac:dyDescent="0.15">
      <c r="A862" s="1" t="str">
        <f>_xlfn.XLOOKUP(tblRequirementMeasureXref[[#This Row],[dm_id]],tblDataRequirement[dm_id],tblDataRequirement[domain_sub_requirement])</f>
        <v>Funders:Expenditure:Local authorities</v>
      </c>
      <c r="B862" s="1" t="str">
        <f>_xlfn.XLOOKUP(tblRequirementMeasureXref[[#This Row],[dm_id]],tblDataRequirement[dm_id],tblDataRequirement[dm_phase])</f>
        <v>supply</v>
      </c>
      <c r="C862" s="1">
        <v>3</v>
      </c>
      <c r="D862" s="1">
        <v>234</v>
      </c>
      <c r="G862" s="1"/>
      <c r="H862" s="62" t="str">
        <f>_xlfn.XLOOKUP(tblRequirementMeasureXref[[#This Row],[msr_id]],tblMeasure[msr_id],tblMeasure[msr_table])</f>
        <v>Table 1</v>
      </c>
      <c r="I862" s="22" t="str">
        <f>_xlfn.XLOOKUP(tblRequirementMeasureXref[[#This Row],[msr_id]],tblMeasure[msr_id],tblMeasure[msr_name])</f>
        <v>Delayed Transfers of Care (DTOC) by who the delay is attributable to (NHS, Social Care or Both) and by the reasons for the delay.</v>
      </c>
      <c r="J862" s="22" t="str">
        <f>_xlfn.XLOOKUP(tblRequirementMeasureXref[[#This Row],[msr_id]],tblMeasure[msr_id],tblMeasure[primary_dimensions])</f>
        <v>delayed days, NHS care type, attributable service, delay reason</v>
      </c>
      <c r="K862" s="22" t="str">
        <f>_xlfn.XLOOKUP(tblRequirementMeasureXref[[#This Row],[msr_id]],tblMeasure[msr_id],tblMeasure[msr_min_geo_resolution])</f>
        <v>England</v>
      </c>
      <c r="L862" s="22" t="str">
        <f>_xlfn.XLOOKUP(tblRequirementMeasureXref[[#This Row],[msr_id]],tblMeasure[msr_id],tblMeasure[src_name])</f>
        <v>Delayed Transfers of Care</v>
      </c>
    </row>
    <row r="863" spans="1:12" x14ac:dyDescent="0.15">
      <c r="A863" s="1" t="str">
        <f>_xlfn.XLOOKUP(tblRequirementMeasureXref[[#This Row],[dm_id]],tblDataRequirement[dm_id],tblDataRequirement[domain_sub_requirement])</f>
        <v>Service:Support setting:Home</v>
      </c>
      <c r="B863" s="1" t="str">
        <f>_xlfn.XLOOKUP(tblRequirementMeasureXref[[#This Row],[dm_id]],tblDataRequirement[dm_id],tblDataRequirement[dm_phase])</f>
        <v>operate</v>
      </c>
      <c r="C863" s="1">
        <v>40</v>
      </c>
      <c r="D863" s="1">
        <v>234</v>
      </c>
      <c r="G863" s="1"/>
      <c r="H863" s="62" t="str">
        <f>_xlfn.XLOOKUP(tblRequirementMeasureXref[[#This Row],[msr_id]],tblMeasure[msr_id],tblMeasure[msr_table])</f>
        <v>Table 1</v>
      </c>
      <c r="I863" s="22" t="str">
        <f>_xlfn.XLOOKUP(tblRequirementMeasureXref[[#This Row],[msr_id]],tblMeasure[msr_id],tblMeasure[msr_name])</f>
        <v>Delayed Transfers of Care (DTOC) by who the delay is attributable to (NHS, Social Care or Both) and by the reasons for the delay.</v>
      </c>
      <c r="J863" s="22" t="str">
        <f>_xlfn.XLOOKUP(tblRequirementMeasureXref[[#This Row],[msr_id]],tblMeasure[msr_id],tblMeasure[primary_dimensions])</f>
        <v>delayed days, NHS care type, attributable service, delay reason</v>
      </c>
      <c r="K863" s="22" t="str">
        <f>_xlfn.XLOOKUP(tblRequirementMeasureXref[[#This Row],[msr_id]],tblMeasure[msr_id],tblMeasure[msr_min_geo_resolution])</f>
        <v>England</v>
      </c>
      <c r="L863" s="22" t="str">
        <f>_xlfn.XLOOKUP(tblRequirementMeasureXref[[#This Row],[msr_id]],tblMeasure[msr_id],tblMeasure[src_name])</f>
        <v>Delayed Transfers of Care</v>
      </c>
    </row>
    <row r="864" spans="1:12" x14ac:dyDescent="0.15">
      <c r="A864" s="1" t="str">
        <f>_xlfn.XLOOKUP(tblRequirementMeasureXref[[#This Row],[dm_id]],tblDataRequirement[dm_id],tblDataRequirement[domain_sub_requirement])</f>
        <v>Service:Support setting:Residential care home</v>
      </c>
      <c r="B864" s="1" t="str">
        <f>_xlfn.XLOOKUP(tblRequirementMeasureXref[[#This Row],[dm_id]],tblDataRequirement[dm_id],tblDataRequirement[dm_phase])</f>
        <v>operate</v>
      </c>
      <c r="C864" s="1">
        <v>41</v>
      </c>
      <c r="D864" s="1">
        <v>234</v>
      </c>
      <c r="G864" s="1"/>
      <c r="H864" s="62" t="str">
        <f>_xlfn.XLOOKUP(tblRequirementMeasureXref[[#This Row],[msr_id]],tblMeasure[msr_id],tblMeasure[msr_table])</f>
        <v>Table 1</v>
      </c>
      <c r="I864" s="22" t="str">
        <f>_xlfn.XLOOKUP(tblRequirementMeasureXref[[#This Row],[msr_id]],tblMeasure[msr_id],tblMeasure[msr_name])</f>
        <v>Delayed Transfers of Care (DTOC) by who the delay is attributable to (NHS, Social Care or Both) and by the reasons for the delay.</v>
      </c>
      <c r="J864" s="22" t="str">
        <f>_xlfn.XLOOKUP(tblRequirementMeasureXref[[#This Row],[msr_id]],tblMeasure[msr_id],tblMeasure[primary_dimensions])</f>
        <v>delayed days, NHS care type, attributable service, delay reason</v>
      </c>
      <c r="K864" s="22" t="str">
        <f>_xlfn.XLOOKUP(tblRequirementMeasureXref[[#This Row],[msr_id]],tblMeasure[msr_id],tblMeasure[msr_min_geo_resolution])</f>
        <v>England</v>
      </c>
      <c r="L864" s="22" t="str">
        <f>_xlfn.XLOOKUP(tblRequirementMeasureXref[[#This Row],[msr_id]],tblMeasure[msr_id],tblMeasure[src_name])</f>
        <v>Delayed Transfers of Care</v>
      </c>
    </row>
    <row r="865" spans="1:12" x14ac:dyDescent="0.15">
      <c r="A865" s="1" t="str">
        <f>_xlfn.XLOOKUP(tblRequirementMeasureXref[[#This Row],[dm_id]],tblDataRequirement[dm_id],tblDataRequirement[domain_sub_requirement])</f>
        <v>Service:Support setting:Nursing home</v>
      </c>
      <c r="B865" s="1" t="str">
        <f>_xlfn.XLOOKUP(tblRequirementMeasureXref[[#This Row],[dm_id]],tblDataRequirement[dm_id],tblDataRequirement[dm_phase])</f>
        <v>operate</v>
      </c>
      <c r="C865" s="1">
        <v>42</v>
      </c>
      <c r="D865" s="1">
        <v>234</v>
      </c>
      <c r="G865" s="1"/>
      <c r="H865" s="62" t="str">
        <f>_xlfn.XLOOKUP(tblRequirementMeasureXref[[#This Row],[msr_id]],tblMeasure[msr_id],tblMeasure[msr_table])</f>
        <v>Table 1</v>
      </c>
      <c r="I865" s="22" t="str">
        <f>_xlfn.XLOOKUP(tblRequirementMeasureXref[[#This Row],[msr_id]],tblMeasure[msr_id],tblMeasure[msr_name])</f>
        <v>Delayed Transfers of Care (DTOC) by who the delay is attributable to (NHS, Social Care or Both) and by the reasons for the delay.</v>
      </c>
      <c r="J865" s="22" t="str">
        <f>_xlfn.XLOOKUP(tblRequirementMeasureXref[[#This Row],[msr_id]],tblMeasure[msr_id],tblMeasure[primary_dimensions])</f>
        <v>delayed days, NHS care type, attributable service, delay reason</v>
      </c>
      <c r="K865" s="22" t="str">
        <f>_xlfn.XLOOKUP(tblRequirementMeasureXref[[#This Row],[msr_id]],tblMeasure[msr_id],tblMeasure[msr_min_geo_resolution])</f>
        <v>England</v>
      </c>
      <c r="L865" s="22" t="str">
        <f>_xlfn.XLOOKUP(tblRequirementMeasureXref[[#This Row],[msr_id]],tblMeasure[msr_id],tblMeasure[src_name])</f>
        <v>Delayed Transfers of Care</v>
      </c>
    </row>
    <row r="866" spans="1:12" x14ac:dyDescent="0.15">
      <c r="A866" s="1" t="str">
        <f>_xlfn.XLOOKUP(tblRequirementMeasureXref[[#This Row],[dm_id]],tblDataRequirement[dm_id],tblDataRequirement[domain_sub_requirement])</f>
        <v>Service:Support setting:Community</v>
      </c>
      <c r="B866" s="1" t="str">
        <f>_xlfn.XLOOKUP(tblRequirementMeasureXref[[#This Row],[dm_id]],tblDataRequirement[dm_id],tblDataRequirement[dm_phase])</f>
        <v>operate</v>
      </c>
      <c r="C866" s="1">
        <v>43</v>
      </c>
      <c r="D866" s="1">
        <v>234</v>
      </c>
      <c r="G866" s="1"/>
      <c r="H866" s="62" t="str">
        <f>_xlfn.XLOOKUP(tblRequirementMeasureXref[[#This Row],[msr_id]],tblMeasure[msr_id],tblMeasure[msr_table])</f>
        <v>Table 1</v>
      </c>
      <c r="I866" s="22" t="str">
        <f>_xlfn.XLOOKUP(tblRequirementMeasureXref[[#This Row],[msr_id]],tblMeasure[msr_id],tblMeasure[msr_name])</f>
        <v>Delayed Transfers of Care (DTOC) by who the delay is attributable to (NHS, Social Care or Both) and by the reasons for the delay.</v>
      </c>
      <c r="J866" s="22" t="str">
        <f>_xlfn.XLOOKUP(tblRequirementMeasureXref[[#This Row],[msr_id]],tblMeasure[msr_id],tblMeasure[primary_dimensions])</f>
        <v>delayed days, NHS care type, attributable service, delay reason</v>
      </c>
      <c r="K866" s="22" t="str">
        <f>_xlfn.XLOOKUP(tblRequirementMeasureXref[[#This Row],[msr_id]],tblMeasure[msr_id],tblMeasure[msr_min_geo_resolution])</f>
        <v>England</v>
      </c>
      <c r="L866" s="22" t="str">
        <f>_xlfn.XLOOKUP(tblRequirementMeasureXref[[#This Row],[msr_id]],tblMeasure[msr_id],tblMeasure[src_name])</f>
        <v>Delayed Transfers of Care</v>
      </c>
    </row>
    <row r="867" spans="1:12" x14ac:dyDescent="0.15">
      <c r="A867" s="1" t="str">
        <f>_xlfn.XLOOKUP(tblRequirementMeasureXref[[#This Row],[dm_id]],tblDataRequirement[dm_id],tblDataRequirement[domain_sub_requirement])</f>
        <v>Service:Integration:NHS secondary care</v>
      </c>
      <c r="B867" s="1" t="str">
        <f>_xlfn.XLOOKUP(tblRequirementMeasureXref[[#This Row],[dm_id]],tblDataRequirement[dm_id],tblDataRequirement[dm_phase])</f>
        <v>operate</v>
      </c>
      <c r="C867" s="1">
        <v>37</v>
      </c>
      <c r="D867" s="1">
        <v>235</v>
      </c>
      <c r="G867" s="1"/>
      <c r="H867" s="62" t="str">
        <f>_xlfn.XLOOKUP(tblRequirementMeasureXref[[#This Row],[msr_id]],tblMeasure[msr_id],tblMeasure[msr_table])</f>
        <v>Table 2</v>
      </c>
      <c r="I867" s="22" t="str">
        <f>_xlfn.XLOOKUP(tblRequirementMeasureXref[[#This Row],[msr_id]],tblMeasure[msr_id],tblMeasure[msr_name])</f>
        <v>Number of Delayed Days during the reporting period, Acute and Non-Acute, for NHS Organisations in England by the type of care that the patient receives, by Local Authority</v>
      </c>
      <c r="J867" s="22" t="str">
        <f>_xlfn.XLOOKUP(tblRequirementMeasureXref[[#This Row],[msr_id]],tblMeasure[msr_id],tblMeasure[primary_dimensions])</f>
        <v>delayed days, people delayed, NHS care type</v>
      </c>
      <c r="K867" s="22" t="str">
        <f>_xlfn.XLOOKUP(tblRequirementMeasureXref[[#This Row],[msr_id]],tblMeasure[msr_id],tblMeasure[msr_min_geo_resolution])</f>
        <v>LA</v>
      </c>
      <c r="L867" s="22" t="str">
        <f>_xlfn.XLOOKUP(tblRequirementMeasureXref[[#This Row],[msr_id]],tblMeasure[msr_id],tblMeasure[src_name])</f>
        <v>Delayed Transfers of Care</v>
      </c>
    </row>
    <row r="868" spans="1:12" x14ac:dyDescent="0.15">
      <c r="A868" s="1" t="str">
        <f>_xlfn.XLOOKUP(tblRequirementMeasureXref[[#This Row],[dm_id]],tblDataRequirement[dm_id],tblDataRequirement[domain_sub_requirement])</f>
        <v>Service:Integration:NHS secondary care</v>
      </c>
      <c r="B868" s="1" t="str">
        <f>_xlfn.XLOOKUP(tblRequirementMeasureXref[[#This Row],[dm_id]],tblDataRequirement[dm_id],tblDataRequirement[dm_phase])</f>
        <v>operate</v>
      </c>
      <c r="C868" s="1">
        <v>37</v>
      </c>
      <c r="D868" s="1">
        <v>236</v>
      </c>
      <c r="G868" s="1"/>
      <c r="H868" s="62" t="str">
        <f>_xlfn.XLOOKUP(tblRequirementMeasureXref[[#This Row],[msr_id]],tblMeasure[msr_id],tblMeasure[msr_table])</f>
        <v>Table 3</v>
      </c>
      <c r="I868" s="22" t="str">
        <f>_xlfn.XLOOKUP(tblRequirementMeasureXref[[#This Row],[msr_id]],tblMeasure[msr_id],tblMeasure[msr_name])</f>
        <v>Number of Delayed Days during the reporting period, Acute and Non-Acute, for NHS Organisations in England by the responsible organisation, by Local Authority</v>
      </c>
      <c r="J868" s="22" t="str">
        <f>_xlfn.XLOOKUP(tblRequirementMeasureXref[[#This Row],[msr_id]],tblMeasure[msr_id],tblMeasure[primary_dimensions])</f>
        <v>delayed days, people delayed, NHS care type, attributable service</v>
      </c>
      <c r="K868" s="22" t="str">
        <f>_xlfn.XLOOKUP(tblRequirementMeasureXref[[#This Row],[msr_id]],tblMeasure[msr_id],tblMeasure[msr_min_geo_resolution])</f>
        <v>LA</v>
      </c>
      <c r="L868" s="22" t="str">
        <f>_xlfn.XLOOKUP(tblRequirementMeasureXref[[#This Row],[msr_id]],tblMeasure[msr_id],tblMeasure[src_name])</f>
        <v>Delayed Transfers of Care</v>
      </c>
    </row>
    <row r="869" spans="1:12" x14ac:dyDescent="0.15">
      <c r="A869" s="1" t="str">
        <f>_xlfn.XLOOKUP(tblRequirementMeasureXref[[#This Row],[dm_id]],tblDataRequirement[dm_id],tblDataRequirement[domain_sub_requirement])</f>
        <v>Providers:Type:Organisations</v>
      </c>
      <c r="B869" s="1" t="str">
        <f>_xlfn.XLOOKUP(tblRequirementMeasureXref[[#This Row],[dm_id]],tblDataRequirement[dm_id],tblDataRequirement[dm_phase])</f>
        <v>operate</v>
      </c>
      <c r="C869" s="1">
        <v>60</v>
      </c>
      <c r="D869" s="1">
        <v>236</v>
      </c>
      <c r="G869" s="1"/>
      <c r="H869" s="62" t="str">
        <f>_xlfn.XLOOKUP(tblRequirementMeasureXref[[#This Row],[msr_id]],tblMeasure[msr_id],tblMeasure[msr_table])</f>
        <v>Table 3</v>
      </c>
      <c r="I869" s="22" t="str">
        <f>_xlfn.XLOOKUP(tblRequirementMeasureXref[[#This Row],[msr_id]],tblMeasure[msr_id],tblMeasure[msr_name])</f>
        <v>Number of Delayed Days during the reporting period, Acute and Non-Acute, for NHS Organisations in England by the responsible organisation, by Local Authority</v>
      </c>
      <c r="J869" s="22" t="str">
        <f>_xlfn.XLOOKUP(tblRequirementMeasureXref[[#This Row],[msr_id]],tblMeasure[msr_id],tblMeasure[primary_dimensions])</f>
        <v>delayed days, people delayed, NHS care type, attributable service</v>
      </c>
      <c r="K869" s="22" t="str">
        <f>_xlfn.XLOOKUP(tblRequirementMeasureXref[[#This Row],[msr_id]],tblMeasure[msr_id],tblMeasure[msr_min_geo_resolution])</f>
        <v>LA</v>
      </c>
      <c r="L869" s="22" t="str">
        <f>_xlfn.XLOOKUP(tblRequirementMeasureXref[[#This Row],[msr_id]],tblMeasure[msr_id],tblMeasure[src_name])</f>
        <v>Delayed Transfers of Care</v>
      </c>
    </row>
    <row r="870" spans="1:12" x14ac:dyDescent="0.15">
      <c r="A870" s="1" t="str">
        <f>_xlfn.XLOOKUP(tblRequirementMeasureXref[[#This Row],[dm_id]],tblDataRequirement[dm_id],tblDataRequirement[domain_sub_requirement])</f>
        <v>Service:Integration:NHS secondary care</v>
      </c>
      <c r="B870" s="1" t="str">
        <f>_xlfn.XLOOKUP(tblRequirementMeasureXref[[#This Row],[dm_id]],tblDataRequirement[dm_id],tblDataRequirement[dm_phase])</f>
        <v>operate</v>
      </c>
      <c r="C870" s="1">
        <v>37</v>
      </c>
      <c r="D870" s="1">
        <v>237</v>
      </c>
      <c r="G870" s="1"/>
      <c r="H870" s="62" t="str">
        <f>_xlfn.XLOOKUP(tblRequirementMeasureXref[[#This Row],[msr_id]],tblMeasure[msr_id],tblMeasure[msr_table])</f>
        <v>Table 4</v>
      </c>
      <c r="I870" s="22" t="str">
        <f>_xlfn.XLOOKUP(tblRequirementMeasureXref[[#This Row],[msr_id]],tblMeasure[msr_id],tblMeasure[msr_name])</f>
        <v>Number of Delayed Days during the reporting period, Acute and Non-Acute, for NHS Organisations in England by reason for delay, by Local Authority</v>
      </c>
      <c r="J870" s="22" t="str">
        <f>_xlfn.XLOOKUP(tblRequirementMeasureXref[[#This Row],[msr_id]],tblMeasure[msr_id],tblMeasure[primary_dimensions])</f>
        <v>delayed days, reason</v>
      </c>
      <c r="K870" s="22" t="str">
        <f>_xlfn.XLOOKUP(tblRequirementMeasureXref[[#This Row],[msr_id]],tblMeasure[msr_id],tblMeasure[msr_min_geo_resolution])</f>
        <v>LA</v>
      </c>
      <c r="L870" s="22" t="str">
        <f>_xlfn.XLOOKUP(tblRequirementMeasureXref[[#This Row],[msr_id]],tblMeasure[msr_id],tblMeasure[src_name])</f>
        <v>Delayed Transfers of Care</v>
      </c>
    </row>
    <row r="871" spans="1:12" x14ac:dyDescent="0.15">
      <c r="A871" s="1" t="str">
        <f>_xlfn.XLOOKUP(tblRequirementMeasureXref[[#This Row],[dm_id]],tblDataRequirement[dm_id],tblDataRequirement[domain_sub_requirement])</f>
        <v>Providers:Type:Organisations</v>
      </c>
      <c r="B871" s="1" t="str">
        <f>_xlfn.XLOOKUP(tblRequirementMeasureXref[[#This Row],[dm_id]],tblDataRequirement[dm_id],tblDataRequirement[dm_phase])</f>
        <v>operate</v>
      </c>
      <c r="C871" s="1">
        <v>60</v>
      </c>
      <c r="D871" s="1">
        <v>237</v>
      </c>
      <c r="G871" s="1"/>
      <c r="H871" s="62" t="str">
        <f>_xlfn.XLOOKUP(tblRequirementMeasureXref[[#This Row],[msr_id]],tblMeasure[msr_id],tblMeasure[msr_table])</f>
        <v>Table 4</v>
      </c>
      <c r="I871" s="22" t="str">
        <f>_xlfn.XLOOKUP(tblRequirementMeasureXref[[#This Row],[msr_id]],tblMeasure[msr_id],tblMeasure[msr_name])</f>
        <v>Number of Delayed Days during the reporting period, Acute and Non-Acute, for NHS Organisations in England by reason for delay, by Local Authority</v>
      </c>
      <c r="J871" s="22" t="str">
        <f>_xlfn.XLOOKUP(tblRequirementMeasureXref[[#This Row],[msr_id]],tblMeasure[msr_id],tblMeasure[primary_dimensions])</f>
        <v>delayed days, reason</v>
      </c>
      <c r="K871" s="22" t="str">
        <f>_xlfn.XLOOKUP(tblRequirementMeasureXref[[#This Row],[msr_id]],tblMeasure[msr_id],tblMeasure[msr_min_geo_resolution])</f>
        <v>LA</v>
      </c>
      <c r="L871" s="22" t="str">
        <f>_xlfn.XLOOKUP(tblRequirementMeasureXref[[#This Row],[msr_id]],tblMeasure[msr_id],tblMeasure[src_name])</f>
        <v>Delayed Transfers of Care</v>
      </c>
    </row>
    <row r="872" spans="1:12" x14ac:dyDescent="0.15">
      <c r="A872" s="1" t="str">
        <f>_xlfn.XLOOKUP(tblRequirementMeasureXref[[#This Row],[dm_id]],tblDataRequirement[dm_id],tblDataRequirement[domain_sub_requirement])</f>
        <v>Funders:Expenditure:Local authorities</v>
      </c>
      <c r="B872" s="1" t="str">
        <f>_xlfn.XLOOKUP(tblRequirementMeasureXref[[#This Row],[dm_id]],tblDataRequirement[dm_id],tblDataRequirement[dm_phase])</f>
        <v>supply</v>
      </c>
      <c r="C872" s="1">
        <v>3</v>
      </c>
      <c r="D872" s="1">
        <v>237</v>
      </c>
      <c r="G872" s="1"/>
      <c r="H872" s="62" t="str">
        <f>_xlfn.XLOOKUP(tblRequirementMeasureXref[[#This Row],[msr_id]],tblMeasure[msr_id],tblMeasure[msr_table])</f>
        <v>Table 4</v>
      </c>
      <c r="I872" s="22" t="str">
        <f>_xlfn.XLOOKUP(tblRequirementMeasureXref[[#This Row],[msr_id]],tblMeasure[msr_id],tblMeasure[msr_name])</f>
        <v>Number of Delayed Days during the reporting period, Acute and Non-Acute, for NHS Organisations in England by reason for delay, by Local Authority</v>
      </c>
      <c r="J872" s="22" t="str">
        <f>_xlfn.XLOOKUP(tblRequirementMeasureXref[[#This Row],[msr_id]],tblMeasure[msr_id],tblMeasure[primary_dimensions])</f>
        <v>delayed days, reason</v>
      </c>
      <c r="K872" s="22" t="str">
        <f>_xlfn.XLOOKUP(tblRequirementMeasureXref[[#This Row],[msr_id]],tblMeasure[msr_id],tblMeasure[msr_min_geo_resolution])</f>
        <v>LA</v>
      </c>
      <c r="L872" s="22" t="str">
        <f>_xlfn.XLOOKUP(tblRequirementMeasureXref[[#This Row],[msr_id]],tblMeasure[msr_id],tblMeasure[src_name])</f>
        <v>Delayed Transfers of Care</v>
      </c>
    </row>
    <row r="873" spans="1:12" x14ac:dyDescent="0.15">
      <c r="A873" s="1" t="str">
        <f>_xlfn.XLOOKUP(tblRequirementMeasureXref[[#This Row],[dm_id]],tblDataRequirement[dm_id],tblDataRequirement[domain_sub_requirement])</f>
        <v>Service:Support setting:Home</v>
      </c>
      <c r="B873" s="1" t="str">
        <f>_xlfn.XLOOKUP(tblRequirementMeasureXref[[#This Row],[dm_id]],tblDataRequirement[dm_id],tblDataRequirement[dm_phase])</f>
        <v>operate</v>
      </c>
      <c r="C873" s="1">
        <v>40</v>
      </c>
      <c r="D873" s="1">
        <v>237</v>
      </c>
      <c r="G873" s="1"/>
      <c r="H873" s="62" t="str">
        <f>_xlfn.XLOOKUP(tblRequirementMeasureXref[[#This Row],[msr_id]],tblMeasure[msr_id],tblMeasure[msr_table])</f>
        <v>Table 4</v>
      </c>
      <c r="I873" s="22" t="str">
        <f>_xlfn.XLOOKUP(tblRequirementMeasureXref[[#This Row],[msr_id]],tblMeasure[msr_id],tblMeasure[msr_name])</f>
        <v>Number of Delayed Days during the reporting period, Acute and Non-Acute, for NHS Organisations in England by reason for delay, by Local Authority</v>
      </c>
      <c r="J873" s="22" t="str">
        <f>_xlfn.XLOOKUP(tblRequirementMeasureXref[[#This Row],[msr_id]],tblMeasure[msr_id],tblMeasure[primary_dimensions])</f>
        <v>delayed days, reason</v>
      </c>
      <c r="K873" s="22" t="str">
        <f>_xlfn.XLOOKUP(tblRequirementMeasureXref[[#This Row],[msr_id]],tblMeasure[msr_id],tblMeasure[msr_min_geo_resolution])</f>
        <v>LA</v>
      </c>
      <c r="L873" s="22" t="str">
        <f>_xlfn.XLOOKUP(tblRequirementMeasureXref[[#This Row],[msr_id]],tblMeasure[msr_id],tblMeasure[src_name])</f>
        <v>Delayed Transfers of Care</v>
      </c>
    </row>
    <row r="874" spans="1:12" x14ac:dyDescent="0.15">
      <c r="A874" s="1" t="str">
        <f>_xlfn.XLOOKUP(tblRequirementMeasureXref[[#This Row],[dm_id]],tblDataRequirement[dm_id],tblDataRequirement[domain_sub_requirement])</f>
        <v>Service:Support setting:Residential care home</v>
      </c>
      <c r="B874" s="1" t="str">
        <f>_xlfn.XLOOKUP(tblRequirementMeasureXref[[#This Row],[dm_id]],tblDataRequirement[dm_id],tblDataRequirement[dm_phase])</f>
        <v>operate</v>
      </c>
      <c r="C874" s="1">
        <v>41</v>
      </c>
      <c r="D874" s="1">
        <v>237</v>
      </c>
      <c r="G874" s="1"/>
      <c r="H874" s="62" t="str">
        <f>_xlfn.XLOOKUP(tblRequirementMeasureXref[[#This Row],[msr_id]],tblMeasure[msr_id],tblMeasure[msr_table])</f>
        <v>Table 4</v>
      </c>
      <c r="I874" s="22" t="str">
        <f>_xlfn.XLOOKUP(tblRequirementMeasureXref[[#This Row],[msr_id]],tblMeasure[msr_id],tblMeasure[msr_name])</f>
        <v>Number of Delayed Days during the reporting period, Acute and Non-Acute, for NHS Organisations in England by reason for delay, by Local Authority</v>
      </c>
      <c r="J874" s="22" t="str">
        <f>_xlfn.XLOOKUP(tblRequirementMeasureXref[[#This Row],[msr_id]],tblMeasure[msr_id],tblMeasure[primary_dimensions])</f>
        <v>delayed days, reason</v>
      </c>
      <c r="K874" s="22" t="str">
        <f>_xlfn.XLOOKUP(tblRequirementMeasureXref[[#This Row],[msr_id]],tblMeasure[msr_id],tblMeasure[msr_min_geo_resolution])</f>
        <v>LA</v>
      </c>
      <c r="L874" s="22" t="str">
        <f>_xlfn.XLOOKUP(tblRequirementMeasureXref[[#This Row],[msr_id]],tblMeasure[msr_id],tblMeasure[src_name])</f>
        <v>Delayed Transfers of Care</v>
      </c>
    </row>
    <row r="875" spans="1:12" x14ac:dyDescent="0.15">
      <c r="A875" s="1" t="str">
        <f>_xlfn.XLOOKUP(tblRequirementMeasureXref[[#This Row],[dm_id]],tblDataRequirement[dm_id],tblDataRequirement[domain_sub_requirement])</f>
        <v>Service:Support setting:Nursing home</v>
      </c>
      <c r="B875" s="1" t="str">
        <f>_xlfn.XLOOKUP(tblRequirementMeasureXref[[#This Row],[dm_id]],tblDataRequirement[dm_id],tblDataRequirement[dm_phase])</f>
        <v>operate</v>
      </c>
      <c r="C875" s="1">
        <v>42</v>
      </c>
      <c r="D875" s="1">
        <v>237</v>
      </c>
      <c r="G875" s="1"/>
      <c r="H875" s="62" t="str">
        <f>_xlfn.XLOOKUP(tblRequirementMeasureXref[[#This Row],[msr_id]],tblMeasure[msr_id],tblMeasure[msr_table])</f>
        <v>Table 4</v>
      </c>
      <c r="I875" s="22" t="str">
        <f>_xlfn.XLOOKUP(tblRequirementMeasureXref[[#This Row],[msr_id]],tblMeasure[msr_id],tblMeasure[msr_name])</f>
        <v>Number of Delayed Days during the reporting period, Acute and Non-Acute, for NHS Organisations in England by reason for delay, by Local Authority</v>
      </c>
      <c r="J875" s="22" t="str">
        <f>_xlfn.XLOOKUP(tblRequirementMeasureXref[[#This Row],[msr_id]],tblMeasure[msr_id],tblMeasure[primary_dimensions])</f>
        <v>delayed days, reason</v>
      </c>
      <c r="K875" s="22" t="str">
        <f>_xlfn.XLOOKUP(tblRequirementMeasureXref[[#This Row],[msr_id]],tblMeasure[msr_id],tblMeasure[msr_min_geo_resolution])</f>
        <v>LA</v>
      </c>
      <c r="L875" s="22" t="str">
        <f>_xlfn.XLOOKUP(tblRequirementMeasureXref[[#This Row],[msr_id]],tblMeasure[msr_id],tblMeasure[src_name])</f>
        <v>Delayed Transfers of Care</v>
      </c>
    </row>
    <row r="876" spans="1:12" x14ac:dyDescent="0.15">
      <c r="A876" s="1" t="str">
        <f>_xlfn.XLOOKUP(tblRequirementMeasureXref[[#This Row],[dm_id]],tblDataRequirement[dm_id],tblDataRequirement[domain_sub_requirement])</f>
        <v>Service:Support setting:Community</v>
      </c>
      <c r="B876" s="1" t="str">
        <f>_xlfn.XLOOKUP(tblRequirementMeasureXref[[#This Row],[dm_id]],tblDataRequirement[dm_id],tblDataRequirement[dm_phase])</f>
        <v>operate</v>
      </c>
      <c r="C876" s="1">
        <v>43</v>
      </c>
      <c r="D876" s="1">
        <v>237</v>
      </c>
      <c r="G876" s="1"/>
      <c r="H876" s="62" t="str">
        <f>_xlfn.XLOOKUP(tblRequirementMeasureXref[[#This Row],[msr_id]],tblMeasure[msr_id],tblMeasure[msr_table])</f>
        <v>Table 4</v>
      </c>
      <c r="I876" s="22" t="str">
        <f>_xlfn.XLOOKUP(tblRequirementMeasureXref[[#This Row],[msr_id]],tblMeasure[msr_id],tblMeasure[msr_name])</f>
        <v>Number of Delayed Days during the reporting period, Acute and Non-Acute, for NHS Organisations in England by reason for delay, by Local Authority</v>
      </c>
      <c r="J876" s="22" t="str">
        <f>_xlfn.XLOOKUP(tblRequirementMeasureXref[[#This Row],[msr_id]],tblMeasure[msr_id],tblMeasure[primary_dimensions])</f>
        <v>delayed days, reason</v>
      </c>
      <c r="K876" s="22" t="str">
        <f>_xlfn.XLOOKUP(tblRequirementMeasureXref[[#This Row],[msr_id]],tblMeasure[msr_id],tblMeasure[msr_min_geo_resolution])</f>
        <v>LA</v>
      </c>
      <c r="L876" s="22" t="str">
        <f>_xlfn.XLOOKUP(tblRequirementMeasureXref[[#This Row],[msr_id]],tblMeasure[msr_id],tblMeasure[src_name])</f>
        <v>Delayed Transfers of Care</v>
      </c>
    </row>
    <row r="877" spans="1:12" x14ac:dyDescent="0.15">
      <c r="A877" s="1" t="str">
        <f>_xlfn.XLOOKUP(tblRequirementMeasureXref[[#This Row],[dm_id]],tblDataRequirement[dm_id],tblDataRequirement[domain_sub_requirement])</f>
        <v>Service:Integration:NHS secondary care</v>
      </c>
      <c r="B877" s="1" t="str">
        <f>_xlfn.XLOOKUP(tblRequirementMeasureXref[[#This Row],[dm_id]],tblDataRequirement[dm_id],tblDataRequirement[dm_phase])</f>
        <v>operate</v>
      </c>
      <c r="C877" s="1">
        <v>37</v>
      </c>
      <c r="D877" s="1">
        <v>238</v>
      </c>
      <c r="G877" s="1"/>
      <c r="H877" s="62" t="str">
        <f>_xlfn.XLOOKUP(tblRequirementMeasureXref[[#This Row],[msr_id]],tblMeasure[msr_id],tblMeasure[msr_table])</f>
        <v>Table 2</v>
      </c>
      <c r="I877" s="22" t="str">
        <f>_xlfn.XLOOKUP(tblRequirementMeasureXref[[#This Row],[msr_id]],tblMeasure[msr_id],tblMeasure[msr_name])</f>
        <v>Number of Delayed Days during the reporting period, Acute and Non-Acute, for NHS Organisations in England by the type of care that the patient receives, by Trust</v>
      </c>
      <c r="J877" s="22" t="str">
        <f>_xlfn.XLOOKUP(tblRequirementMeasureXref[[#This Row],[msr_id]],tblMeasure[msr_id],tblMeasure[primary_dimensions])</f>
        <v>delayed days, people delayed, NHS care type</v>
      </c>
      <c r="K877" s="22" t="str">
        <f>_xlfn.XLOOKUP(tblRequirementMeasureXref[[#This Row],[msr_id]],tblMeasure[msr_id],tblMeasure[msr_min_geo_resolution])</f>
        <v>Trust</v>
      </c>
      <c r="L877" s="22" t="str">
        <f>_xlfn.XLOOKUP(tblRequirementMeasureXref[[#This Row],[msr_id]],tblMeasure[msr_id],tblMeasure[src_name])</f>
        <v>Delayed Transfers of Care</v>
      </c>
    </row>
    <row r="878" spans="1:12" x14ac:dyDescent="0.15">
      <c r="A878" s="1" t="str">
        <f>_xlfn.XLOOKUP(tblRequirementMeasureXref[[#This Row],[dm_id]],tblDataRequirement[dm_id],tblDataRequirement[domain_sub_requirement])</f>
        <v>Service:Integration:NHS secondary care</v>
      </c>
      <c r="B878" s="1" t="str">
        <f>_xlfn.XLOOKUP(tblRequirementMeasureXref[[#This Row],[dm_id]],tblDataRequirement[dm_id],tblDataRequirement[dm_phase])</f>
        <v>operate</v>
      </c>
      <c r="C878" s="1">
        <v>37</v>
      </c>
      <c r="D878" s="1">
        <v>239</v>
      </c>
      <c r="G878" s="1"/>
      <c r="H878" s="62" t="str">
        <f>_xlfn.XLOOKUP(tblRequirementMeasureXref[[#This Row],[msr_id]],tblMeasure[msr_id],tblMeasure[msr_table])</f>
        <v>Table 3</v>
      </c>
      <c r="I878" s="22" t="str">
        <f>_xlfn.XLOOKUP(tblRequirementMeasureXref[[#This Row],[msr_id]],tblMeasure[msr_id],tblMeasure[msr_name])</f>
        <v>Number of Delayed Days during the reporting period, Acute and Non-Acute, for NHS Organisations in England by the responsible organisation, by Trust</v>
      </c>
      <c r="J878" s="22" t="str">
        <f>_xlfn.XLOOKUP(tblRequirementMeasureXref[[#This Row],[msr_id]],tblMeasure[msr_id],tblMeasure[primary_dimensions])</f>
        <v>delayed days, people delayed, NHS care type, attributable service</v>
      </c>
      <c r="K878" s="22" t="str">
        <f>_xlfn.XLOOKUP(tblRequirementMeasureXref[[#This Row],[msr_id]],tblMeasure[msr_id],tblMeasure[msr_min_geo_resolution])</f>
        <v>Trust</v>
      </c>
      <c r="L878" s="22" t="str">
        <f>_xlfn.XLOOKUP(tblRequirementMeasureXref[[#This Row],[msr_id]],tblMeasure[msr_id],tblMeasure[src_name])</f>
        <v>Delayed Transfers of Care</v>
      </c>
    </row>
    <row r="879" spans="1:12" x14ac:dyDescent="0.15">
      <c r="A879" s="1" t="str">
        <f>_xlfn.XLOOKUP(tblRequirementMeasureXref[[#This Row],[dm_id]],tblDataRequirement[dm_id],tblDataRequirement[domain_sub_requirement])</f>
        <v>Providers:Type:Organisations</v>
      </c>
      <c r="B879" s="1" t="str">
        <f>_xlfn.XLOOKUP(tblRequirementMeasureXref[[#This Row],[dm_id]],tblDataRequirement[dm_id],tblDataRequirement[dm_phase])</f>
        <v>operate</v>
      </c>
      <c r="C879" s="1">
        <v>60</v>
      </c>
      <c r="D879" s="1">
        <v>239</v>
      </c>
      <c r="G879" s="1"/>
      <c r="H879" s="62" t="str">
        <f>_xlfn.XLOOKUP(tblRequirementMeasureXref[[#This Row],[msr_id]],tblMeasure[msr_id],tblMeasure[msr_table])</f>
        <v>Table 3</v>
      </c>
      <c r="I879" s="22" t="str">
        <f>_xlfn.XLOOKUP(tblRequirementMeasureXref[[#This Row],[msr_id]],tblMeasure[msr_id],tblMeasure[msr_name])</f>
        <v>Number of Delayed Days during the reporting period, Acute and Non-Acute, for NHS Organisations in England by the responsible organisation, by Trust</v>
      </c>
      <c r="J879" s="22" t="str">
        <f>_xlfn.XLOOKUP(tblRequirementMeasureXref[[#This Row],[msr_id]],tblMeasure[msr_id],tblMeasure[primary_dimensions])</f>
        <v>delayed days, people delayed, NHS care type, attributable service</v>
      </c>
      <c r="K879" s="22" t="str">
        <f>_xlfn.XLOOKUP(tblRequirementMeasureXref[[#This Row],[msr_id]],tblMeasure[msr_id],tblMeasure[msr_min_geo_resolution])</f>
        <v>Trust</v>
      </c>
      <c r="L879" s="22" t="str">
        <f>_xlfn.XLOOKUP(tblRequirementMeasureXref[[#This Row],[msr_id]],tblMeasure[msr_id],tblMeasure[src_name])</f>
        <v>Delayed Transfers of Care</v>
      </c>
    </row>
    <row r="880" spans="1:12" x14ac:dyDescent="0.15">
      <c r="A880" s="1" t="str">
        <f>_xlfn.XLOOKUP(tblRequirementMeasureXref[[#This Row],[dm_id]],tblDataRequirement[dm_id],tblDataRequirement[domain_sub_requirement])</f>
        <v>Service:Integration:NHS secondary care</v>
      </c>
      <c r="B880" s="1" t="str">
        <f>_xlfn.XLOOKUP(tblRequirementMeasureXref[[#This Row],[dm_id]],tblDataRequirement[dm_id],tblDataRequirement[dm_phase])</f>
        <v>operate</v>
      </c>
      <c r="C880" s="1">
        <v>37</v>
      </c>
      <c r="D880" s="1">
        <v>240</v>
      </c>
      <c r="G880" s="1"/>
      <c r="H880" s="62" t="str">
        <f>_xlfn.XLOOKUP(tblRequirementMeasureXref[[#This Row],[msr_id]],tblMeasure[msr_id],tblMeasure[msr_table])</f>
        <v>Table 4</v>
      </c>
      <c r="I880" s="22" t="str">
        <f>_xlfn.XLOOKUP(tblRequirementMeasureXref[[#This Row],[msr_id]],tblMeasure[msr_id],tblMeasure[msr_name])</f>
        <v>Number of Delayed Days during the reporting period, Acute and Non-Acute, for NHS Organisations in England by reason for delay, by Trust</v>
      </c>
      <c r="J880" s="22" t="str">
        <f>_xlfn.XLOOKUP(tblRequirementMeasureXref[[#This Row],[msr_id]],tblMeasure[msr_id],tblMeasure[primary_dimensions])</f>
        <v>delayed days, reason</v>
      </c>
      <c r="K880" s="22" t="str">
        <f>_xlfn.XLOOKUP(tblRequirementMeasureXref[[#This Row],[msr_id]],tblMeasure[msr_id],tblMeasure[msr_min_geo_resolution])</f>
        <v>Trust</v>
      </c>
      <c r="L880" s="22" t="str">
        <f>_xlfn.XLOOKUP(tblRequirementMeasureXref[[#This Row],[msr_id]],tblMeasure[msr_id],tblMeasure[src_name])</f>
        <v>Delayed Transfers of Care</v>
      </c>
    </row>
    <row r="881" spans="1:12" x14ac:dyDescent="0.15">
      <c r="A881" s="1" t="str">
        <f>_xlfn.XLOOKUP(tblRequirementMeasureXref[[#This Row],[dm_id]],tblDataRequirement[dm_id],tblDataRequirement[domain_sub_requirement])</f>
        <v>Providers:Type:Organisations</v>
      </c>
      <c r="B881" s="1" t="str">
        <f>_xlfn.XLOOKUP(tblRequirementMeasureXref[[#This Row],[dm_id]],tblDataRequirement[dm_id],tblDataRequirement[dm_phase])</f>
        <v>operate</v>
      </c>
      <c r="C881" s="1">
        <v>60</v>
      </c>
      <c r="D881" s="1">
        <v>240</v>
      </c>
      <c r="G881" s="1"/>
      <c r="H881" s="62" t="str">
        <f>_xlfn.XLOOKUP(tblRequirementMeasureXref[[#This Row],[msr_id]],tblMeasure[msr_id],tblMeasure[msr_table])</f>
        <v>Table 4</v>
      </c>
      <c r="I881" s="22" t="str">
        <f>_xlfn.XLOOKUP(tblRequirementMeasureXref[[#This Row],[msr_id]],tblMeasure[msr_id],tblMeasure[msr_name])</f>
        <v>Number of Delayed Days during the reporting period, Acute and Non-Acute, for NHS Organisations in England by reason for delay, by Trust</v>
      </c>
      <c r="J881" s="22" t="str">
        <f>_xlfn.XLOOKUP(tblRequirementMeasureXref[[#This Row],[msr_id]],tblMeasure[msr_id],tblMeasure[primary_dimensions])</f>
        <v>delayed days, reason</v>
      </c>
      <c r="K881" s="22" t="str">
        <f>_xlfn.XLOOKUP(tblRequirementMeasureXref[[#This Row],[msr_id]],tblMeasure[msr_id],tblMeasure[msr_min_geo_resolution])</f>
        <v>Trust</v>
      </c>
      <c r="L881" s="22" t="str">
        <f>_xlfn.XLOOKUP(tblRequirementMeasureXref[[#This Row],[msr_id]],tblMeasure[msr_id],tblMeasure[src_name])</f>
        <v>Delayed Transfers of Care</v>
      </c>
    </row>
    <row r="882" spans="1:12" x14ac:dyDescent="0.15">
      <c r="A882" s="1" t="str">
        <f>_xlfn.XLOOKUP(tblRequirementMeasureXref[[#This Row],[dm_id]],tblDataRequirement[dm_id],tblDataRequirement[domain_sub_requirement])</f>
        <v>Funders:Expenditure:Local authorities</v>
      </c>
      <c r="B882" s="1" t="str">
        <f>_xlfn.XLOOKUP(tblRequirementMeasureXref[[#This Row],[dm_id]],tblDataRequirement[dm_id],tblDataRequirement[dm_phase])</f>
        <v>supply</v>
      </c>
      <c r="C882" s="1">
        <v>3</v>
      </c>
      <c r="D882" s="1">
        <v>240</v>
      </c>
      <c r="G882" s="1"/>
      <c r="H882" s="62" t="str">
        <f>_xlfn.XLOOKUP(tblRequirementMeasureXref[[#This Row],[msr_id]],tblMeasure[msr_id],tblMeasure[msr_table])</f>
        <v>Table 4</v>
      </c>
      <c r="I882" s="22" t="str">
        <f>_xlfn.XLOOKUP(tblRequirementMeasureXref[[#This Row],[msr_id]],tblMeasure[msr_id],tblMeasure[msr_name])</f>
        <v>Number of Delayed Days during the reporting period, Acute and Non-Acute, for NHS Organisations in England by reason for delay, by Trust</v>
      </c>
      <c r="J882" s="22" t="str">
        <f>_xlfn.XLOOKUP(tblRequirementMeasureXref[[#This Row],[msr_id]],tblMeasure[msr_id],tblMeasure[primary_dimensions])</f>
        <v>delayed days, reason</v>
      </c>
      <c r="K882" s="22" t="str">
        <f>_xlfn.XLOOKUP(tblRequirementMeasureXref[[#This Row],[msr_id]],tblMeasure[msr_id],tblMeasure[msr_min_geo_resolution])</f>
        <v>Trust</v>
      </c>
      <c r="L882" s="22" t="str">
        <f>_xlfn.XLOOKUP(tblRequirementMeasureXref[[#This Row],[msr_id]],tblMeasure[msr_id],tblMeasure[src_name])</f>
        <v>Delayed Transfers of Care</v>
      </c>
    </row>
    <row r="883" spans="1:12" x14ac:dyDescent="0.15">
      <c r="A883" s="1" t="str">
        <f>_xlfn.XLOOKUP(tblRequirementMeasureXref[[#This Row],[dm_id]],tblDataRequirement[dm_id],tblDataRequirement[domain_sub_requirement])</f>
        <v>Service:Support setting:Home</v>
      </c>
      <c r="B883" s="1" t="str">
        <f>_xlfn.XLOOKUP(tblRequirementMeasureXref[[#This Row],[dm_id]],tblDataRequirement[dm_id],tblDataRequirement[dm_phase])</f>
        <v>operate</v>
      </c>
      <c r="C883" s="1">
        <v>40</v>
      </c>
      <c r="D883" s="1">
        <v>240</v>
      </c>
      <c r="G883" s="1"/>
      <c r="H883" s="62" t="str">
        <f>_xlfn.XLOOKUP(tblRequirementMeasureXref[[#This Row],[msr_id]],tblMeasure[msr_id],tblMeasure[msr_table])</f>
        <v>Table 4</v>
      </c>
      <c r="I883" s="22" t="str">
        <f>_xlfn.XLOOKUP(tblRequirementMeasureXref[[#This Row],[msr_id]],tblMeasure[msr_id],tblMeasure[msr_name])</f>
        <v>Number of Delayed Days during the reporting period, Acute and Non-Acute, for NHS Organisations in England by reason for delay, by Trust</v>
      </c>
      <c r="J883" s="22" t="str">
        <f>_xlfn.XLOOKUP(tblRequirementMeasureXref[[#This Row],[msr_id]],tblMeasure[msr_id],tblMeasure[primary_dimensions])</f>
        <v>delayed days, reason</v>
      </c>
      <c r="K883" s="22" t="str">
        <f>_xlfn.XLOOKUP(tblRequirementMeasureXref[[#This Row],[msr_id]],tblMeasure[msr_id],tblMeasure[msr_min_geo_resolution])</f>
        <v>Trust</v>
      </c>
      <c r="L883" s="22" t="str">
        <f>_xlfn.XLOOKUP(tblRequirementMeasureXref[[#This Row],[msr_id]],tblMeasure[msr_id],tblMeasure[src_name])</f>
        <v>Delayed Transfers of Care</v>
      </c>
    </row>
    <row r="884" spans="1:12" x14ac:dyDescent="0.15">
      <c r="A884" s="1" t="str">
        <f>_xlfn.XLOOKUP(tblRequirementMeasureXref[[#This Row],[dm_id]],tblDataRequirement[dm_id],tblDataRequirement[domain_sub_requirement])</f>
        <v>Service:Support setting:Residential care home</v>
      </c>
      <c r="B884" s="1" t="str">
        <f>_xlfn.XLOOKUP(tblRequirementMeasureXref[[#This Row],[dm_id]],tblDataRequirement[dm_id],tblDataRequirement[dm_phase])</f>
        <v>operate</v>
      </c>
      <c r="C884" s="1">
        <v>41</v>
      </c>
      <c r="D884" s="1">
        <v>240</v>
      </c>
      <c r="G884" s="1"/>
      <c r="H884" s="62" t="str">
        <f>_xlfn.XLOOKUP(tblRequirementMeasureXref[[#This Row],[msr_id]],tblMeasure[msr_id],tblMeasure[msr_table])</f>
        <v>Table 4</v>
      </c>
      <c r="I884" s="22" t="str">
        <f>_xlfn.XLOOKUP(tblRequirementMeasureXref[[#This Row],[msr_id]],tblMeasure[msr_id],tblMeasure[msr_name])</f>
        <v>Number of Delayed Days during the reporting period, Acute and Non-Acute, for NHS Organisations in England by reason for delay, by Trust</v>
      </c>
      <c r="J884" s="22" t="str">
        <f>_xlfn.XLOOKUP(tblRequirementMeasureXref[[#This Row],[msr_id]],tblMeasure[msr_id],tblMeasure[primary_dimensions])</f>
        <v>delayed days, reason</v>
      </c>
      <c r="K884" s="22" t="str">
        <f>_xlfn.XLOOKUP(tblRequirementMeasureXref[[#This Row],[msr_id]],tblMeasure[msr_id],tblMeasure[msr_min_geo_resolution])</f>
        <v>Trust</v>
      </c>
      <c r="L884" s="22" t="str">
        <f>_xlfn.XLOOKUP(tblRequirementMeasureXref[[#This Row],[msr_id]],tblMeasure[msr_id],tblMeasure[src_name])</f>
        <v>Delayed Transfers of Care</v>
      </c>
    </row>
    <row r="885" spans="1:12" x14ac:dyDescent="0.15">
      <c r="A885" s="1" t="str">
        <f>_xlfn.XLOOKUP(tblRequirementMeasureXref[[#This Row],[dm_id]],tblDataRequirement[dm_id],tblDataRequirement[domain_sub_requirement])</f>
        <v>Service:Support setting:Nursing home</v>
      </c>
      <c r="B885" s="1" t="str">
        <f>_xlfn.XLOOKUP(tblRequirementMeasureXref[[#This Row],[dm_id]],tblDataRequirement[dm_id],tblDataRequirement[dm_phase])</f>
        <v>operate</v>
      </c>
      <c r="C885" s="1">
        <v>42</v>
      </c>
      <c r="D885" s="1">
        <v>240</v>
      </c>
      <c r="G885" s="1"/>
      <c r="H885" s="62" t="str">
        <f>_xlfn.XLOOKUP(tblRequirementMeasureXref[[#This Row],[msr_id]],tblMeasure[msr_id],tblMeasure[msr_table])</f>
        <v>Table 4</v>
      </c>
      <c r="I885" s="22" t="str">
        <f>_xlfn.XLOOKUP(tblRequirementMeasureXref[[#This Row],[msr_id]],tblMeasure[msr_id],tblMeasure[msr_name])</f>
        <v>Number of Delayed Days during the reporting period, Acute and Non-Acute, for NHS Organisations in England by reason for delay, by Trust</v>
      </c>
      <c r="J885" s="22" t="str">
        <f>_xlfn.XLOOKUP(tblRequirementMeasureXref[[#This Row],[msr_id]],tblMeasure[msr_id],tblMeasure[primary_dimensions])</f>
        <v>delayed days, reason</v>
      </c>
      <c r="K885" s="22" t="str">
        <f>_xlfn.XLOOKUP(tblRequirementMeasureXref[[#This Row],[msr_id]],tblMeasure[msr_id],tblMeasure[msr_min_geo_resolution])</f>
        <v>Trust</v>
      </c>
      <c r="L885" s="22" t="str">
        <f>_xlfn.XLOOKUP(tblRequirementMeasureXref[[#This Row],[msr_id]],tblMeasure[msr_id],tblMeasure[src_name])</f>
        <v>Delayed Transfers of Care</v>
      </c>
    </row>
    <row r="886" spans="1:12" x14ac:dyDescent="0.15">
      <c r="A886" s="1" t="str">
        <f>_xlfn.XLOOKUP(tblRequirementMeasureXref[[#This Row],[dm_id]],tblDataRequirement[dm_id],tblDataRequirement[domain_sub_requirement])</f>
        <v>Service:Support setting:Community</v>
      </c>
      <c r="B886" s="1" t="str">
        <f>_xlfn.XLOOKUP(tblRequirementMeasureXref[[#This Row],[dm_id]],tblDataRequirement[dm_id],tblDataRequirement[dm_phase])</f>
        <v>operate</v>
      </c>
      <c r="C886" s="1">
        <v>43</v>
      </c>
      <c r="D886" s="1">
        <v>240</v>
      </c>
      <c r="G886" s="1"/>
      <c r="H886" s="62" t="str">
        <f>_xlfn.XLOOKUP(tblRequirementMeasureXref[[#This Row],[msr_id]],tblMeasure[msr_id],tblMeasure[msr_table])</f>
        <v>Table 4</v>
      </c>
      <c r="I886" s="22" t="str">
        <f>_xlfn.XLOOKUP(tblRequirementMeasureXref[[#This Row],[msr_id]],tblMeasure[msr_id],tblMeasure[msr_name])</f>
        <v>Number of Delayed Days during the reporting period, Acute and Non-Acute, for NHS Organisations in England by reason for delay, by Trust</v>
      </c>
      <c r="J886" s="22" t="str">
        <f>_xlfn.XLOOKUP(tblRequirementMeasureXref[[#This Row],[msr_id]],tblMeasure[msr_id],tblMeasure[primary_dimensions])</f>
        <v>delayed days, reason</v>
      </c>
      <c r="K886" s="22" t="str">
        <f>_xlfn.XLOOKUP(tblRequirementMeasureXref[[#This Row],[msr_id]],tblMeasure[msr_id],tblMeasure[msr_min_geo_resolution])</f>
        <v>Trust</v>
      </c>
      <c r="L886" s="22" t="str">
        <f>_xlfn.XLOOKUP(tblRequirementMeasureXref[[#This Row],[msr_id]],tblMeasure[msr_id],tblMeasure[src_name])</f>
        <v>Delayed Transfers of Care</v>
      </c>
    </row>
    <row r="887" spans="1:12" x14ac:dyDescent="0.15">
      <c r="A887" s="1" t="str">
        <f>_xlfn.XLOOKUP(tblRequirementMeasureXref[[#This Row],[dm_id]],tblDataRequirement[dm_id],tblDataRequirement[domain_sub_requirement])</f>
        <v>Service:Integration:Care commissioning</v>
      </c>
      <c r="B887" s="1" t="str">
        <f>_xlfn.XLOOKUP(tblRequirementMeasureXref[[#This Row],[dm_id]],tblDataRequirement[dm_id],tblDataRequirement[dm_phase])</f>
        <v>operate</v>
      </c>
      <c r="C887" s="1">
        <v>38</v>
      </c>
      <c r="D887" s="1">
        <v>241</v>
      </c>
      <c r="G887" s="1"/>
      <c r="H887" s="62">
        <f>_xlfn.XLOOKUP(tblRequirementMeasureXref[[#This Row],[msr_id]],tblMeasure[msr_id],tblMeasure[msr_table])</f>
        <v>1.1000000000000001</v>
      </c>
      <c r="I887" s="22" t="str">
        <f>_xlfn.XLOOKUP(tblRequirementMeasureXref[[#This Row],[msr_id]],tblMeasure[msr_id],tblMeasure[msr_name])</f>
        <v>Snaphot: Eligible (CHC-Standard,CHC-Fasttrack,FNC), Incomplete Referrals, Incomplete Review Requests), by CCG</v>
      </c>
      <c r="J887" s="22" t="str">
        <f>_xlfn.XLOOKUP(tblRequirementMeasureXref[[#This Row],[msr_id]],tblMeasure[msr_id],tblMeasure[primary_dimensions])</f>
        <v>number CHC eligible, CHC type, incomplete referrals, review requests</v>
      </c>
      <c r="K887" s="22" t="str">
        <f>_xlfn.XLOOKUP(tblRequirementMeasureXref[[#This Row],[msr_id]],tblMeasure[msr_id],tblMeasure[msr_min_geo_resolution])</f>
        <v>CCG</v>
      </c>
      <c r="L887" s="22" t="str">
        <f>_xlfn.XLOOKUP(tblRequirementMeasureXref[[#This Row],[msr_id]],tblMeasure[msr_id],tblMeasure[src_name])</f>
        <v>NHS Continuing Healthcare and NHS-funded Nursing Care</v>
      </c>
    </row>
    <row r="888" spans="1:12" x14ac:dyDescent="0.15">
      <c r="A888" s="1" t="str">
        <f>_xlfn.XLOOKUP(tblRequirementMeasureXref[[#This Row],[dm_id]],tblDataRequirement[dm_id],tblDataRequirement[domain_sub_requirement])</f>
        <v>Service:Access:Eligible for NHS-funded care</v>
      </c>
      <c r="B888" s="1" t="str">
        <f>_xlfn.XLOOKUP(tblRequirementMeasureXref[[#This Row],[dm_id]],tblDataRequirement[dm_id],tblDataRequirement[dm_phase])</f>
        <v>demand</v>
      </c>
      <c r="C888" s="1">
        <v>30</v>
      </c>
      <c r="D888" s="1">
        <v>241</v>
      </c>
      <c r="G888" s="1"/>
      <c r="H888" s="62">
        <f>_xlfn.XLOOKUP(tblRequirementMeasureXref[[#This Row],[msr_id]],tblMeasure[msr_id],tblMeasure[msr_table])</f>
        <v>1.1000000000000001</v>
      </c>
      <c r="I888" s="22" t="str">
        <f>_xlfn.XLOOKUP(tblRequirementMeasureXref[[#This Row],[msr_id]],tblMeasure[msr_id],tblMeasure[msr_name])</f>
        <v>Snaphot: Eligible (CHC-Standard,CHC-Fasttrack,FNC), Incomplete Referrals, Incomplete Review Requests), by CCG</v>
      </c>
      <c r="J888" s="22" t="str">
        <f>_xlfn.XLOOKUP(tblRequirementMeasureXref[[#This Row],[msr_id]],tblMeasure[msr_id],tblMeasure[primary_dimensions])</f>
        <v>number CHC eligible, CHC type, incomplete referrals, review requests</v>
      </c>
      <c r="K888" s="22" t="str">
        <f>_xlfn.XLOOKUP(tblRequirementMeasureXref[[#This Row],[msr_id]],tblMeasure[msr_id],tblMeasure[msr_min_geo_resolution])</f>
        <v>CCG</v>
      </c>
      <c r="L888" s="22" t="str">
        <f>_xlfn.XLOOKUP(tblRequirementMeasureXref[[#This Row],[msr_id]],tblMeasure[msr_id],tblMeasure[src_name])</f>
        <v>NHS Continuing Healthcare and NHS-funded Nursing Care</v>
      </c>
    </row>
    <row r="889" spans="1:12" x14ac:dyDescent="0.15">
      <c r="A889" s="1" t="str">
        <f>_xlfn.XLOOKUP(tblRequirementMeasureXref[[#This Row],[dm_id]],tblDataRequirement[dm_id],tblDataRequirement[domain_sub_requirement])</f>
        <v>Service:Integration:Care commissioning</v>
      </c>
      <c r="B889" s="1" t="str">
        <f>_xlfn.XLOOKUP(tblRequirementMeasureXref[[#This Row],[dm_id]],tblDataRequirement[dm_id],tblDataRequirement[dm_phase])</f>
        <v>operate</v>
      </c>
      <c r="C889" s="1">
        <v>38</v>
      </c>
      <c r="D889" s="1">
        <v>242</v>
      </c>
      <c r="G889" s="1"/>
      <c r="H889" s="62">
        <f>_xlfn.XLOOKUP(tblRequirementMeasureXref[[#This Row],[msr_id]],tblMeasure[msr_id],tblMeasure[msr_table])</f>
        <v>1.2</v>
      </c>
      <c r="I889" s="22" t="str">
        <f>_xlfn.XLOOKUP(tblRequirementMeasureXref[[#This Row],[msr_id]],tblMeasure[msr_id],tblMeasure[msr_name])</f>
        <v>YTD: Eligible (CHC-Standard,CHC-Fasttrack,FNC), Previously Unassessed Periods of Care PUPoCs Agreed Eligible, by CCG</v>
      </c>
      <c r="J889" s="22" t="str">
        <f>_xlfn.XLOOKUP(tblRequirementMeasureXref[[#This Row],[msr_id]],tblMeasure[msr_id],tblMeasure[primary_dimensions])</f>
        <v>number CHC eligible, previously unassesed periods of care</v>
      </c>
      <c r="K889" s="22" t="str">
        <f>_xlfn.XLOOKUP(tblRequirementMeasureXref[[#This Row],[msr_id]],tblMeasure[msr_id],tblMeasure[msr_min_geo_resolution])</f>
        <v>CCG</v>
      </c>
      <c r="L889" s="22" t="str">
        <f>_xlfn.XLOOKUP(tblRequirementMeasureXref[[#This Row],[msr_id]],tblMeasure[msr_id],tblMeasure[src_name])</f>
        <v>NHS Continuing Healthcare and NHS-funded Nursing Care</v>
      </c>
    </row>
    <row r="890" spans="1:12" x14ac:dyDescent="0.15">
      <c r="A890" s="1" t="str">
        <f>_xlfn.XLOOKUP(tblRequirementMeasureXref[[#This Row],[dm_id]],tblDataRequirement[dm_id],tblDataRequirement[domain_sub_requirement])</f>
        <v>Service:Access:Eligible for NHS-funded care</v>
      </c>
      <c r="B890" s="1" t="str">
        <f>_xlfn.XLOOKUP(tblRequirementMeasureXref[[#This Row],[dm_id]],tblDataRequirement[dm_id],tblDataRequirement[dm_phase])</f>
        <v>demand</v>
      </c>
      <c r="C890" s="1">
        <v>30</v>
      </c>
      <c r="D890" s="1">
        <v>242</v>
      </c>
      <c r="G890" s="1"/>
      <c r="H890" s="62">
        <f>_xlfn.XLOOKUP(tblRequirementMeasureXref[[#This Row],[msr_id]],tblMeasure[msr_id],tblMeasure[msr_table])</f>
        <v>1.2</v>
      </c>
      <c r="I890" s="22" t="str">
        <f>_xlfn.XLOOKUP(tblRequirementMeasureXref[[#This Row],[msr_id]],tblMeasure[msr_id],tblMeasure[msr_name])</f>
        <v>YTD: Eligible (CHC-Standard,CHC-Fasttrack,FNC), Previously Unassessed Periods of Care PUPoCs Agreed Eligible, by CCG</v>
      </c>
      <c r="J890" s="22" t="str">
        <f>_xlfn.XLOOKUP(tblRequirementMeasureXref[[#This Row],[msr_id]],tblMeasure[msr_id],tblMeasure[primary_dimensions])</f>
        <v>number CHC eligible, previously unassesed periods of care</v>
      </c>
      <c r="K890" s="22" t="str">
        <f>_xlfn.XLOOKUP(tblRequirementMeasureXref[[#This Row],[msr_id]],tblMeasure[msr_id],tblMeasure[msr_min_geo_resolution])</f>
        <v>CCG</v>
      </c>
      <c r="L890" s="22" t="str">
        <f>_xlfn.XLOOKUP(tblRequirementMeasureXref[[#This Row],[msr_id]],tblMeasure[msr_id],tblMeasure[src_name])</f>
        <v>NHS Continuing Healthcare and NHS-funded Nursing Care</v>
      </c>
    </row>
    <row r="891" spans="1:12" x14ac:dyDescent="0.15">
      <c r="A891" s="1" t="str">
        <f>_xlfn.XLOOKUP(tblRequirementMeasureXref[[#This Row],[dm_id]],tblDataRequirement[dm_id],tblDataRequirement[domain_sub_requirement])</f>
        <v>Service:Integration:Care commissioning</v>
      </c>
      <c r="B891" s="1" t="str">
        <f>_xlfn.XLOOKUP(tblRequirementMeasureXref[[#This Row],[dm_id]],tblDataRequirement[dm_id],tblDataRequirement[dm_phase])</f>
        <v>operate</v>
      </c>
      <c r="C891" s="1">
        <v>38</v>
      </c>
      <c r="D891" s="1">
        <v>243</v>
      </c>
      <c r="G891" s="1"/>
      <c r="H891" s="62">
        <f>_xlfn.XLOOKUP(tblRequirementMeasureXref[[#This Row],[msr_id]],tblMeasure[msr_id],tblMeasure[msr_table])</f>
        <v>1.3</v>
      </c>
      <c r="I891" s="22" t="str">
        <f>_xlfn.XLOOKUP(tblRequirementMeasureXref[[#This Row],[msr_id]],tblMeasure[msr_id],tblMeasure[msr_name])</f>
        <v>In Quarter: New Referrals (CHC-Standard,CHC-Fasttrack), numerous eligibility measures, by CCG</v>
      </c>
      <c r="J891" s="22" t="str">
        <f>_xlfn.XLOOKUP(tblRequirementMeasureXref[[#This Row],[msr_id]],tblMeasure[msr_id],tblMeasure[primary_dimensions])</f>
        <v>CHC referrals, CHC assessments</v>
      </c>
      <c r="K891" s="22" t="str">
        <f>_xlfn.XLOOKUP(tblRequirementMeasureXref[[#This Row],[msr_id]],tblMeasure[msr_id],tblMeasure[msr_min_geo_resolution])</f>
        <v>CCG</v>
      </c>
      <c r="L891" s="22" t="str">
        <f>_xlfn.XLOOKUP(tblRequirementMeasureXref[[#This Row],[msr_id]],tblMeasure[msr_id],tblMeasure[src_name])</f>
        <v>NHS Continuing Healthcare and NHS-funded Nursing Care</v>
      </c>
    </row>
    <row r="892" spans="1:12" x14ac:dyDescent="0.15">
      <c r="A892" s="1" t="str">
        <f>_xlfn.XLOOKUP(tblRequirementMeasureXref[[#This Row],[dm_id]],tblDataRequirement[dm_id],tblDataRequirement[domain_sub_requirement])</f>
        <v>Service:Access:Requests for NHS-funded care</v>
      </c>
      <c r="B892" s="1" t="str">
        <f>_xlfn.XLOOKUP(tblRequirementMeasureXref[[#This Row],[dm_id]],tblDataRequirement[dm_id],tblDataRequirement[dm_phase])</f>
        <v>demand</v>
      </c>
      <c r="C892" s="1">
        <v>29</v>
      </c>
      <c r="D892" s="1">
        <v>243</v>
      </c>
      <c r="G892" s="1"/>
      <c r="H892" s="62">
        <f>_xlfn.XLOOKUP(tblRequirementMeasureXref[[#This Row],[msr_id]],tblMeasure[msr_id],tblMeasure[msr_table])</f>
        <v>1.3</v>
      </c>
      <c r="I892" s="22" t="str">
        <f>_xlfn.XLOOKUP(tblRequirementMeasureXref[[#This Row],[msr_id]],tblMeasure[msr_id],tblMeasure[msr_name])</f>
        <v>In Quarter: New Referrals (CHC-Standard,CHC-Fasttrack), numerous eligibility measures, by CCG</v>
      </c>
      <c r="J892" s="22" t="str">
        <f>_xlfn.XLOOKUP(tblRequirementMeasureXref[[#This Row],[msr_id]],tblMeasure[msr_id],tblMeasure[primary_dimensions])</f>
        <v>CHC referrals, CHC assessments</v>
      </c>
      <c r="K892" s="22" t="str">
        <f>_xlfn.XLOOKUP(tblRequirementMeasureXref[[#This Row],[msr_id]],tblMeasure[msr_id],tblMeasure[msr_min_geo_resolution])</f>
        <v>CCG</v>
      </c>
      <c r="L892" s="22" t="str">
        <f>_xlfn.XLOOKUP(tblRequirementMeasureXref[[#This Row],[msr_id]],tblMeasure[msr_id],tblMeasure[src_name])</f>
        <v>NHS Continuing Healthcare and NHS-funded Nursing Care</v>
      </c>
    </row>
    <row r="893" spans="1:12" x14ac:dyDescent="0.15">
      <c r="A893" s="1" t="str">
        <f>_xlfn.XLOOKUP(tblRequirementMeasureXref[[#This Row],[dm_id]],tblDataRequirement[dm_id],tblDataRequirement[domain_sub_requirement])</f>
        <v>Service:Access:Eligible for NHS-funded care</v>
      </c>
      <c r="B893" s="1" t="str">
        <f>_xlfn.XLOOKUP(tblRequirementMeasureXref[[#This Row],[dm_id]],tblDataRequirement[dm_id],tblDataRequirement[dm_phase])</f>
        <v>demand</v>
      </c>
      <c r="C893" s="1">
        <v>30</v>
      </c>
      <c r="D893" s="1">
        <v>243</v>
      </c>
      <c r="G893" s="1"/>
      <c r="H893" s="62">
        <f>_xlfn.XLOOKUP(tblRequirementMeasureXref[[#This Row],[msr_id]],tblMeasure[msr_id],tblMeasure[msr_table])</f>
        <v>1.3</v>
      </c>
      <c r="I893" s="22" t="str">
        <f>_xlfn.XLOOKUP(tblRequirementMeasureXref[[#This Row],[msr_id]],tblMeasure[msr_id],tblMeasure[msr_name])</f>
        <v>In Quarter: New Referrals (CHC-Standard,CHC-Fasttrack), numerous eligibility measures, by CCG</v>
      </c>
      <c r="J893" s="22" t="str">
        <f>_xlfn.XLOOKUP(tblRequirementMeasureXref[[#This Row],[msr_id]],tblMeasure[msr_id],tblMeasure[primary_dimensions])</f>
        <v>CHC referrals, CHC assessments</v>
      </c>
      <c r="K893" s="22" t="str">
        <f>_xlfn.XLOOKUP(tblRequirementMeasureXref[[#This Row],[msr_id]],tblMeasure[msr_id],tblMeasure[msr_min_geo_resolution])</f>
        <v>CCG</v>
      </c>
      <c r="L893" s="22" t="str">
        <f>_xlfn.XLOOKUP(tblRequirementMeasureXref[[#This Row],[msr_id]],tblMeasure[msr_id],tblMeasure[src_name])</f>
        <v>NHS Continuing Healthcare and NHS-funded Nursing Care</v>
      </c>
    </row>
    <row r="894" spans="1:12" x14ac:dyDescent="0.15">
      <c r="A894" s="1" t="str">
        <f>_xlfn.XLOOKUP(tblRequirementMeasureXref[[#This Row],[dm_id]],tblDataRequirement[dm_id],tblDataRequirement[domain_sub_requirement])</f>
        <v>Service:Access:Not eligible for NHS-funded care</v>
      </c>
      <c r="B894" s="1" t="str">
        <f>_xlfn.XLOOKUP(tblRequirementMeasureXref[[#This Row],[dm_id]],tblDataRequirement[dm_id],tblDataRequirement[dm_phase])</f>
        <v>demand</v>
      </c>
      <c r="C894" s="1">
        <v>58</v>
      </c>
      <c r="D894" s="1">
        <v>243</v>
      </c>
      <c r="G894" s="1"/>
      <c r="H894" s="62">
        <f>_xlfn.XLOOKUP(tblRequirementMeasureXref[[#This Row],[msr_id]],tblMeasure[msr_id],tblMeasure[msr_table])</f>
        <v>1.3</v>
      </c>
      <c r="I894" s="22" t="str">
        <f>_xlfn.XLOOKUP(tblRequirementMeasureXref[[#This Row],[msr_id]],tblMeasure[msr_id],tblMeasure[msr_name])</f>
        <v>In Quarter: New Referrals (CHC-Standard,CHC-Fasttrack), numerous eligibility measures, by CCG</v>
      </c>
      <c r="J894" s="22" t="str">
        <f>_xlfn.XLOOKUP(tblRequirementMeasureXref[[#This Row],[msr_id]],tblMeasure[msr_id],tblMeasure[primary_dimensions])</f>
        <v>CHC referrals, CHC assessments</v>
      </c>
      <c r="K894" s="22" t="str">
        <f>_xlfn.XLOOKUP(tblRequirementMeasureXref[[#This Row],[msr_id]],tblMeasure[msr_id],tblMeasure[msr_min_geo_resolution])</f>
        <v>CCG</v>
      </c>
      <c r="L894" s="22" t="str">
        <f>_xlfn.XLOOKUP(tblRequirementMeasureXref[[#This Row],[msr_id]],tblMeasure[msr_id],tblMeasure[src_name])</f>
        <v>NHS Continuing Healthcare and NHS-funded Nursing Care</v>
      </c>
    </row>
    <row r="895" spans="1:12" x14ac:dyDescent="0.15">
      <c r="A895" s="1" t="str">
        <f>_xlfn.XLOOKUP(tblRequirementMeasureXref[[#This Row],[dm_id]],tblDataRequirement[dm_id],tblDataRequirement[domain_sub_requirement])</f>
        <v>Providers:Productivity:Productivity</v>
      </c>
      <c r="B895" s="1" t="str">
        <f>_xlfn.XLOOKUP(tblRequirementMeasureXref[[#This Row],[dm_id]],tblDataRequirement[dm_id],tblDataRequirement[dm_phase])</f>
        <v>operate</v>
      </c>
      <c r="C895" s="1">
        <v>15</v>
      </c>
      <c r="D895" s="1">
        <v>244</v>
      </c>
      <c r="G895" s="1"/>
      <c r="H895" s="62" t="str">
        <f>_xlfn.XLOOKUP(tblRequirementMeasureXref[[#This Row],[msr_id]],tblMeasure[msr_id],tblMeasure[msr_table])</f>
        <v>Table 1</v>
      </c>
      <c r="I895" s="22" t="str">
        <f>_xlfn.XLOOKUP(tblRequirementMeasureXref[[#This Row],[msr_id]],tblMeasure[msr_id],tblMeasure[msr_name])</f>
        <v>Inputs, output and productivity, England, financial year</v>
      </c>
      <c r="J895" s="22" t="str">
        <f>_xlfn.XLOOKUP(tblRequirementMeasureXref[[#This Row],[msr_id]],tblMeasure[msr_id],tblMeasure[primary_dimensions])</f>
        <v>input, output, productivity, input growth, output growth, productivity growth</v>
      </c>
      <c r="K895" s="22" t="str">
        <f>_xlfn.XLOOKUP(tblRequirementMeasureXref[[#This Row],[msr_id]],tblMeasure[msr_id],tblMeasure[msr_min_geo_resolution])</f>
        <v>England</v>
      </c>
      <c r="L895" s="22" t="str">
        <f>_xlfn.XLOOKUP(tblRequirementMeasureXref[[#This Row],[msr_id]],tblMeasure[msr_id],tblMeasure[src_name])</f>
        <v>Public service productivity, adult social care, England</v>
      </c>
    </row>
    <row r="896" spans="1:12" x14ac:dyDescent="0.15">
      <c r="A896" s="1" t="str">
        <f>_xlfn.XLOOKUP(tblRequirementMeasureXref[[#This Row],[dm_id]],tblDataRequirement[dm_id],tblDataRequirement[domain_sub_requirement])</f>
        <v>Service:Quality:User perception</v>
      </c>
      <c r="B896" s="1" t="str">
        <f>_xlfn.XLOOKUP(tblRequirementMeasureXref[[#This Row],[dm_id]],tblDataRequirement[dm_id],tblDataRequirement[dm_phase])</f>
        <v>outcome</v>
      </c>
      <c r="C896" s="1">
        <v>25</v>
      </c>
      <c r="D896" s="1">
        <v>244</v>
      </c>
      <c r="G896" s="1"/>
      <c r="H896" s="62" t="str">
        <f>_xlfn.XLOOKUP(tblRequirementMeasureXref[[#This Row],[msr_id]],tblMeasure[msr_id],tblMeasure[msr_table])</f>
        <v>Table 1</v>
      </c>
      <c r="I896" s="22" t="str">
        <f>_xlfn.XLOOKUP(tblRequirementMeasureXref[[#This Row],[msr_id]],tblMeasure[msr_id],tblMeasure[msr_name])</f>
        <v>Inputs, output and productivity, England, financial year</v>
      </c>
      <c r="J896" s="22" t="str">
        <f>_xlfn.XLOOKUP(tblRequirementMeasureXref[[#This Row],[msr_id]],tblMeasure[msr_id],tblMeasure[primary_dimensions])</f>
        <v>input, output, productivity, input growth, output growth, productivity growth</v>
      </c>
      <c r="K896" s="22" t="str">
        <f>_xlfn.XLOOKUP(tblRequirementMeasureXref[[#This Row],[msr_id]],tblMeasure[msr_id],tblMeasure[msr_min_geo_resolution])</f>
        <v>England</v>
      </c>
      <c r="L896" s="22" t="str">
        <f>_xlfn.XLOOKUP(tblRequirementMeasureXref[[#This Row],[msr_id]],tblMeasure[msr_id],tblMeasure[src_name])</f>
        <v>Public service productivity, adult social care, England</v>
      </c>
    </row>
    <row r="897" spans="1:12" x14ac:dyDescent="0.15">
      <c r="A897" s="1" t="str">
        <f>_xlfn.XLOOKUP(tblRequirementMeasureXref[[#This Row],[dm_id]],tblDataRequirement[dm_id],tblDataRequirement[domain_sub_requirement])</f>
        <v>Providers:Productivity:Productivity</v>
      </c>
      <c r="B897" s="1" t="str">
        <f>_xlfn.XLOOKUP(tblRequirementMeasureXref[[#This Row],[dm_id]],tblDataRequirement[dm_id],tblDataRequirement[dm_phase])</f>
        <v>operate</v>
      </c>
      <c r="C897" s="1">
        <v>15</v>
      </c>
      <c r="D897" s="1">
        <v>245</v>
      </c>
      <c r="G897" s="1"/>
      <c r="H897" s="62" t="str">
        <f>_xlfn.XLOOKUP(tblRequirementMeasureXref[[#This Row],[msr_id]],tblMeasure[msr_id],tblMeasure[msr_table])</f>
        <v>Table 2</v>
      </c>
      <c r="I897" s="22" t="str">
        <f>_xlfn.XLOOKUP(tblRequirementMeasureXref[[#This Row],[msr_id]],tblMeasure[msr_id],tblMeasure[msr_name])</f>
        <v>Inputs, output and productivity for directly measured activity only, England, financial year</v>
      </c>
      <c r="J897" s="22" t="str">
        <f>_xlfn.XLOOKUP(tblRequirementMeasureXref[[#This Row],[msr_id]],tblMeasure[msr_id],tblMeasure[primary_dimensions])</f>
        <v>directly measured input, directly measured output, directly measured productivity, directly measured input growth, directly measured output growth, directly measured productivity growth</v>
      </c>
      <c r="K897" s="22" t="str">
        <f>_xlfn.XLOOKUP(tblRequirementMeasureXref[[#This Row],[msr_id]],tblMeasure[msr_id],tblMeasure[msr_min_geo_resolution])</f>
        <v>England</v>
      </c>
      <c r="L897" s="22" t="str">
        <f>_xlfn.XLOOKUP(tblRequirementMeasureXref[[#This Row],[msr_id]],tblMeasure[msr_id],tblMeasure[src_name])</f>
        <v>Public service productivity, adult social care, England</v>
      </c>
    </row>
    <row r="898" spans="1:12" x14ac:dyDescent="0.15">
      <c r="A898" s="1" t="str">
        <f>_xlfn.XLOOKUP(tblRequirementMeasureXref[[#This Row],[dm_id]],tblDataRequirement[dm_id],tblDataRequirement[domain_sub_requirement])</f>
        <v>Service:Quality:User perception</v>
      </c>
      <c r="B898" s="1" t="str">
        <f>_xlfn.XLOOKUP(tblRequirementMeasureXref[[#This Row],[dm_id]],tblDataRequirement[dm_id],tblDataRequirement[dm_phase])</f>
        <v>outcome</v>
      </c>
      <c r="C898" s="1">
        <v>25</v>
      </c>
      <c r="D898" s="1">
        <v>245</v>
      </c>
      <c r="G898" s="1"/>
      <c r="H898" s="62" t="str">
        <f>_xlfn.XLOOKUP(tblRequirementMeasureXref[[#This Row],[msr_id]],tblMeasure[msr_id],tblMeasure[msr_table])</f>
        <v>Table 2</v>
      </c>
      <c r="I898" s="22" t="str">
        <f>_xlfn.XLOOKUP(tblRequirementMeasureXref[[#This Row],[msr_id]],tblMeasure[msr_id],tblMeasure[msr_name])</f>
        <v>Inputs, output and productivity for directly measured activity only, England, financial year</v>
      </c>
      <c r="J898" s="22" t="str">
        <f>_xlfn.XLOOKUP(tblRequirementMeasureXref[[#This Row],[msr_id]],tblMeasure[msr_id],tblMeasure[primary_dimensions])</f>
        <v>directly measured input, directly measured output, directly measured productivity, directly measured input growth, directly measured output growth, directly measured productivity growth</v>
      </c>
      <c r="K898" s="22" t="str">
        <f>_xlfn.XLOOKUP(tblRequirementMeasureXref[[#This Row],[msr_id]],tblMeasure[msr_id],tblMeasure[msr_min_geo_resolution])</f>
        <v>England</v>
      </c>
      <c r="L898" s="22" t="str">
        <f>_xlfn.XLOOKUP(tblRequirementMeasureXref[[#This Row],[msr_id]],tblMeasure[msr_id],tblMeasure[src_name])</f>
        <v>Public service productivity, adult social care, England</v>
      </c>
    </row>
    <row r="899" spans="1:12" x14ac:dyDescent="0.15">
      <c r="A899" s="1" t="str">
        <f>_xlfn.XLOOKUP(tblRequirementMeasureXref[[#This Row],[dm_id]],tblDataRequirement[dm_id],tblDataRequirement[domain_sub_requirement])</f>
        <v>Providers:Productivity:Productivity</v>
      </c>
      <c r="B899" s="1" t="str">
        <f>_xlfn.XLOOKUP(tblRequirementMeasureXref[[#This Row],[dm_id]],tblDataRequirement[dm_id],tblDataRequirement[dm_phase])</f>
        <v>operate</v>
      </c>
      <c r="C899" s="1">
        <v>15</v>
      </c>
      <c r="D899" s="1">
        <v>246</v>
      </c>
      <c r="G899" s="1"/>
      <c r="H899" s="62" t="str">
        <f>_xlfn.XLOOKUP(tblRequirementMeasureXref[[#This Row],[msr_id]],tblMeasure[msr_id],tblMeasure[msr_table])</f>
        <v>Table 3</v>
      </c>
      <c r="I899" s="22" t="str">
        <f>_xlfn.XLOOKUP(tblRequirementMeasureXref[[#This Row],[msr_id]],tblMeasure[msr_id],tblMeasure[msr_name])</f>
        <v>Inputs, output and productivity for residential and nursing care only, England, financial year</v>
      </c>
      <c r="J899" s="22" t="str">
        <f>_xlfn.XLOOKUP(tblRequirementMeasureXref[[#This Row],[msr_id]],tblMeasure[msr_id],tblMeasure[primary_dimensions])</f>
        <v>input, output, productivity, input growth, output growth, productivity growth</v>
      </c>
      <c r="K899" s="22" t="str">
        <f>_xlfn.XLOOKUP(tblRequirementMeasureXref[[#This Row],[msr_id]],tblMeasure[msr_id],tblMeasure[msr_min_geo_resolution])</f>
        <v>England</v>
      </c>
      <c r="L899" s="22" t="str">
        <f>_xlfn.XLOOKUP(tblRequirementMeasureXref[[#This Row],[msr_id]],tblMeasure[msr_id],tblMeasure[src_name])</f>
        <v>Public service productivity, adult social care, England</v>
      </c>
    </row>
    <row r="900" spans="1:12" x14ac:dyDescent="0.15">
      <c r="A900" s="1" t="str">
        <f>_xlfn.XLOOKUP(tblRequirementMeasureXref[[#This Row],[dm_id]],tblDataRequirement[dm_id],tblDataRequirement[domain_sub_requirement])</f>
        <v>Service:Quality:User perception</v>
      </c>
      <c r="B900" s="1" t="str">
        <f>_xlfn.XLOOKUP(tblRequirementMeasureXref[[#This Row],[dm_id]],tblDataRequirement[dm_id],tblDataRequirement[dm_phase])</f>
        <v>outcome</v>
      </c>
      <c r="C900" s="1">
        <v>25</v>
      </c>
      <c r="D900" s="1">
        <v>246</v>
      </c>
      <c r="G900" s="1"/>
      <c r="H900" s="62" t="str">
        <f>_xlfn.XLOOKUP(tblRequirementMeasureXref[[#This Row],[msr_id]],tblMeasure[msr_id],tblMeasure[msr_table])</f>
        <v>Table 3</v>
      </c>
      <c r="I900" s="22" t="str">
        <f>_xlfn.XLOOKUP(tblRequirementMeasureXref[[#This Row],[msr_id]],tblMeasure[msr_id],tblMeasure[msr_name])</f>
        <v>Inputs, output and productivity for residential and nursing care only, England, financial year</v>
      </c>
      <c r="J900" s="22" t="str">
        <f>_xlfn.XLOOKUP(tblRequirementMeasureXref[[#This Row],[msr_id]],tblMeasure[msr_id],tblMeasure[primary_dimensions])</f>
        <v>input, output, productivity, input growth, output growth, productivity growth</v>
      </c>
      <c r="K900" s="22" t="str">
        <f>_xlfn.XLOOKUP(tblRequirementMeasureXref[[#This Row],[msr_id]],tblMeasure[msr_id],tblMeasure[msr_min_geo_resolution])</f>
        <v>England</v>
      </c>
      <c r="L900" s="22" t="str">
        <f>_xlfn.XLOOKUP(tblRequirementMeasureXref[[#This Row],[msr_id]],tblMeasure[msr_id],tblMeasure[src_name])</f>
        <v>Public service productivity, adult social care, England</v>
      </c>
    </row>
    <row r="901" spans="1:12" x14ac:dyDescent="0.15">
      <c r="A901" s="1" t="str">
        <f>_xlfn.XLOOKUP(tblRequirementMeasureXref[[#This Row],[dm_id]],tblDataRequirement[dm_id],tblDataRequirement[domain_sub_requirement])</f>
        <v>Service:Support setting:Residential care home</v>
      </c>
      <c r="B901" s="1" t="str">
        <f>_xlfn.XLOOKUP(tblRequirementMeasureXref[[#This Row],[dm_id]],tblDataRequirement[dm_id],tblDataRequirement[dm_phase])</f>
        <v>operate</v>
      </c>
      <c r="C901" s="1">
        <v>41</v>
      </c>
      <c r="D901" s="1">
        <v>246</v>
      </c>
      <c r="G901" s="1"/>
      <c r="H901" s="62" t="str">
        <f>_xlfn.XLOOKUP(tblRequirementMeasureXref[[#This Row],[msr_id]],tblMeasure[msr_id],tblMeasure[msr_table])</f>
        <v>Table 3</v>
      </c>
      <c r="I901" s="22" t="str">
        <f>_xlfn.XLOOKUP(tblRequirementMeasureXref[[#This Row],[msr_id]],tblMeasure[msr_id],tblMeasure[msr_name])</f>
        <v>Inputs, output and productivity for residential and nursing care only, England, financial year</v>
      </c>
      <c r="J901" s="22" t="str">
        <f>_xlfn.XLOOKUP(tblRequirementMeasureXref[[#This Row],[msr_id]],tblMeasure[msr_id],tblMeasure[primary_dimensions])</f>
        <v>input, output, productivity, input growth, output growth, productivity growth</v>
      </c>
      <c r="K901" s="22" t="str">
        <f>_xlfn.XLOOKUP(tblRequirementMeasureXref[[#This Row],[msr_id]],tblMeasure[msr_id],tblMeasure[msr_min_geo_resolution])</f>
        <v>England</v>
      </c>
      <c r="L901" s="22" t="str">
        <f>_xlfn.XLOOKUP(tblRequirementMeasureXref[[#This Row],[msr_id]],tblMeasure[msr_id],tblMeasure[src_name])</f>
        <v>Public service productivity, adult social care, England</v>
      </c>
    </row>
    <row r="902" spans="1:12" x14ac:dyDescent="0.15">
      <c r="A902" s="1" t="str">
        <f>_xlfn.XLOOKUP(tblRequirementMeasureXref[[#This Row],[dm_id]],tblDataRequirement[dm_id],tblDataRequirement[domain_sub_requirement])</f>
        <v>Service:Support setting:Nursing home</v>
      </c>
      <c r="B902" s="1" t="str">
        <f>_xlfn.XLOOKUP(tblRequirementMeasureXref[[#This Row],[dm_id]],tblDataRequirement[dm_id],tblDataRequirement[dm_phase])</f>
        <v>operate</v>
      </c>
      <c r="C902" s="1">
        <v>42</v>
      </c>
      <c r="D902" s="1">
        <v>246</v>
      </c>
      <c r="G902" s="1"/>
      <c r="H902" s="62" t="str">
        <f>_xlfn.XLOOKUP(tblRequirementMeasureXref[[#This Row],[msr_id]],tblMeasure[msr_id],tblMeasure[msr_table])</f>
        <v>Table 3</v>
      </c>
      <c r="I902" s="22" t="str">
        <f>_xlfn.XLOOKUP(tblRequirementMeasureXref[[#This Row],[msr_id]],tblMeasure[msr_id],tblMeasure[msr_name])</f>
        <v>Inputs, output and productivity for residential and nursing care only, England, financial year</v>
      </c>
      <c r="J902" s="22" t="str">
        <f>_xlfn.XLOOKUP(tblRequirementMeasureXref[[#This Row],[msr_id]],tblMeasure[msr_id],tblMeasure[primary_dimensions])</f>
        <v>input, output, productivity, input growth, output growth, productivity growth</v>
      </c>
      <c r="K902" s="22" t="str">
        <f>_xlfn.XLOOKUP(tblRequirementMeasureXref[[#This Row],[msr_id]],tblMeasure[msr_id],tblMeasure[msr_min_geo_resolution])</f>
        <v>England</v>
      </c>
      <c r="L902" s="22" t="str">
        <f>_xlfn.XLOOKUP(tblRequirementMeasureXref[[#This Row],[msr_id]],tblMeasure[msr_id],tblMeasure[src_name])</f>
        <v>Public service productivity, adult social care, England</v>
      </c>
    </row>
    <row r="903" spans="1:12" x14ac:dyDescent="0.15">
      <c r="A903" s="1" t="str">
        <f>_xlfn.XLOOKUP(tblRequirementMeasureXref[[#This Row],[dm_id]],tblDataRequirement[dm_id],tblDataRequirement[domain_sub_requirement])</f>
        <v>Providers:Productivity:Productivity</v>
      </c>
      <c r="B903" s="1" t="str">
        <f>_xlfn.XLOOKUP(tblRequirementMeasureXref[[#This Row],[dm_id]],tblDataRequirement[dm_id],tblDataRequirement[dm_phase])</f>
        <v>operate</v>
      </c>
      <c r="C903" s="1">
        <v>15</v>
      </c>
      <c r="D903" s="1">
        <v>247</v>
      </c>
      <c r="G903" s="1"/>
      <c r="H903" s="62" t="str">
        <f>_xlfn.XLOOKUP(tblRequirementMeasureXref[[#This Row],[msr_id]],tblMeasure[msr_id],tblMeasure[msr_table])</f>
        <v>Table 4</v>
      </c>
      <c r="I903" s="22" t="str">
        <f>_xlfn.XLOOKUP(tblRequirementMeasureXref[[#This Row],[msr_id]],tblMeasure[msr_id],tblMeasure[msr_name])</f>
        <v>Inputs, output and productivity for community care only, England, financial year</v>
      </c>
      <c r="J903" s="22" t="str">
        <f>_xlfn.XLOOKUP(tblRequirementMeasureXref[[#This Row],[msr_id]],tblMeasure[msr_id],tblMeasure[primary_dimensions])</f>
        <v>input, output, productivity, input growth, output growth, productivity growth</v>
      </c>
      <c r="K903" s="22" t="str">
        <f>_xlfn.XLOOKUP(tblRequirementMeasureXref[[#This Row],[msr_id]],tblMeasure[msr_id],tblMeasure[msr_min_geo_resolution])</f>
        <v>England</v>
      </c>
      <c r="L903" s="22" t="str">
        <f>_xlfn.XLOOKUP(tblRequirementMeasureXref[[#This Row],[msr_id]],tblMeasure[msr_id],tblMeasure[src_name])</f>
        <v>Public service productivity, adult social care, England</v>
      </c>
    </row>
    <row r="904" spans="1:12" x14ac:dyDescent="0.15">
      <c r="A904" s="1" t="str">
        <f>_xlfn.XLOOKUP(tblRequirementMeasureXref[[#This Row],[dm_id]],tblDataRequirement[dm_id],tblDataRequirement[domain_sub_requirement])</f>
        <v>Service:Quality:User perception</v>
      </c>
      <c r="B904" s="1" t="str">
        <f>_xlfn.XLOOKUP(tblRequirementMeasureXref[[#This Row],[dm_id]],tblDataRequirement[dm_id],tblDataRequirement[dm_phase])</f>
        <v>outcome</v>
      </c>
      <c r="C904" s="1">
        <v>25</v>
      </c>
      <c r="D904" s="1">
        <v>247</v>
      </c>
      <c r="G904" s="1"/>
      <c r="H904" s="62" t="str">
        <f>_xlfn.XLOOKUP(tblRequirementMeasureXref[[#This Row],[msr_id]],tblMeasure[msr_id],tblMeasure[msr_table])</f>
        <v>Table 4</v>
      </c>
      <c r="I904" s="22" t="str">
        <f>_xlfn.XLOOKUP(tblRequirementMeasureXref[[#This Row],[msr_id]],tblMeasure[msr_id],tblMeasure[msr_name])</f>
        <v>Inputs, output and productivity for community care only, England, financial year</v>
      </c>
      <c r="J904" s="22" t="str">
        <f>_xlfn.XLOOKUP(tblRequirementMeasureXref[[#This Row],[msr_id]],tblMeasure[msr_id],tblMeasure[primary_dimensions])</f>
        <v>input, output, productivity, input growth, output growth, productivity growth</v>
      </c>
      <c r="K904" s="22" t="str">
        <f>_xlfn.XLOOKUP(tblRequirementMeasureXref[[#This Row],[msr_id]],tblMeasure[msr_id],tblMeasure[msr_min_geo_resolution])</f>
        <v>England</v>
      </c>
      <c r="L904" s="22" t="str">
        <f>_xlfn.XLOOKUP(tblRequirementMeasureXref[[#This Row],[msr_id]],tblMeasure[msr_id],tblMeasure[src_name])</f>
        <v>Public service productivity, adult social care, England</v>
      </c>
    </row>
    <row r="905" spans="1:12" x14ac:dyDescent="0.15">
      <c r="A905" s="1" t="str">
        <f>_xlfn.XLOOKUP(tblRequirementMeasureXref[[#This Row],[dm_id]],tblDataRequirement[dm_id],tblDataRequirement[domain_sub_requirement])</f>
        <v>Service:Support setting:Community</v>
      </c>
      <c r="B905" s="1" t="str">
        <f>_xlfn.XLOOKUP(tblRequirementMeasureXref[[#This Row],[dm_id]],tblDataRequirement[dm_id],tblDataRequirement[dm_phase])</f>
        <v>operate</v>
      </c>
      <c r="C905" s="1">
        <v>43</v>
      </c>
      <c r="D905" s="1">
        <v>247</v>
      </c>
      <c r="G905" s="1"/>
      <c r="H905" s="62" t="str">
        <f>_xlfn.XLOOKUP(tblRequirementMeasureXref[[#This Row],[msr_id]],tblMeasure[msr_id],tblMeasure[msr_table])</f>
        <v>Table 4</v>
      </c>
      <c r="I905" s="22" t="str">
        <f>_xlfn.XLOOKUP(tblRequirementMeasureXref[[#This Row],[msr_id]],tblMeasure[msr_id],tblMeasure[msr_name])</f>
        <v>Inputs, output and productivity for community care only, England, financial year</v>
      </c>
      <c r="J905" s="22" t="str">
        <f>_xlfn.XLOOKUP(tblRequirementMeasureXref[[#This Row],[msr_id]],tblMeasure[msr_id],tblMeasure[primary_dimensions])</f>
        <v>input, output, productivity, input growth, output growth, productivity growth</v>
      </c>
      <c r="K905" s="22" t="str">
        <f>_xlfn.XLOOKUP(tblRequirementMeasureXref[[#This Row],[msr_id]],tblMeasure[msr_id],tblMeasure[msr_min_geo_resolution])</f>
        <v>England</v>
      </c>
      <c r="L905" s="22" t="str">
        <f>_xlfn.XLOOKUP(tblRequirementMeasureXref[[#This Row],[msr_id]],tblMeasure[msr_id],tblMeasure[src_name])</f>
        <v>Public service productivity, adult social care, England</v>
      </c>
    </row>
    <row r="906" spans="1:12" x14ac:dyDescent="0.15">
      <c r="A906" s="1" t="str">
        <f>_xlfn.XLOOKUP(tblRequirementMeasureXref[[#This Row],[dm_id]],tblDataRequirement[dm_id],tblDataRequirement[domain_sub_requirement])</f>
        <v>Providers:Productivity:Productivity</v>
      </c>
      <c r="B906" s="1" t="str">
        <f>_xlfn.XLOOKUP(tblRequirementMeasureXref[[#This Row],[dm_id]],tblDataRequirement[dm_id],tblDataRequirement[dm_phase])</f>
        <v>operate</v>
      </c>
      <c r="C906" s="1">
        <v>15</v>
      </c>
      <c r="D906" s="1">
        <v>248</v>
      </c>
      <c r="G906" s="1"/>
      <c r="H906" s="62" t="str">
        <f>_xlfn.XLOOKUP(tblRequirementMeasureXref[[#This Row],[msr_id]],tblMeasure[msr_id],tblMeasure[msr_table])</f>
        <v>Table 5</v>
      </c>
      <c r="I906" s="22" t="str">
        <f>_xlfn.XLOOKUP(tblRequirementMeasureXref[[#This Row],[msr_id]],tblMeasure[msr_id],tblMeasure[msr_name])</f>
        <v>Inputs, output and productivity for referrals and assessments only, England, financial year</v>
      </c>
      <c r="J906" s="22" t="str">
        <f>_xlfn.XLOOKUP(tblRequirementMeasureXref[[#This Row],[msr_id]],tblMeasure[msr_id],tblMeasure[primary_dimensions])</f>
        <v>input, output, productivity, input growth, output growth, productivity growth</v>
      </c>
      <c r="K906" s="22" t="str">
        <f>_xlfn.XLOOKUP(tblRequirementMeasureXref[[#This Row],[msr_id]],tblMeasure[msr_id],tblMeasure[msr_min_geo_resolution])</f>
        <v>England</v>
      </c>
      <c r="L906" s="22" t="str">
        <f>_xlfn.XLOOKUP(tblRequirementMeasureXref[[#This Row],[msr_id]],tblMeasure[msr_id],tblMeasure[src_name])</f>
        <v>Public service productivity, adult social care, England</v>
      </c>
    </row>
    <row r="907" spans="1:12" x14ac:dyDescent="0.15">
      <c r="A907" s="1" t="str">
        <f>_xlfn.XLOOKUP(tblRequirementMeasureXref[[#This Row],[dm_id]],tblDataRequirement[dm_id],tblDataRequirement[domain_sub_requirement])</f>
        <v>Service:Access:Requests for local authority-funded care</v>
      </c>
      <c r="B907" s="1" t="str">
        <f>_xlfn.XLOOKUP(tblRequirementMeasureXref[[#This Row],[dm_id]],tblDataRequirement[dm_id],tblDataRequirement[dm_phase])</f>
        <v>demand</v>
      </c>
      <c r="C907" s="1">
        <v>27</v>
      </c>
      <c r="D907" s="1">
        <v>248</v>
      </c>
      <c r="G907" s="1"/>
      <c r="H907" s="62" t="str">
        <f>_xlfn.XLOOKUP(tblRequirementMeasureXref[[#This Row],[msr_id]],tblMeasure[msr_id],tblMeasure[msr_table])</f>
        <v>Table 5</v>
      </c>
      <c r="I907" s="22" t="str">
        <f>_xlfn.XLOOKUP(tblRequirementMeasureXref[[#This Row],[msr_id]],tblMeasure[msr_id],tblMeasure[msr_name])</f>
        <v>Inputs, output and productivity for referrals and assessments only, England, financial year</v>
      </c>
      <c r="J907" s="22" t="str">
        <f>_xlfn.XLOOKUP(tblRequirementMeasureXref[[#This Row],[msr_id]],tblMeasure[msr_id],tblMeasure[primary_dimensions])</f>
        <v>input, output, productivity, input growth, output growth, productivity growth</v>
      </c>
      <c r="K907" s="22" t="str">
        <f>_xlfn.XLOOKUP(tblRequirementMeasureXref[[#This Row],[msr_id]],tblMeasure[msr_id],tblMeasure[msr_min_geo_resolution])</f>
        <v>England</v>
      </c>
      <c r="L907" s="22" t="str">
        <f>_xlfn.XLOOKUP(tblRequirementMeasureXref[[#This Row],[msr_id]],tblMeasure[msr_id],tblMeasure[src_name])</f>
        <v>Public service productivity, adult social care, England</v>
      </c>
    </row>
    <row r="908" spans="1:12" x14ac:dyDescent="0.15">
      <c r="A908" s="1" t="str">
        <f>_xlfn.XLOOKUP(tblRequirementMeasureXref[[#This Row],[dm_id]],tblDataRequirement[dm_id],tblDataRequirement[domain_sub_requirement])</f>
        <v>Providers:Productivity:Productivity</v>
      </c>
      <c r="B908" s="1" t="str">
        <f>_xlfn.XLOOKUP(tblRequirementMeasureXref[[#This Row],[dm_id]],tblDataRequirement[dm_id],tblDataRequirement[dm_phase])</f>
        <v>operate</v>
      </c>
      <c r="C908" s="1">
        <v>15</v>
      </c>
      <c r="D908" s="1">
        <v>249</v>
      </c>
      <c r="G908" s="1"/>
      <c r="H908" s="62" t="str">
        <f>_xlfn.XLOOKUP(tblRequirementMeasureXref[[#This Row],[msr_id]],tblMeasure[msr_id],tblMeasure[msr_table])</f>
        <v>Table 6</v>
      </c>
      <c r="I908" s="22" t="str">
        <f>_xlfn.XLOOKUP(tblRequirementMeasureXref[[#This Row],[msr_id]],tblMeasure[msr_id],tblMeasure[msr_name])</f>
        <v>Inputs, output and productivity for older adults' care only, England, financial year</v>
      </c>
      <c r="J908" s="22" t="str">
        <f>_xlfn.XLOOKUP(tblRequirementMeasureXref[[#This Row],[msr_id]],tblMeasure[msr_id],tblMeasure[primary_dimensions])</f>
        <v>input, output, productivity, input growth, output growth, productivity growth</v>
      </c>
      <c r="K908" s="22" t="str">
        <f>_xlfn.XLOOKUP(tblRequirementMeasureXref[[#This Row],[msr_id]],tblMeasure[msr_id],tblMeasure[msr_min_geo_resolution])</f>
        <v>England</v>
      </c>
      <c r="L908" s="22" t="str">
        <f>_xlfn.XLOOKUP(tblRequirementMeasureXref[[#This Row],[msr_id]],tblMeasure[msr_id],tblMeasure[src_name])</f>
        <v>Public service productivity, adult social care, England</v>
      </c>
    </row>
    <row r="909" spans="1:12" x14ac:dyDescent="0.15">
      <c r="A909" s="1" t="str">
        <f>_xlfn.XLOOKUP(tblRequirementMeasureXref[[#This Row],[dm_id]],tblDataRequirement[dm_id],tblDataRequirement[domain_sub_requirement])</f>
        <v>Service:Quality:User perception</v>
      </c>
      <c r="B909" s="1" t="str">
        <f>_xlfn.XLOOKUP(tblRequirementMeasureXref[[#This Row],[dm_id]],tblDataRequirement[dm_id],tblDataRequirement[dm_phase])</f>
        <v>outcome</v>
      </c>
      <c r="C909" s="1">
        <v>25</v>
      </c>
      <c r="D909" s="1">
        <v>249</v>
      </c>
      <c r="G909" s="1"/>
      <c r="H909" s="62" t="str">
        <f>_xlfn.XLOOKUP(tblRequirementMeasureXref[[#This Row],[msr_id]],tblMeasure[msr_id],tblMeasure[msr_table])</f>
        <v>Table 6</v>
      </c>
      <c r="I909" s="22" t="str">
        <f>_xlfn.XLOOKUP(tblRequirementMeasureXref[[#This Row],[msr_id]],tblMeasure[msr_id],tblMeasure[msr_name])</f>
        <v>Inputs, output and productivity for older adults' care only, England, financial year</v>
      </c>
      <c r="J909" s="22" t="str">
        <f>_xlfn.XLOOKUP(tblRequirementMeasureXref[[#This Row],[msr_id]],tblMeasure[msr_id],tblMeasure[primary_dimensions])</f>
        <v>input, output, productivity, input growth, output growth, productivity growth</v>
      </c>
      <c r="K909" s="22" t="str">
        <f>_xlfn.XLOOKUP(tblRequirementMeasureXref[[#This Row],[msr_id]],tblMeasure[msr_id],tblMeasure[msr_min_geo_resolution])</f>
        <v>England</v>
      </c>
      <c r="L909" s="22" t="str">
        <f>_xlfn.XLOOKUP(tblRequirementMeasureXref[[#This Row],[msr_id]],tblMeasure[msr_id],tblMeasure[src_name])</f>
        <v>Public service productivity, adult social care, England</v>
      </c>
    </row>
    <row r="910" spans="1:12" x14ac:dyDescent="0.15">
      <c r="A910" s="1" t="str">
        <f>_xlfn.XLOOKUP(tblRequirementMeasureXref[[#This Row],[dm_id]],tblDataRequirement[dm_id],tblDataRequirement[domain_sub_requirement])</f>
        <v>Users:Demographics:Age</v>
      </c>
      <c r="B910" s="1" t="str">
        <f>_xlfn.XLOOKUP(tblRequirementMeasureXref[[#This Row],[dm_id]],tblDataRequirement[dm_id],tblDataRequirement[dm_phase])</f>
        <v>demand</v>
      </c>
      <c r="C910" s="1">
        <v>51</v>
      </c>
      <c r="D910" s="1">
        <v>249</v>
      </c>
      <c r="G910" s="1"/>
      <c r="H910" s="62" t="str">
        <f>_xlfn.XLOOKUP(tblRequirementMeasureXref[[#This Row],[msr_id]],tblMeasure[msr_id],tblMeasure[msr_table])</f>
        <v>Table 6</v>
      </c>
      <c r="I910" s="22" t="str">
        <f>_xlfn.XLOOKUP(tblRequirementMeasureXref[[#This Row],[msr_id]],tblMeasure[msr_id],tblMeasure[msr_name])</f>
        <v>Inputs, output and productivity for older adults' care only, England, financial year</v>
      </c>
      <c r="J910" s="22" t="str">
        <f>_xlfn.XLOOKUP(tblRequirementMeasureXref[[#This Row],[msr_id]],tblMeasure[msr_id],tblMeasure[primary_dimensions])</f>
        <v>input, output, productivity, input growth, output growth, productivity growth</v>
      </c>
      <c r="K910" s="22" t="str">
        <f>_xlfn.XLOOKUP(tblRequirementMeasureXref[[#This Row],[msr_id]],tblMeasure[msr_id],tblMeasure[msr_min_geo_resolution])</f>
        <v>England</v>
      </c>
      <c r="L910" s="22" t="str">
        <f>_xlfn.XLOOKUP(tblRequirementMeasureXref[[#This Row],[msr_id]],tblMeasure[msr_id],tblMeasure[src_name])</f>
        <v>Public service productivity, adult social care, England</v>
      </c>
    </row>
    <row r="911" spans="1:12" x14ac:dyDescent="0.15">
      <c r="A911" s="1" t="str">
        <f>_xlfn.XLOOKUP(tblRequirementMeasureXref[[#This Row],[dm_id]],tblDataRequirement[dm_id],tblDataRequirement[domain_sub_requirement])</f>
        <v>Providers:Productivity:Productivity</v>
      </c>
      <c r="B911" s="1" t="str">
        <f>_xlfn.XLOOKUP(tblRequirementMeasureXref[[#This Row],[dm_id]],tblDataRequirement[dm_id],tblDataRequirement[dm_phase])</f>
        <v>operate</v>
      </c>
      <c r="C911" s="1">
        <v>15</v>
      </c>
      <c r="D911" s="1">
        <v>250</v>
      </c>
      <c r="G911" s="1"/>
      <c r="H911" s="62" t="str">
        <f>_xlfn.XLOOKUP(tblRequirementMeasureXref[[#This Row],[msr_id]],tblMeasure[msr_id],tblMeasure[msr_table])</f>
        <v>Table 7</v>
      </c>
      <c r="I911" s="22" t="str">
        <f>_xlfn.XLOOKUP(tblRequirementMeasureXref[[#This Row],[msr_id]],tblMeasure[msr_id],tblMeasure[msr_name])</f>
        <v>Inputs, output and productivity for working age adults' care only, England, financial year</v>
      </c>
      <c r="J911" s="22" t="str">
        <f>_xlfn.XLOOKUP(tblRequirementMeasureXref[[#This Row],[msr_id]],tblMeasure[msr_id],tblMeasure[primary_dimensions])</f>
        <v>input, output, productivity, input growth, output growth, productivity growth</v>
      </c>
      <c r="K911" s="22" t="str">
        <f>_xlfn.XLOOKUP(tblRequirementMeasureXref[[#This Row],[msr_id]],tblMeasure[msr_id],tblMeasure[msr_min_geo_resolution])</f>
        <v>England</v>
      </c>
      <c r="L911" s="22" t="str">
        <f>_xlfn.XLOOKUP(tblRequirementMeasureXref[[#This Row],[msr_id]],tblMeasure[msr_id],tblMeasure[src_name])</f>
        <v>Public service productivity, adult social care, England</v>
      </c>
    </row>
    <row r="912" spans="1:12" x14ac:dyDescent="0.15">
      <c r="A912" s="1" t="str">
        <f>_xlfn.XLOOKUP(tblRequirementMeasureXref[[#This Row],[dm_id]],tblDataRequirement[dm_id],tblDataRequirement[domain_sub_requirement])</f>
        <v>Service:Quality:User perception</v>
      </c>
      <c r="B912" s="1" t="str">
        <f>_xlfn.XLOOKUP(tblRequirementMeasureXref[[#This Row],[dm_id]],tblDataRequirement[dm_id],tblDataRequirement[dm_phase])</f>
        <v>outcome</v>
      </c>
      <c r="C912" s="1">
        <v>25</v>
      </c>
      <c r="D912" s="1">
        <v>250</v>
      </c>
      <c r="G912" s="1"/>
      <c r="H912" s="62" t="str">
        <f>_xlfn.XLOOKUP(tblRequirementMeasureXref[[#This Row],[msr_id]],tblMeasure[msr_id],tblMeasure[msr_table])</f>
        <v>Table 7</v>
      </c>
      <c r="I912" s="22" t="str">
        <f>_xlfn.XLOOKUP(tblRequirementMeasureXref[[#This Row],[msr_id]],tblMeasure[msr_id],tblMeasure[msr_name])</f>
        <v>Inputs, output and productivity for working age adults' care only, England, financial year</v>
      </c>
      <c r="J912" s="22" t="str">
        <f>_xlfn.XLOOKUP(tblRequirementMeasureXref[[#This Row],[msr_id]],tblMeasure[msr_id],tblMeasure[primary_dimensions])</f>
        <v>input, output, productivity, input growth, output growth, productivity growth</v>
      </c>
      <c r="K912" s="22" t="str">
        <f>_xlfn.XLOOKUP(tblRequirementMeasureXref[[#This Row],[msr_id]],tblMeasure[msr_id],tblMeasure[msr_min_geo_resolution])</f>
        <v>England</v>
      </c>
      <c r="L912" s="22" t="str">
        <f>_xlfn.XLOOKUP(tblRequirementMeasureXref[[#This Row],[msr_id]],tblMeasure[msr_id],tblMeasure[src_name])</f>
        <v>Public service productivity, adult social care, England</v>
      </c>
    </row>
    <row r="913" spans="1:12" x14ac:dyDescent="0.15">
      <c r="A913" s="1" t="str">
        <f>_xlfn.XLOOKUP(tblRequirementMeasureXref[[#This Row],[dm_id]],tblDataRequirement[dm_id],tblDataRequirement[domain_sub_requirement])</f>
        <v>Users:Demographics:Age</v>
      </c>
      <c r="B913" s="1" t="str">
        <f>_xlfn.XLOOKUP(tblRequirementMeasureXref[[#This Row],[dm_id]],tblDataRequirement[dm_id],tblDataRequirement[dm_phase])</f>
        <v>demand</v>
      </c>
      <c r="C913" s="1">
        <v>51</v>
      </c>
      <c r="D913" s="1">
        <v>250</v>
      </c>
      <c r="G913" s="1"/>
      <c r="H913" s="62" t="str">
        <f>_xlfn.XLOOKUP(tblRequirementMeasureXref[[#This Row],[msr_id]],tblMeasure[msr_id],tblMeasure[msr_table])</f>
        <v>Table 7</v>
      </c>
      <c r="I913" s="22" t="str">
        <f>_xlfn.XLOOKUP(tblRequirementMeasureXref[[#This Row],[msr_id]],tblMeasure[msr_id],tblMeasure[msr_name])</f>
        <v>Inputs, output and productivity for working age adults' care only, England, financial year</v>
      </c>
      <c r="J913" s="22" t="str">
        <f>_xlfn.XLOOKUP(tblRequirementMeasureXref[[#This Row],[msr_id]],tblMeasure[msr_id],tblMeasure[primary_dimensions])</f>
        <v>input, output, productivity, input growth, output growth, productivity growth</v>
      </c>
      <c r="K913" s="22" t="str">
        <f>_xlfn.XLOOKUP(tblRequirementMeasureXref[[#This Row],[msr_id]],tblMeasure[msr_id],tblMeasure[msr_min_geo_resolution])</f>
        <v>England</v>
      </c>
      <c r="L913" s="22" t="str">
        <f>_xlfn.XLOOKUP(tblRequirementMeasureXref[[#This Row],[msr_id]],tblMeasure[msr_id],tblMeasure[src_name])</f>
        <v>Public service productivity, adult social care, England</v>
      </c>
    </row>
    <row r="914" spans="1:12" x14ac:dyDescent="0.15">
      <c r="A914" s="1" t="str">
        <f>_xlfn.XLOOKUP(tblRequirementMeasureXref[[#This Row],[dm_id]],tblDataRequirement[dm_id],tblDataRequirement[domain_sub_requirement])</f>
        <v>Providers:Productivity:Productivity</v>
      </c>
      <c r="B914" s="1" t="str">
        <f>_xlfn.XLOOKUP(tblRequirementMeasureXref[[#This Row],[dm_id]],tblDataRequirement[dm_id],tblDataRequirement[dm_phase])</f>
        <v>operate</v>
      </c>
      <c r="C914" s="1">
        <v>15</v>
      </c>
      <c r="D914" s="1">
        <v>251</v>
      </c>
      <c r="G914" s="1"/>
      <c r="H914" s="62" t="str">
        <f>_xlfn.XLOOKUP(tblRequirementMeasureXref[[#This Row],[msr_id]],tblMeasure[msr_id],tblMeasure[msr_table])</f>
        <v>Table 8</v>
      </c>
      <c r="I914" s="22" t="str">
        <f>_xlfn.XLOOKUP(tblRequirementMeasureXref[[#This Row],[msr_id]],tblMeasure[msr_id],tblMeasure[msr_name])</f>
        <v>Comparison of deflators, England, financial year</v>
      </c>
      <c r="J914" s="22" t="str">
        <f>_xlfn.XLOOKUP(tblRequirementMeasureXref[[#This Row],[msr_id]],tblMeasure[msr_id],tblMeasure[primary_dimensions])</f>
        <v>deflator, deflator growth</v>
      </c>
      <c r="K914" s="22" t="str">
        <f>_xlfn.XLOOKUP(tblRequirementMeasureXref[[#This Row],[msr_id]],tblMeasure[msr_id],tblMeasure[msr_min_geo_resolution])</f>
        <v>England</v>
      </c>
      <c r="L914" s="22" t="str">
        <f>_xlfn.XLOOKUP(tblRequirementMeasureXref[[#This Row],[msr_id]],tblMeasure[msr_id],tblMeasure[src_name])</f>
        <v>Public service productivity, adult social care, England</v>
      </c>
    </row>
    <row r="915" spans="1:12" x14ac:dyDescent="0.15">
      <c r="A915" s="1" t="str">
        <f>_xlfn.XLOOKUP(tblRequirementMeasureXref[[#This Row],[dm_id]],tblDataRequirement[dm_id],tblDataRequirement[domain_sub_requirement])</f>
        <v>Providers:Type:Organisations</v>
      </c>
      <c r="B915" s="1" t="str">
        <f>_xlfn.XLOOKUP(tblRequirementMeasureXref[[#This Row],[dm_id]],tblDataRequirement[dm_id],tblDataRequirement[dm_phase])</f>
        <v>operate</v>
      </c>
      <c r="C915" s="1">
        <v>60</v>
      </c>
      <c r="D915" s="1">
        <v>251</v>
      </c>
      <c r="G915" s="1"/>
      <c r="H915" s="62" t="str">
        <f>_xlfn.XLOOKUP(tblRequirementMeasureXref[[#This Row],[msr_id]],tblMeasure[msr_id],tblMeasure[msr_table])</f>
        <v>Table 8</v>
      </c>
      <c r="I915" s="22" t="str">
        <f>_xlfn.XLOOKUP(tblRequirementMeasureXref[[#This Row],[msr_id]],tblMeasure[msr_id],tblMeasure[msr_name])</f>
        <v>Comparison of deflators, England, financial year</v>
      </c>
      <c r="J915" s="22" t="str">
        <f>_xlfn.XLOOKUP(tblRequirementMeasureXref[[#This Row],[msr_id]],tblMeasure[msr_id],tblMeasure[primary_dimensions])</f>
        <v>deflator, deflator growth</v>
      </c>
      <c r="K915" s="22" t="str">
        <f>_xlfn.XLOOKUP(tblRequirementMeasureXref[[#This Row],[msr_id]],tblMeasure[msr_id],tblMeasure[msr_min_geo_resolution])</f>
        <v>England</v>
      </c>
      <c r="L915" s="22" t="str">
        <f>_xlfn.XLOOKUP(tblRequirementMeasureXref[[#This Row],[msr_id]],tblMeasure[msr_id],tblMeasure[src_name])</f>
        <v>Public service productivity, adult social care, England</v>
      </c>
    </row>
    <row r="916" spans="1:12" x14ac:dyDescent="0.15">
      <c r="A916" s="1" t="str">
        <f>_xlfn.XLOOKUP(tblRequirementMeasureXref[[#This Row],[dm_id]],tblDataRequirement[dm_id],tblDataRequirement[domain_sub_requirement])</f>
        <v>Service:Support setting:Residential care home</v>
      </c>
      <c r="B916" s="1" t="str">
        <f>_xlfn.XLOOKUP(tblRequirementMeasureXref[[#This Row],[dm_id]],tblDataRequirement[dm_id],tblDataRequirement[dm_phase])</f>
        <v>operate</v>
      </c>
      <c r="C916" s="1">
        <v>41</v>
      </c>
      <c r="D916" s="1">
        <v>251</v>
      </c>
      <c r="G916" s="1"/>
      <c r="H916" s="62" t="str">
        <f>_xlfn.XLOOKUP(tblRequirementMeasureXref[[#This Row],[msr_id]],tblMeasure[msr_id],tblMeasure[msr_table])</f>
        <v>Table 8</v>
      </c>
      <c r="I916" s="22" t="str">
        <f>_xlfn.XLOOKUP(tblRequirementMeasureXref[[#This Row],[msr_id]],tblMeasure[msr_id],tblMeasure[msr_name])</f>
        <v>Comparison of deflators, England, financial year</v>
      </c>
      <c r="J916" s="22" t="str">
        <f>_xlfn.XLOOKUP(tblRequirementMeasureXref[[#This Row],[msr_id]],tblMeasure[msr_id],tblMeasure[primary_dimensions])</f>
        <v>deflator, deflator growth</v>
      </c>
      <c r="K916" s="22" t="str">
        <f>_xlfn.XLOOKUP(tblRequirementMeasureXref[[#This Row],[msr_id]],tblMeasure[msr_id],tblMeasure[msr_min_geo_resolution])</f>
        <v>England</v>
      </c>
      <c r="L916" s="22" t="str">
        <f>_xlfn.XLOOKUP(tblRequirementMeasureXref[[#This Row],[msr_id]],tblMeasure[msr_id],tblMeasure[src_name])</f>
        <v>Public service productivity, adult social care, England</v>
      </c>
    </row>
    <row r="917" spans="1:12" x14ac:dyDescent="0.15">
      <c r="A917" s="1" t="str">
        <f>_xlfn.XLOOKUP(tblRequirementMeasureXref[[#This Row],[dm_id]],tblDataRequirement[dm_id],tblDataRequirement[domain_sub_requirement])</f>
        <v>Service:Support setting:Nursing home</v>
      </c>
      <c r="B917" s="1" t="str">
        <f>_xlfn.XLOOKUP(tblRequirementMeasureXref[[#This Row],[dm_id]],tblDataRequirement[dm_id],tblDataRequirement[dm_phase])</f>
        <v>operate</v>
      </c>
      <c r="C917" s="1">
        <v>42</v>
      </c>
      <c r="D917" s="1">
        <v>251</v>
      </c>
      <c r="G917" s="1"/>
      <c r="H917" s="62" t="str">
        <f>_xlfn.XLOOKUP(tblRequirementMeasureXref[[#This Row],[msr_id]],tblMeasure[msr_id],tblMeasure[msr_table])</f>
        <v>Table 8</v>
      </c>
      <c r="I917" s="22" t="str">
        <f>_xlfn.XLOOKUP(tblRequirementMeasureXref[[#This Row],[msr_id]],tblMeasure[msr_id],tblMeasure[msr_name])</f>
        <v>Comparison of deflators, England, financial year</v>
      </c>
      <c r="J917" s="22" t="str">
        <f>_xlfn.XLOOKUP(tblRequirementMeasureXref[[#This Row],[msr_id]],tblMeasure[msr_id],tblMeasure[primary_dimensions])</f>
        <v>deflator, deflator growth</v>
      </c>
      <c r="K917" s="22" t="str">
        <f>_xlfn.XLOOKUP(tblRequirementMeasureXref[[#This Row],[msr_id]],tblMeasure[msr_id],tblMeasure[msr_min_geo_resolution])</f>
        <v>England</v>
      </c>
      <c r="L917" s="22" t="str">
        <f>_xlfn.XLOOKUP(tblRequirementMeasureXref[[#This Row],[msr_id]],tblMeasure[msr_id],tblMeasure[src_name])</f>
        <v>Public service productivity, adult social care, England</v>
      </c>
    </row>
    <row r="918" spans="1:12" x14ac:dyDescent="0.15">
      <c r="A918" s="1" t="str">
        <f>_xlfn.XLOOKUP(tblRequirementMeasureXref[[#This Row],[dm_id]],tblDataRequirement[dm_id],tblDataRequirement[domain_sub_requirement])</f>
        <v>Users:Income:Direct payments</v>
      </c>
      <c r="B918" s="1" t="str">
        <f>_xlfn.XLOOKUP(tblRequirementMeasureXref[[#This Row],[dm_id]],tblDataRequirement[dm_id],tblDataRequirement[dm_phase])</f>
        <v>supply</v>
      </c>
      <c r="C918" s="1">
        <v>71</v>
      </c>
      <c r="D918" s="1">
        <v>251</v>
      </c>
      <c r="G918" s="1"/>
      <c r="H918" s="62" t="str">
        <f>_xlfn.XLOOKUP(tblRequirementMeasureXref[[#This Row],[msr_id]],tblMeasure[msr_id],tblMeasure[msr_table])</f>
        <v>Table 8</v>
      </c>
      <c r="I918" s="22" t="str">
        <f>_xlfn.XLOOKUP(tblRequirementMeasureXref[[#This Row],[msr_id]],tblMeasure[msr_id],tblMeasure[msr_name])</f>
        <v>Comparison of deflators, England, financial year</v>
      </c>
      <c r="J918" s="22" t="str">
        <f>_xlfn.XLOOKUP(tblRequirementMeasureXref[[#This Row],[msr_id]],tblMeasure[msr_id],tblMeasure[primary_dimensions])</f>
        <v>deflator, deflator growth</v>
      </c>
      <c r="K918" s="22" t="str">
        <f>_xlfn.XLOOKUP(tblRequirementMeasureXref[[#This Row],[msr_id]],tblMeasure[msr_id],tblMeasure[msr_min_geo_resolution])</f>
        <v>England</v>
      </c>
      <c r="L918" s="22" t="str">
        <f>_xlfn.XLOOKUP(tblRequirementMeasureXref[[#This Row],[msr_id]],tblMeasure[msr_id],tblMeasure[src_name])</f>
        <v>Public service productivity, adult social care, England</v>
      </c>
    </row>
    <row r="919" spans="1:12" x14ac:dyDescent="0.15">
      <c r="A919" s="1" t="str">
        <f>_xlfn.XLOOKUP(tblRequirementMeasureXref[[#This Row],[dm_id]],tblDataRequirement[dm_id],tblDataRequirement[domain_sub_requirement])</f>
        <v>Workforce:Income:Pay</v>
      </c>
      <c r="B919" s="1" t="str">
        <f>_xlfn.XLOOKUP(tblRequirementMeasureXref[[#This Row],[dm_id]],tblDataRequirement[dm_id],tblDataRequirement[dm_phase])</f>
        <v>operate</v>
      </c>
      <c r="C919" s="1">
        <v>67</v>
      </c>
      <c r="D919" s="1">
        <v>251</v>
      </c>
      <c r="G919" s="1"/>
      <c r="H919" s="62" t="str">
        <f>_xlfn.XLOOKUP(tblRequirementMeasureXref[[#This Row],[msr_id]],tblMeasure[msr_id],tblMeasure[msr_table])</f>
        <v>Table 8</v>
      </c>
      <c r="I919" s="22" t="str">
        <f>_xlfn.XLOOKUP(tblRequirementMeasureXref[[#This Row],[msr_id]],tblMeasure[msr_id],tblMeasure[msr_name])</f>
        <v>Comparison of deflators, England, financial year</v>
      </c>
      <c r="J919" s="22" t="str">
        <f>_xlfn.XLOOKUP(tblRequirementMeasureXref[[#This Row],[msr_id]],tblMeasure[msr_id],tblMeasure[primary_dimensions])</f>
        <v>deflator, deflator growth</v>
      </c>
      <c r="K919" s="22" t="str">
        <f>_xlfn.XLOOKUP(tblRequirementMeasureXref[[#This Row],[msr_id]],tblMeasure[msr_id],tblMeasure[msr_min_geo_resolution])</f>
        <v>England</v>
      </c>
      <c r="L919" s="22" t="str">
        <f>_xlfn.XLOOKUP(tblRequirementMeasureXref[[#This Row],[msr_id]],tblMeasure[msr_id],tblMeasure[src_name])</f>
        <v>Public service productivity, adult social care, England</v>
      </c>
    </row>
    <row r="920" spans="1:12" x14ac:dyDescent="0.15">
      <c r="A920" s="1" t="str">
        <f>_xlfn.XLOOKUP(tblRequirementMeasureXref[[#This Row],[dm_id]],tblDataRequirement[dm_id],tblDataRequirement[domain_sub_requirement])</f>
        <v>Service:Quality:User perception</v>
      </c>
      <c r="B920" s="1" t="str">
        <f>_xlfn.XLOOKUP(tblRequirementMeasureXref[[#This Row],[dm_id]],tblDataRequirement[dm_id],tblDataRequirement[dm_phase])</f>
        <v>outcome</v>
      </c>
      <c r="C920" s="1">
        <v>25</v>
      </c>
      <c r="D920" s="1">
        <v>252</v>
      </c>
      <c r="G920" s="1"/>
      <c r="H920" s="62" t="str">
        <f>_xlfn.XLOOKUP(tblRequirementMeasureXref[[#This Row],[msr_id]],tblMeasure[msr_id],tblMeasure[msr_table])</f>
        <v>Table 9</v>
      </c>
      <c r="I920" s="22" t="str">
        <f>_xlfn.XLOOKUP(tblRequirementMeasureXref[[#This Row],[msr_id]],tblMeasure[msr_id],tblMeasure[msr_name])</f>
        <v>Quality adjustment components, growth rates, England, financial year</v>
      </c>
      <c r="J920" s="22" t="str">
        <f>_xlfn.XLOOKUP(tblRequirementMeasureXref[[#This Row],[msr_id]],tblMeasure[msr_id],tblMeasure[primary_dimensions])</f>
        <v>quality adjustment growth</v>
      </c>
      <c r="K920" s="22" t="str">
        <f>_xlfn.XLOOKUP(tblRequirementMeasureXref[[#This Row],[msr_id]],tblMeasure[msr_id],tblMeasure[msr_min_geo_resolution])</f>
        <v>England</v>
      </c>
      <c r="L920" s="22" t="str">
        <f>_xlfn.XLOOKUP(tblRequirementMeasureXref[[#This Row],[msr_id]],tblMeasure[msr_id],tblMeasure[src_name])</f>
        <v>Public service productivity, adult social care, England</v>
      </c>
    </row>
    <row r="921" spans="1:12" x14ac:dyDescent="0.15">
      <c r="A921" s="1" t="str">
        <f>_xlfn.XLOOKUP(tblRequirementMeasureXref[[#This Row],[dm_id]],tblDataRequirement[dm_id],tblDataRequirement[domain_sub_requirement])</f>
        <v>Service:Support setting:Residential care home</v>
      </c>
      <c r="B921" s="1" t="str">
        <f>_xlfn.XLOOKUP(tblRequirementMeasureXref[[#This Row],[dm_id]],tblDataRequirement[dm_id],tblDataRequirement[dm_phase])</f>
        <v>operate</v>
      </c>
      <c r="C921" s="1">
        <v>41</v>
      </c>
      <c r="D921" s="1">
        <v>252</v>
      </c>
      <c r="G921" s="1"/>
      <c r="H921" s="62" t="str">
        <f>_xlfn.XLOOKUP(tblRequirementMeasureXref[[#This Row],[msr_id]],tblMeasure[msr_id],tblMeasure[msr_table])</f>
        <v>Table 9</v>
      </c>
      <c r="I921" s="22" t="str">
        <f>_xlfn.XLOOKUP(tblRequirementMeasureXref[[#This Row],[msr_id]],tblMeasure[msr_id],tblMeasure[msr_name])</f>
        <v>Quality adjustment components, growth rates, England, financial year</v>
      </c>
      <c r="J921" s="22" t="str">
        <f>_xlfn.XLOOKUP(tblRequirementMeasureXref[[#This Row],[msr_id]],tblMeasure[msr_id],tblMeasure[primary_dimensions])</f>
        <v>quality adjustment growth</v>
      </c>
      <c r="K921" s="22" t="str">
        <f>_xlfn.XLOOKUP(tblRequirementMeasureXref[[#This Row],[msr_id]],tblMeasure[msr_id],tblMeasure[msr_min_geo_resolution])</f>
        <v>England</v>
      </c>
      <c r="L921" s="22" t="str">
        <f>_xlfn.XLOOKUP(tblRequirementMeasureXref[[#This Row],[msr_id]],tblMeasure[msr_id],tblMeasure[src_name])</f>
        <v>Public service productivity, adult social care, England</v>
      </c>
    </row>
    <row r="922" spans="1:12" x14ac:dyDescent="0.15">
      <c r="A922" s="1" t="str">
        <f>_xlfn.XLOOKUP(tblRequirementMeasureXref[[#This Row],[dm_id]],tblDataRequirement[dm_id],tblDataRequirement[domain_sub_requirement])</f>
        <v>Service:Support setting:Nursing home</v>
      </c>
      <c r="B922" s="1" t="str">
        <f>_xlfn.XLOOKUP(tblRequirementMeasureXref[[#This Row],[dm_id]],tblDataRequirement[dm_id],tblDataRequirement[dm_phase])</f>
        <v>operate</v>
      </c>
      <c r="C922" s="1">
        <v>42</v>
      </c>
      <c r="D922" s="1">
        <v>252</v>
      </c>
      <c r="G922" s="1"/>
      <c r="H922" s="62" t="str">
        <f>_xlfn.XLOOKUP(tblRequirementMeasureXref[[#This Row],[msr_id]],tblMeasure[msr_id],tblMeasure[msr_table])</f>
        <v>Table 9</v>
      </c>
      <c r="I922" s="22" t="str">
        <f>_xlfn.XLOOKUP(tblRequirementMeasureXref[[#This Row],[msr_id]],tblMeasure[msr_id],tblMeasure[msr_name])</f>
        <v>Quality adjustment components, growth rates, England, financial year</v>
      </c>
      <c r="J922" s="22" t="str">
        <f>_xlfn.XLOOKUP(tblRequirementMeasureXref[[#This Row],[msr_id]],tblMeasure[msr_id],tblMeasure[primary_dimensions])</f>
        <v>quality adjustment growth</v>
      </c>
      <c r="K922" s="22" t="str">
        <f>_xlfn.XLOOKUP(tblRequirementMeasureXref[[#This Row],[msr_id]],tblMeasure[msr_id],tblMeasure[msr_min_geo_resolution])</f>
        <v>England</v>
      </c>
      <c r="L922" s="22" t="str">
        <f>_xlfn.XLOOKUP(tblRequirementMeasureXref[[#This Row],[msr_id]],tblMeasure[msr_id],tblMeasure[src_name])</f>
        <v>Public service productivity, adult social care, England</v>
      </c>
    </row>
    <row r="923" spans="1:12" x14ac:dyDescent="0.15">
      <c r="A923" s="1" t="str">
        <f>_xlfn.XLOOKUP(tblRequirementMeasureXref[[#This Row],[dm_id]],tblDataRequirement[dm_id],tblDataRequirement[domain_sub_requirement])</f>
        <v>Service:Support setting:Community</v>
      </c>
      <c r="B923" s="1" t="str">
        <f>_xlfn.XLOOKUP(tblRequirementMeasureXref[[#This Row],[dm_id]],tblDataRequirement[dm_id],tblDataRequirement[dm_phase])</f>
        <v>operate</v>
      </c>
      <c r="C923" s="1">
        <v>43</v>
      </c>
      <c r="D923" s="1">
        <v>252</v>
      </c>
      <c r="G923" s="1"/>
      <c r="H923" s="62" t="str">
        <f>_xlfn.XLOOKUP(tblRequirementMeasureXref[[#This Row],[msr_id]],tblMeasure[msr_id],tblMeasure[msr_table])</f>
        <v>Table 9</v>
      </c>
      <c r="I923" s="22" t="str">
        <f>_xlfn.XLOOKUP(tblRequirementMeasureXref[[#This Row],[msr_id]],tblMeasure[msr_id],tblMeasure[msr_name])</f>
        <v>Quality adjustment components, growth rates, England, financial year</v>
      </c>
      <c r="J923" s="22" t="str">
        <f>_xlfn.XLOOKUP(tblRequirementMeasureXref[[#This Row],[msr_id]],tblMeasure[msr_id],tblMeasure[primary_dimensions])</f>
        <v>quality adjustment growth</v>
      </c>
      <c r="K923" s="22" t="str">
        <f>_xlfn.XLOOKUP(tblRequirementMeasureXref[[#This Row],[msr_id]],tblMeasure[msr_id],tblMeasure[msr_min_geo_resolution])</f>
        <v>England</v>
      </c>
      <c r="L923" s="22" t="str">
        <f>_xlfn.XLOOKUP(tblRequirementMeasureXref[[#This Row],[msr_id]],tblMeasure[msr_id],tblMeasure[src_name])</f>
        <v>Public service productivity, adult social care, England</v>
      </c>
    </row>
    <row r="924" spans="1:12" x14ac:dyDescent="0.15">
      <c r="A924" s="1" t="str">
        <f>_xlfn.XLOOKUP(tblRequirementMeasureXref[[#This Row],[dm_id]],tblDataRequirement[dm_id],tblDataRequirement[domain_sub_requirement])</f>
        <v>Users:Care need:Support reason</v>
      </c>
      <c r="B924" s="1" t="str">
        <f>_xlfn.XLOOKUP(tblRequirementMeasureXref[[#This Row],[dm_id]],tblDataRequirement[dm_id],tblDataRequirement[dm_phase])</f>
        <v>demand</v>
      </c>
      <c r="C924" s="1">
        <v>56</v>
      </c>
      <c r="D924" s="1">
        <v>252</v>
      </c>
      <c r="G924" s="1"/>
      <c r="H924" s="62" t="str">
        <f>_xlfn.XLOOKUP(tblRequirementMeasureXref[[#This Row],[msr_id]],tblMeasure[msr_id],tblMeasure[msr_table])</f>
        <v>Table 9</v>
      </c>
      <c r="I924" s="22" t="str">
        <f>_xlfn.XLOOKUP(tblRequirementMeasureXref[[#This Row],[msr_id]],tblMeasure[msr_id],tblMeasure[msr_name])</f>
        <v>Quality adjustment components, growth rates, England, financial year</v>
      </c>
      <c r="J924" s="22" t="str">
        <f>_xlfn.XLOOKUP(tblRequirementMeasureXref[[#This Row],[msr_id]],tblMeasure[msr_id],tblMeasure[primary_dimensions])</f>
        <v>quality adjustment growth</v>
      </c>
      <c r="K924" s="22" t="str">
        <f>_xlfn.XLOOKUP(tblRequirementMeasureXref[[#This Row],[msr_id]],tblMeasure[msr_id],tblMeasure[msr_min_geo_resolution])</f>
        <v>England</v>
      </c>
      <c r="L924" s="22" t="str">
        <f>_xlfn.XLOOKUP(tblRequirementMeasureXref[[#This Row],[msr_id]],tblMeasure[msr_id],tblMeasure[src_name])</f>
        <v>Public service productivity, adult social care, England</v>
      </c>
    </row>
    <row r="925" spans="1:12" x14ac:dyDescent="0.15">
      <c r="A925" s="1" t="str">
        <f>_xlfn.XLOOKUP(tblRequirementMeasureXref[[#This Row],[dm_id]],tblDataRequirement[dm_id],tblDataRequirement[domain_sub_requirement])</f>
        <v>Users:Demographics:Age</v>
      </c>
      <c r="B925" s="1" t="str">
        <f>_xlfn.XLOOKUP(tblRequirementMeasureXref[[#This Row],[dm_id]],tblDataRequirement[dm_id],tblDataRequirement[dm_phase])</f>
        <v>demand</v>
      </c>
      <c r="C925" s="1">
        <v>51</v>
      </c>
      <c r="D925" s="1">
        <v>252</v>
      </c>
      <c r="G925" s="1"/>
      <c r="H925" s="62" t="str">
        <f>_xlfn.XLOOKUP(tblRequirementMeasureXref[[#This Row],[msr_id]],tblMeasure[msr_id],tblMeasure[msr_table])</f>
        <v>Table 9</v>
      </c>
      <c r="I925" s="22" t="str">
        <f>_xlfn.XLOOKUP(tblRequirementMeasureXref[[#This Row],[msr_id]],tblMeasure[msr_id],tblMeasure[msr_name])</f>
        <v>Quality adjustment components, growth rates, England, financial year</v>
      </c>
      <c r="J925" s="22" t="str">
        <f>_xlfn.XLOOKUP(tblRequirementMeasureXref[[#This Row],[msr_id]],tblMeasure[msr_id],tblMeasure[primary_dimensions])</f>
        <v>quality adjustment growth</v>
      </c>
      <c r="K925" s="22" t="str">
        <f>_xlfn.XLOOKUP(tblRequirementMeasureXref[[#This Row],[msr_id]],tblMeasure[msr_id],tblMeasure[msr_min_geo_resolution])</f>
        <v>England</v>
      </c>
      <c r="L925" s="22" t="str">
        <f>_xlfn.XLOOKUP(tblRequirementMeasureXref[[#This Row],[msr_id]],tblMeasure[msr_id],tblMeasure[src_name])</f>
        <v>Public service productivity, adult social care, England</v>
      </c>
    </row>
    <row r="926" spans="1:12" x14ac:dyDescent="0.15">
      <c r="A926" s="1" t="str">
        <f>_xlfn.XLOOKUP(tblRequirementMeasureXref[[#This Row],[dm_id]],tblDataRequirement[dm_id],tblDataRequirement[domain_sub_requirement])</f>
        <v>Providers:Type:Capacity</v>
      </c>
      <c r="B926" s="1" t="str">
        <f>_xlfn.XLOOKUP(tblRequirementMeasureXref[[#This Row],[dm_id]],tblDataRequirement[dm_id],tblDataRequirement[dm_phase])</f>
        <v>supply</v>
      </c>
      <c r="C926" s="1">
        <v>96</v>
      </c>
      <c r="D926" s="1">
        <v>253</v>
      </c>
      <c r="G926" s="1"/>
      <c r="H926" s="62">
        <f>_xlfn.XLOOKUP(tblRequirementMeasureXref[[#This Row],[msr_id]],tblMeasure[msr_id],tblMeasure[msr_table])</f>
        <v>92489</v>
      </c>
      <c r="I926" s="22" t="str">
        <f>_xlfn.XLOOKUP(tblRequirementMeasureXref[[#This Row],[msr_id]],tblMeasure[msr_id],tblMeasure[msr_name])</f>
        <v>Care home beds per 100 people 75</v>
      </c>
      <c r="J926" s="22" t="str">
        <f>_xlfn.XLOOKUP(tblRequirementMeasureXref[[#This Row],[msr_id]],tblMeasure[msr_id],tblMeasure[primary_dimensions])</f>
        <v>beds</v>
      </c>
      <c r="K926" s="22" t="str">
        <f>_xlfn.XLOOKUP(tblRequirementMeasureXref[[#This Row],[msr_id]],tblMeasure[msr_id],tblMeasure[msr_min_geo_resolution])</f>
        <v>LA</v>
      </c>
      <c r="L926" s="22" t="str">
        <f>_xlfn.XLOOKUP(tblRequirementMeasureXref[[#This Row],[msr_id]],tblMeasure[msr_id],tblMeasure[src_name])</f>
        <v>Palliative and End of Life Care Profiles - Care Homes and Community</v>
      </c>
    </row>
    <row r="927" spans="1:12" x14ac:dyDescent="0.15">
      <c r="A927" s="1" t="str">
        <f>_xlfn.XLOOKUP(tblRequirementMeasureXref[[#This Row],[dm_id]],tblDataRequirement[dm_id],tblDataRequirement[domain_sub_requirement])</f>
        <v>Service:Support setting:Residential care home</v>
      </c>
      <c r="B927" s="1" t="str">
        <f>_xlfn.XLOOKUP(tblRequirementMeasureXref[[#This Row],[dm_id]],tblDataRequirement[dm_id],tblDataRequirement[dm_phase])</f>
        <v>operate</v>
      </c>
      <c r="C927" s="1">
        <v>41</v>
      </c>
      <c r="D927" s="1">
        <v>253</v>
      </c>
      <c r="G927" s="1"/>
      <c r="H927" s="62">
        <f>_xlfn.XLOOKUP(tblRequirementMeasureXref[[#This Row],[msr_id]],tblMeasure[msr_id],tblMeasure[msr_table])</f>
        <v>92489</v>
      </c>
      <c r="I927" s="22" t="str">
        <f>_xlfn.XLOOKUP(tblRequirementMeasureXref[[#This Row],[msr_id]],tblMeasure[msr_id],tblMeasure[msr_name])</f>
        <v>Care home beds per 100 people 75</v>
      </c>
      <c r="J927" s="22" t="str">
        <f>_xlfn.XLOOKUP(tblRequirementMeasureXref[[#This Row],[msr_id]],tblMeasure[msr_id],tblMeasure[primary_dimensions])</f>
        <v>beds</v>
      </c>
      <c r="K927" s="22" t="str">
        <f>_xlfn.XLOOKUP(tblRequirementMeasureXref[[#This Row],[msr_id]],tblMeasure[msr_id],tblMeasure[msr_min_geo_resolution])</f>
        <v>LA</v>
      </c>
      <c r="L927" s="22" t="str">
        <f>_xlfn.XLOOKUP(tblRequirementMeasureXref[[#This Row],[msr_id]],tblMeasure[msr_id],tblMeasure[src_name])</f>
        <v>Palliative and End of Life Care Profiles - Care Homes and Community</v>
      </c>
    </row>
    <row r="928" spans="1:12" x14ac:dyDescent="0.15">
      <c r="A928" s="1" t="str">
        <f>_xlfn.XLOOKUP(tblRequirementMeasureXref[[#This Row],[dm_id]],tblDataRequirement[dm_id],tblDataRequirement[domain_sub_requirement])</f>
        <v>Providers:Type:Capacity</v>
      </c>
      <c r="B928" s="1" t="str">
        <f>_xlfn.XLOOKUP(tblRequirementMeasureXref[[#This Row],[dm_id]],tblDataRequirement[dm_id],tblDataRequirement[dm_phase])</f>
        <v>supply</v>
      </c>
      <c r="C928" s="1">
        <v>96</v>
      </c>
      <c r="D928" s="1">
        <v>254</v>
      </c>
      <c r="G928" s="1"/>
      <c r="H928" s="62">
        <f>_xlfn.XLOOKUP(tblRequirementMeasureXref[[#This Row],[msr_id]],tblMeasure[msr_id],tblMeasure[msr_table])</f>
        <v>92490</v>
      </c>
      <c r="I928" s="22" t="str">
        <f>_xlfn.XLOOKUP(tblRequirementMeasureXref[[#This Row],[msr_id]],tblMeasure[msr_id],tblMeasure[msr_name])</f>
        <v>Nursing home beds per 100 people 75+</v>
      </c>
      <c r="J928" s="22" t="str">
        <f>_xlfn.XLOOKUP(tblRequirementMeasureXref[[#This Row],[msr_id]],tblMeasure[msr_id],tblMeasure[primary_dimensions])</f>
        <v>beds</v>
      </c>
      <c r="K928" s="22" t="str">
        <f>_xlfn.XLOOKUP(tblRequirementMeasureXref[[#This Row],[msr_id]],tblMeasure[msr_id],tblMeasure[msr_min_geo_resolution])</f>
        <v>LA</v>
      </c>
      <c r="L928" s="22" t="str">
        <f>_xlfn.XLOOKUP(tblRequirementMeasureXref[[#This Row],[msr_id]],tblMeasure[msr_id],tblMeasure[src_name])</f>
        <v>Palliative and End of Life Care Profiles - Care Homes and Community</v>
      </c>
    </row>
    <row r="929" spans="1:12" x14ac:dyDescent="0.15">
      <c r="A929" s="1" t="str">
        <f>_xlfn.XLOOKUP(tblRequirementMeasureXref[[#This Row],[dm_id]],tblDataRequirement[dm_id],tblDataRequirement[domain_sub_requirement])</f>
        <v>Service:Support setting:Nursing home</v>
      </c>
      <c r="B929" s="1" t="str">
        <f>_xlfn.XLOOKUP(tblRequirementMeasureXref[[#This Row],[dm_id]],tblDataRequirement[dm_id],tblDataRequirement[dm_phase])</f>
        <v>operate</v>
      </c>
      <c r="C929" s="1">
        <v>42</v>
      </c>
      <c r="D929" s="1">
        <v>254</v>
      </c>
      <c r="G929" s="1"/>
      <c r="H929" s="62">
        <f>_xlfn.XLOOKUP(tblRequirementMeasureXref[[#This Row],[msr_id]],tblMeasure[msr_id],tblMeasure[msr_table])</f>
        <v>92490</v>
      </c>
      <c r="I929" s="22" t="str">
        <f>_xlfn.XLOOKUP(tblRequirementMeasureXref[[#This Row],[msr_id]],tblMeasure[msr_id],tblMeasure[msr_name])</f>
        <v>Nursing home beds per 100 people 75+</v>
      </c>
      <c r="J929" s="22" t="str">
        <f>_xlfn.XLOOKUP(tblRequirementMeasureXref[[#This Row],[msr_id]],tblMeasure[msr_id],tblMeasure[primary_dimensions])</f>
        <v>beds</v>
      </c>
      <c r="K929" s="22" t="str">
        <f>_xlfn.XLOOKUP(tblRequirementMeasureXref[[#This Row],[msr_id]],tblMeasure[msr_id],tblMeasure[msr_min_geo_resolution])</f>
        <v>LA</v>
      </c>
      <c r="L929" s="22" t="str">
        <f>_xlfn.XLOOKUP(tblRequirementMeasureXref[[#This Row],[msr_id]],tblMeasure[msr_id],tblMeasure[src_name])</f>
        <v>Palliative and End of Life Care Profiles - Care Homes and Community</v>
      </c>
    </row>
    <row r="930" spans="1:12" x14ac:dyDescent="0.15">
      <c r="A930" s="1" t="str">
        <f>_xlfn.XLOOKUP(tblRequirementMeasureXref[[#This Row],[dm_id]],tblDataRequirement[dm_id],tblDataRequirement[domain_sub_requirement])</f>
        <v>Service:Support setting:Residential care home</v>
      </c>
      <c r="B930" s="1" t="str">
        <f>_xlfn.XLOOKUP(tblRequirementMeasureXref[[#This Row],[dm_id]],tblDataRequirement[dm_id],tblDataRequirement[dm_phase])</f>
        <v>operate</v>
      </c>
      <c r="C930" s="1">
        <v>41</v>
      </c>
      <c r="D930" s="1">
        <v>255</v>
      </c>
      <c r="G930" s="1"/>
      <c r="H930" s="62">
        <f>_xlfn.XLOOKUP(tblRequirementMeasureXref[[#This Row],[msr_id]],tblMeasure[msr_id],tblMeasure[msr_table])</f>
        <v>92453</v>
      </c>
      <c r="I930" s="22" t="str">
        <f>_xlfn.XLOOKUP(tblRequirementMeasureXref[[#This Row],[msr_id]],tblMeasure[msr_id],tblMeasure[msr_name])</f>
        <v>Temporary Resident Care Home Deaths, Persons, All Ages (%)</v>
      </c>
      <c r="J930" s="22" t="str">
        <f>_xlfn.XLOOKUP(tblRequirementMeasureXref[[#This Row],[msr_id]],tblMeasure[msr_id],tblMeasure[primary_dimensions])</f>
        <v>deaths</v>
      </c>
      <c r="K930" s="22" t="str">
        <f>_xlfn.XLOOKUP(tblRequirementMeasureXref[[#This Row],[msr_id]],tblMeasure[msr_id],tblMeasure[msr_min_geo_resolution])</f>
        <v>LA</v>
      </c>
      <c r="L930" s="22" t="str">
        <f>_xlfn.XLOOKUP(tblRequirementMeasureXref[[#This Row],[msr_id]],tblMeasure[msr_id],tblMeasure[src_name])</f>
        <v>Palliative and End of Life Care Profiles - Care Homes and Community</v>
      </c>
    </row>
    <row r="931" spans="1:12" x14ac:dyDescent="0.15">
      <c r="A931" s="1" t="str">
        <f>_xlfn.XLOOKUP(tblRequirementMeasureXref[[#This Row],[dm_id]],tblDataRequirement[dm_id],tblDataRequirement[domain_sub_requirement])</f>
        <v>Users:Health:Health</v>
      </c>
      <c r="B931" s="1" t="str">
        <f>_xlfn.XLOOKUP(tblRequirementMeasureXref[[#This Row],[dm_id]],tblDataRequirement[dm_id],tblDataRequirement[dm_phase])</f>
        <v>outcome</v>
      </c>
      <c r="C931" s="1">
        <v>53</v>
      </c>
      <c r="D931" s="1">
        <v>255</v>
      </c>
      <c r="G931" s="1"/>
      <c r="H931" s="62">
        <f>_xlfn.XLOOKUP(tblRequirementMeasureXref[[#This Row],[msr_id]],tblMeasure[msr_id],tblMeasure[msr_table])</f>
        <v>92453</v>
      </c>
      <c r="I931" s="22" t="str">
        <f>_xlfn.XLOOKUP(tblRequirementMeasureXref[[#This Row],[msr_id]],tblMeasure[msr_id],tblMeasure[msr_name])</f>
        <v>Temporary Resident Care Home Deaths, Persons, All Ages (%)</v>
      </c>
      <c r="J931" s="22" t="str">
        <f>_xlfn.XLOOKUP(tblRequirementMeasureXref[[#This Row],[msr_id]],tblMeasure[msr_id],tblMeasure[primary_dimensions])</f>
        <v>deaths</v>
      </c>
      <c r="K931" s="22" t="str">
        <f>_xlfn.XLOOKUP(tblRequirementMeasureXref[[#This Row],[msr_id]],tblMeasure[msr_id],tblMeasure[msr_min_geo_resolution])</f>
        <v>LA</v>
      </c>
      <c r="L931" s="22" t="str">
        <f>_xlfn.XLOOKUP(tblRequirementMeasureXref[[#This Row],[msr_id]],tblMeasure[msr_id],tblMeasure[src_name])</f>
        <v>Palliative and End of Life Care Profiles - Care Homes and Community</v>
      </c>
    </row>
    <row r="932" spans="1:12" x14ac:dyDescent="0.15">
      <c r="A932" s="1" t="str">
        <f>_xlfn.XLOOKUP(tblRequirementMeasureXref[[#This Row],[dm_id]],tblDataRequirement[dm_id],tblDataRequirement[domain_sub_requirement])</f>
        <v>Service:Support setting:Residential care home</v>
      </c>
      <c r="B932" s="1" t="str">
        <f>_xlfn.XLOOKUP(tblRequirementMeasureXref[[#This Row],[dm_id]],tblDataRequirement[dm_id],tblDataRequirement[dm_phase])</f>
        <v>operate</v>
      </c>
      <c r="C932" s="1">
        <v>41</v>
      </c>
      <c r="D932" s="1">
        <v>256</v>
      </c>
      <c r="G932" s="1"/>
      <c r="H932" s="62">
        <f>_xlfn.XLOOKUP(tblRequirementMeasureXref[[#This Row],[msr_id]],tblMeasure[msr_id],tblMeasure[msr_table])</f>
        <v>1194</v>
      </c>
      <c r="I932" s="22" t="str">
        <f>_xlfn.XLOOKUP(tblRequirementMeasureXref[[#This Row],[msr_id]],tblMeasure[msr_id],tblMeasure[msr_name])</f>
        <v>Permanent admissions to residential and nursing care homes per 100,000 aged 65+</v>
      </c>
      <c r="J932" s="22" t="str">
        <f>_xlfn.XLOOKUP(tblRequirementMeasureXref[[#This Row],[msr_id]],tblMeasure[msr_id],tblMeasure[primary_dimensions])</f>
        <v>admissions</v>
      </c>
      <c r="K932" s="22" t="str">
        <f>_xlfn.XLOOKUP(tblRequirementMeasureXref[[#This Row],[msr_id]],tblMeasure[msr_id],tblMeasure[msr_min_geo_resolution])</f>
        <v>LA</v>
      </c>
      <c r="L932" s="22" t="str">
        <f>_xlfn.XLOOKUP(tblRequirementMeasureXref[[#This Row],[msr_id]],tblMeasure[msr_id],tblMeasure[src_name])</f>
        <v>Palliative and End of Life Care Profiles - Care Homes and Community</v>
      </c>
    </row>
    <row r="933" spans="1:12" x14ac:dyDescent="0.15">
      <c r="A933" s="1" t="str">
        <f>_xlfn.XLOOKUP(tblRequirementMeasureXref[[#This Row],[dm_id]],tblDataRequirement[dm_id],tblDataRequirement[domain_sub_requirement])</f>
        <v>Service:Support setting:Nursing home</v>
      </c>
      <c r="B933" s="1" t="str">
        <f>_xlfn.XLOOKUP(tblRequirementMeasureXref[[#This Row],[dm_id]],tblDataRequirement[dm_id],tblDataRequirement[dm_phase])</f>
        <v>operate</v>
      </c>
      <c r="C933" s="1">
        <v>42</v>
      </c>
      <c r="D933" s="1">
        <v>256</v>
      </c>
      <c r="G933" s="1"/>
      <c r="H933" s="62">
        <f>_xlfn.XLOOKUP(tblRequirementMeasureXref[[#This Row],[msr_id]],tblMeasure[msr_id],tblMeasure[msr_table])</f>
        <v>1194</v>
      </c>
      <c r="I933" s="22" t="str">
        <f>_xlfn.XLOOKUP(tblRequirementMeasureXref[[#This Row],[msr_id]],tblMeasure[msr_id],tblMeasure[msr_name])</f>
        <v>Permanent admissions to residential and nursing care homes per 100,000 aged 65+</v>
      </c>
      <c r="J933" s="22" t="str">
        <f>_xlfn.XLOOKUP(tblRequirementMeasureXref[[#This Row],[msr_id]],tblMeasure[msr_id],tblMeasure[primary_dimensions])</f>
        <v>admissions</v>
      </c>
      <c r="K933" s="22" t="str">
        <f>_xlfn.XLOOKUP(tblRequirementMeasureXref[[#This Row],[msr_id]],tblMeasure[msr_id],tblMeasure[msr_min_geo_resolution])</f>
        <v>LA</v>
      </c>
      <c r="L933" s="22" t="str">
        <f>_xlfn.XLOOKUP(tblRequirementMeasureXref[[#This Row],[msr_id]],tblMeasure[msr_id],tblMeasure[src_name])</f>
        <v>Palliative and End of Life Care Profiles - Care Homes and Community</v>
      </c>
    </row>
    <row r="934" spans="1:12" x14ac:dyDescent="0.15">
      <c r="A934" s="1" t="str">
        <f>_xlfn.XLOOKUP(tblRequirementMeasureXref[[#This Row],[dm_id]],tblDataRequirement[dm_id],tblDataRequirement[domain_sub_requirement])</f>
        <v>Users:Demographics:Age</v>
      </c>
      <c r="B934" s="1" t="str">
        <f>_xlfn.XLOOKUP(tblRequirementMeasureXref[[#This Row],[dm_id]],tblDataRequirement[dm_id],tblDataRequirement[dm_phase])</f>
        <v>demand</v>
      </c>
      <c r="C934" s="1">
        <v>51</v>
      </c>
      <c r="D934" s="1">
        <v>256</v>
      </c>
      <c r="G934" s="1"/>
      <c r="H934" s="62">
        <f>_xlfn.XLOOKUP(tblRequirementMeasureXref[[#This Row],[msr_id]],tblMeasure[msr_id],tblMeasure[msr_table])</f>
        <v>1194</v>
      </c>
      <c r="I934" s="22" t="str">
        <f>_xlfn.XLOOKUP(tblRequirementMeasureXref[[#This Row],[msr_id]],tblMeasure[msr_id],tblMeasure[msr_name])</f>
        <v>Permanent admissions to residential and nursing care homes per 100,000 aged 65+</v>
      </c>
      <c r="J934" s="22" t="str">
        <f>_xlfn.XLOOKUP(tblRequirementMeasureXref[[#This Row],[msr_id]],tblMeasure[msr_id],tblMeasure[primary_dimensions])</f>
        <v>admissions</v>
      </c>
      <c r="K934" s="22" t="str">
        <f>_xlfn.XLOOKUP(tblRequirementMeasureXref[[#This Row],[msr_id]],tblMeasure[msr_id],tblMeasure[msr_min_geo_resolution])</f>
        <v>LA</v>
      </c>
      <c r="L934" s="22" t="str">
        <f>_xlfn.XLOOKUP(tblRequirementMeasureXref[[#This Row],[msr_id]],tblMeasure[msr_id],tblMeasure[src_name])</f>
        <v>Palliative and End of Life Care Profiles - Care Homes and Community</v>
      </c>
    </row>
    <row r="935" spans="1:12" x14ac:dyDescent="0.15">
      <c r="A935" s="1" t="str">
        <f>_xlfn.XLOOKUP(tblRequirementMeasureXref[[#This Row],[dm_id]],tblDataRequirement[dm_id],tblDataRequirement[domain_sub_requirement])</f>
        <v>Providers:Workforce:Filled jobs</v>
      </c>
      <c r="B935" s="1" t="str">
        <f>_xlfn.XLOOKUP(tblRequirementMeasureXref[[#This Row],[dm_id]],tblDataRequirement[dm_id],tblDataRequirement[dm_phase])</f>
        <v>supply</v>
      </c>
      <c r="C935" s="1">
        <v>10</v>
      </c>
      <c r="D935" s="1">
        <v>257</v>
      </c>
      <c r="G935" s="1"/>
      <c r="H935" s="62" t="str">
        <f>_xlfn.XLOOKUP(tblRequirementMeasureXref[[#This Row],[msr_id]],tblMeasure[msr_id],tblMeasure[msr_table])</f>
        <v>Table 1</v>
      </c>
      <c r="I935" s="22" t="str">
        <f>_xlfn.XLOOKUP(tblRequirementMeasureXref[[#This Row],[msr_id]],tblMeasure[msr_id],tblMeasure[msr_name])</f>
        <v>Total number of adult social care jobs by sector, service type and job role group</v>
      </c>
      <c r="J935" s="22" t="str">
        <f>_xlfn.XLOOKUP(tblRequirementMeasureXref[[#This Row],[msr_id]],tblMeasure[msr_id],tblMeasure[primary_dimensions])</f>
        <v>jobs, role group</v>
      </c>
      <c r="K935" s="22" t="str">
        <f>_xlfn.XLOOKUP(tblRequirementMeasureXref[[#This Row],[msr_id]],tblMeasure[msr_id],tblMeasure[msr_min_geo_resolution])</f>
        <v>Region</v>
      </c>
      <c r="L935" s="22" t="str">
        <f>_xlfn.XLOOKUP(tblRequirementMeasureXref[[#This Row],[msr_id]],tblMeasure[msr_id],tblMeasure[src_name])</f>
        <v>State of the ASC sector and workforce</v>
      </c>
    </row>
    <row r="936" spans="1:12" x14ac:dyDescent="0.15">
      <c r="A936" s="1" t="str">
        <f>_xlfn.XLOOKUP(tblRequirementMeasureXref[[#This Row],[dm_id]],tblDataRequirement[dm_id],tblDataRequirement[domain_sub_requirement])</f>
        <v>Service:Support setting:Home</v>
      </c>
      <c r="B936" s="1" t="str">
        <f>_xlfn.XLOOKUP(tblRequirementMeasureXref[[#This Row],[dm_id]],tblDataRequirement[dm_id],tblDataRequirement[dm_phase])</f>
        <v>operate</v>
      </c>
      <c r="C936" s="1">
        <v>40</v>
      </c>
      <c r="D936" s="1">
        <v>257</v>
      </c>
      <c r="G936" s="1"/>
      <c r="H936" s="62" t="str">
        <f>_xlfn.XLOOKUP(tblRequirementMeasureXref[[#This Row],[msr_id]],tblMeasure[msr_id],tblMeasure[msr_table])</f>
        <v>Table 1</v>
      </c>
      <c r="I936" s="22" t="str">
        <f>_xlfn.XLOOKUP(tblRequirementMeasureXref[[#This Row],[msr_id]],tblMeasure[msr_id],tblMeasure[msr_name])</f>
        <v>Total number of adult social care jobs by sector, service type and job role group</v>
      </c>
      <c r="J936" s="22" t="str">
        <f>_xlfn.XLOOKUP(tblRequirementMeasureXref[[#This Row],[msr_id]],tblMeasure[msr_id],tblMeasure[primary_dimensions])</f>
        <v>jobs, role group</v>
      </c>
      <c r="K936" s="22" t="str">
        <f>_xlfn.XLOOKUP(tblRequirementMeasureXref[[#This Row],[msr_id]],tblMeasure[msr_id],tblMeasure[msr_min_geo_resolution])</f>
        <v>Region</v>
      </c>
      <c r="L936" s="22" t="str">
        <f>_xlfn.XLOOKUP(tblRequirementMeasureXref[[#This Row],[msr_id]],tblMeasure[msr_id],tblMeasure[src_name])</f>
        <v>State of the ASC sector and workforce</v>
      </c>
    </row>
    <row r="937" spans="1:12" x14ac:dyDescent="0.15">
      <c r="A937" s="1" t="str">
        <f>_xlfn.XLOOKUP(tblRequirementMeasureXref[[#This Row],[dm_id]],tblDataRequirement[dm_id],tblDataRequirement[domain_sub_requirement])</f>
        <v>Service:Support setting:Residential care home</v>
      </c>
      <c r="B937" s="1" t="str">
        <f>_xlfn.XLOOKUP(tblRequirementMeasureXref[[#This Row],[dm_id]],tblDataRequirement[dm_id],tblDataRequirement[dm_phase])</f>
        <v>operate</v>
      </c>
      <c r="C937" s="1">
        <v>41</v>
      </c>
      <c r="D937" s="1">
        <v>257</v>
      </c>
      <c r="G937" s="1"/>
      <c r="H937" s="62" t="str">
        <f>_xlfn.XLOOKUP(tblRequirementMeasureXref[[#This Row],[msr_id]],tblMeasure[msr_id],tblMeasure[msr_table])</f>
        <v>Table 1</v>
      </c>
      <c r="I937" s="22" t="str">
        <f>_xlfn.XLOOKUP(tblRequirementMeasureXref[[#This Row],[msr_id]],tblMeasure[msr_id],tblMeasure[msr_name])</f>
        <v>Total number of adult social care jobs by sector, service type and job role group</v>
      </c>
      <c r="J937" s="22" t="str">
        <f>_xlfn.XLOOKUP(tblRequirementMeasureXref[[#This Row],[msr_id]],tblMeasure[msr_id],tblMeasure[primary_dimensions])</f>
        <v>jobs, role group</v>
      </c>
      <c r="K937" s="22" t="str">
        <f>_xlfn.XLOOKUP(tblRequirementMeasureXref[[#This Row],[msr_id]],tblMeasure[msr_id],tblMeasure[msr_min_geo_resolution])</f>
        <v>Region</v>
      </c>
      <c r="L937" s="22" t="str">
        <f>_xlfn.XLOOKUP(tblRequirementMeasureXref[[#This Row],[msr_id]],tblMeasure[msr_id],tblMeasure[src_name])</f>
        <v>State of the ASC sector and workforce</v>
      </c>
    </row>
    <row r="938" spans="1:12" x14ac:dyDescent="0.15">
      <c r="A938" s="1" t="str">
        <f>_xlfn.XLOOKUP(tblRequirementMeasureXref[[#This Row],[dm_id]],tblDataRequirement[dm_id],tblDataRequirement[domain_sub_requirement])</f>
        <v>Service:Support setting:Nursing home</v>
      </c>
      <c r="B938" s="1" t="str">
        <f>_xlfn.XLOOKUP(tblRequirementMeasureXref[[#This Row],[dm_id]],tblDataRequirement[dm_id],tblDataRequirement[dm_phase])</f>
        <v>operate</v>
      </c>
      <c r="C938" s="1">
        <v>42</v>
      </c>
      <c r="D938" s="1">
        <v>257</v>
      </c>
      <c r="G938" s="1"/>
      <c r="H938" s="62" t="str">
        <f>_xlfn.XLOOKUP(tblRequirementMeasureXref[[#This Row],[msr_id]],tblMeasure[msr_id],tblMeasure[msr_table])</f>
        <v>Table 1</v>
      </c>
      <c r="I938" s="22" t="str">
        <f>_xlfn.XLOOKUP(tblRequirementMeasureXref[[#This Row],[msr_id]],tblMeasure[msr_id],tblMeasure[msr_name])</f>
        <v>Total number of adult social care jobs by sector, service type and job role group</v>
      </c>
      <c r="J938" s="22" t="str">
        <f>_xlfn.XLOOKUP(tblRequirementMeasureXref[[#This Row],[msr_id]],tblMeasure[msr_id],tblMeasure[primary_dimensions])</f>
        <v>jobs, role group</v>
      </c>
      <c r="K938" s="22" t="str">
        <f>_xlfn.XLOOKUP(tblRequirementMeasureXref[[#This Row],[msr_id]],tblMeasure[msr_id],tblMeasure[msr_min_geo_resolution])</f>
        <v>Region</v>
      </c>
      <c r="L938" s="22" t="str">
        <f>_xlfn.XLOOKUP(tblRequirementMeasureXref[[#This Row],[msr_id]],tblMeasure[msr_id],tblMeasure[src_name])</f>
        <v>State of the ASC sector and workforce</v>
      </c>
    </row>
    <row r="939" spans="1:12" x14ac:dyDescent="0.15">
      <c r="A939" s="1" t="str">
        <f>_xlfn.XLOOKUP(tblRequirementMeasureXref[[#This Row],[dm_id]],tblDataRequirement[dm_id],tblDataRequirement[domain_sub_requirement])</f>
        <v>Service:Support setting:Community</v>
      </c>
      <c r="B939" s="1" t="str">
        <f>_xlfn.XLOOKUP(tblRequirementMeasureXref[[#This Row],[dm_id]],tblDataRequirement[dm_id],tblDataRequirement[dm_phase])</f>
        <v>operate</v>
      </c>
      <c r="C939" s="1">
        <v>43</v>
      </c>
      <c r="D939" s="1">
        <v>257</v>
      </c>
      <c r="G939" s="1"/>
      <c r="H939" s="62" t="str">
        <f>_xlfn.XLOOKUP(tblRequirementMeasureXref[[#This Row],[msr_id]],tblMeasure[msr_id],tblMeasure[msr_table])</f>
        <v>Table 1</v>
      </c>
      <c r="I939" s="22" t="str">
        <f>_xlfn.XLOOKUP(tblRequirementMeasureXref[[#This Row],[msr_id]],tblMeasure[msr_id],tblMeasure[msr_name])</f>
        <v>Total number of adult social care jobs by sector, service type and job role group</v>
      </c>
      <c r="J939" s="22" t="str">
        <f>_xlfn.XLOOKUP(tblRequirementMeasureXref[[#This Row],[msr_id]],tblMeasure[msr_id],tblMeasure[primary_dimensions])</f>
        <v>jobs, role group</v>
      </c>
      <c r="K939" s="22" t="str">
        <f>_xlfn.XLOOKUP(tblRequirementMeasureXref[[#This Row],[msr_id]],tblMeasure[msr_id],tblMeasure[msr_min_geo_resolution])</f>
        <v>Region</v>
      </c>
      <c r="L939" s="22" t="str">
        <f>_xlfn.XLOOKUP(tblRequirementMeasureXref[[#This Row],[msr_id]],tblMeasure[msr_id],tblMeasure[src_name])</f>
        <v>State of the ASC sector and workforce</v>
      </c>
    </row>
    <row r="940" spans="1:12" x14ac:dyDescent="0.15">
      <c r="A940" s="1" t="str">
        <f>_xlfn.XLOOKUP(tblRequirementMeasureXref[[#This Row],[dm_id]],tblDataRequirement[dm_id],tblDataRequirement[domain_sub_requirement])</f>
        <v>Providers:Type:Organisations</v>
      </c>
      <c r="B940" s="1" t="str">
        <f>_xlfn.XLOOKUP(tblRequirementMeasureXref[[#This Row],[dm_id]],tblDataRequirement[dm_id],tblDataRequirement[dm_phase])</f>
        <v>operate</v>
      </c>
      <c r="C940" s="1">
        <v>60</v>
      </c>
      <c r="D940" s="1">
        <v>257</v>
      </c>
      <c r="G940" s="1"/>
      <c r="H940" s="62" t="str">
        <f>_xlfn.XLOOKUP(tblRequirementMeasureXref[[#This Row],[msr_id]],tblMeasure[msr_id],tblMeasure[msr_table])</f>
        <v>Table 1</v>
      </c>
      <c r="I940" s="22" t="str">
        <f>_xlfn.XLOOKUP(tblRequirementMeasureXref[[#This Row],[msr_id]],tblMeasure[msr_id],tblMeasure[msr_name])</f>
        <v>Total number of adult social care jobs by sector, service type and job role group</v>
      </c>
      <c r="J940" s="22" t="str">
        <f>_xlfn.XLOOKUP(tblRequirementMeasureXref[[#This Row],[msr_id]],tblMeasure[msr_id],tblMeasure[primary_dimensions])</f>
        <v>jobs, role group</v>
      </c>
      <c r="K940" s="22" t="str">
        <f>_xlfn.XLOOKUP(tblRequirementMeasureXref[[#This Row],[msr_id]],tblMeasure[msr_id],tblMeasure[msr_min_geo_resolution])</f>
        <v>Region</v>
      </c>
      <c r="L940" s="22" t="str">
        <f>_xlfn.XLOOKUP(tblRequirementMeasureXref[[#This Row],[msr_id]],tblMeasure[msr_id],tblMeasure[src_name])</f>
        <v>State of the ASC sector and workforce</v>
      </c>
    </row>
    <row r="941" spans="1:12" x14ac:dyDescent="0.15">
      <c r="A941" s="1" t="str">
        <f>_xlfn.XLOOKUP(tblRequirementMeasureXref[[#This Row],[dm_id]],tblDataRequirement[dm_id],tblDataRequirement[domain_sub_requirement])</f>
        <v>Users:Income:Direct payments</v>
      </c>
      <c r="B941" s="1" t="str">
        <f>_xlfn.XLOOKUP(tblRequirementMeasureXref[[#This Row],[dm_id]],tblDataRequirement[dm_id],tblDataRequirement[dm_phase])</f>
        <v>supply</v>
      </c>
      <c r="C941" s="1">
        <v>71</v>
      </c>
      <c r="D941" s="1">
        <v>257</v>
      </c>
      <c r="G941" s="1"/>
      <c r="H941" s="62" t="str">
        <f>_xlfn.XLOOKUP(tblRequirementMeasureXref[[#This Row],[msr_id]],tblMeasure[msr_id],tblMeasure[msr_table])</f>
        <v>Table 1</v>
      </c>
      <c r="I941" s="22" t="str">
        <f>_xlfn.XLOOKUP(tblRequirementMeasureXref[[#This Row],[msr_id]],tblMeasure[msr_id],tblMeasure[msr_name])</f>
        <v>Total number of adult social care jobs by sector, service type and job role group</v>
      </c>
      <c r="J941" s="22" t="str">
        <f>_xlfn.XLOOKUP(tblRequirementMeasureXref[[#This Row],[msr_id]],tblMeasure[msr_id],tblMeasure[primary_dimensions])</f>
        <v>jobs, role group</v>
      </c>
      <c r="K941" s="22" t="str">
        <f>_xlfn.XLOOKUP(tblRequirementMeasureXref[[#This Row],[msr_id]],tblMeasure[msr_id],tblMeasure[msr_min_geo_resolution])</f>
        <v>Region</v>
      </c>
      <c r="L941" s="22" t="str">
        <f>_xlfn.XLOOKUP(tblRequirementMeasureXref[[#This Row],[msr_id]],tblMeasure[msr_id],tblMeasure[src_name])</f>
        <v>State of the ASC sector and workforce</v>
      </c>
    </row>
    <row r="942" spans="1:12" x14ac:dyDescent="0.15">
      <c r="A942" s="1" t="str">
        <f>_xlfn.XLOOKUP(tblRequirementMeasureXref[[#This Row],[dm_id]],tblDataRequirement[dm_id],tblDataRequirement[domain_sub_requirement])</f>
        <v>Providers:Workforce:Filled jobs</v>
      </c>
      <c r="B942" s="1" t="str">
        <f>_xlfn.XLOOKUP(tblRequirementMeasureXref[[#This Row],[dm_id]],tblDataRequirement[dm_id],tblDataRequirement[dm_phase])</f>
        <v>supply</v>
      </c>
      <c r="C942" s="1">
        <v>10</v>
      </c>
      <c r="D942" s="1">
        <v>258</v>
      </c>
      <c r="G942" s="1"/>
      <c r="H942" s="62" t="str">
        <f>_xlfn.XLOOKUP(tblRequirementMeasureXref[[#This Row],[msr_id]],tblMeasure[msr_id],tblMeasure[msr_table])</f>
        <v>Table 3.1</v>
      </c>
      <c r="I942" s="22" t="str">
        <f>_xlfn.XLOOKUP(tblRequirementMeasureXref[[#This Row],[msr_id]],tblMeasure[msr_id],tblMeasure[msr_name])</f>
        <v>Adult social care workforce by employment status</v>
      </c>
      <c r="J942" s="22" t="str">
        <f>_xlfn.XLOOKUP(tblRequirementMeasureXref[[#This Row],[msr_id]],tblMeasure[msr_id],tblMeasure[primary_dimensions])</f>
        <v>jobs, sector, employment status, service, role</v>
      </c>
      <c r="K942" s="22" t="str">
        <f>_xlfn.XLOOKUP(tblRequirementMeasureXref[[#This Row],[msr_id]],tblMeasure[msr_id],tblMeasure[msr_min_geo_resolution])</f>
        <v>England</v>
      </c>
      <c r="L942" s="22" t="str">
        <f>_xlfn.XLOOKUP(tblRequirementMeasureXref[[#This Row],[msr_id]],tblMeasure[msr_id],tblMeasure[src_name])</f>
        <v>State of the ASC sector and workforce</v>
      </c>
    </row>
    <row r="943" spans="1:12" x14ac:dyDescent="0.15">
      <c r="A943" s="1" t="str">
        <f>_xlfn.XLOOKUP(tblRequirementMeasureXref[[#This Row],[dm_id]],tblDataRequirement[dm_id],tblDataRequirement[domain_sub_requirement])</f>
        <v>Service:Support setting:Home</v>
      </c>
      <c r="B943" s="1" t="str">
        <f>_xlfn.XLOOKUP(tblRequirementMeasureXref[[#This Row],[dm_id]],tblDataRequirement[dm_id],tblDataRequirement[dm_phase])</f>
        <v>operate</v>
      </c>
      <c r="C943" s="1">
        <v>40</v>
      </c>
      <c r="D943" s="1">
        <v>258</v>
      </c>
      <c r="G943" s="1"/>
      <c r="H943" s="62" t="str">
        <f>_xlfn.XLOOKUP(tblRequirementMeasureXref[[#This Row],[msr_id]],tblMeasure[msr_id],tblMeasure[msr_table])</f>
        <v>Table 3.1</v>
      </c>
      <c r="I943" s="22" t="str">
        <f>_xlfn.XLOOKUP(tblRequirementMeasureXref[[#This Row],[msr_id]],tblMeasure[msr_id],tblMeasure[msr_name])</f>
        <v>Adult social care workforce by employment status</v>
      </c>
      <c r="J943" s="22" t="str">
        <f>_xlfn.XLOOKUP(tblRequirementMeasureXref[[#This Row],[msr_id]],tblMeasure[msr_id],tblMeasure[primary_dimensions])</f>
        <v>jobs, sector, employment status, service, role</v>
      </c>
      <c r="K943" s="22" t="str">
        <f>_xlfn.XLOOKUP(tblRequirementMeasureXref[[#This Row],[msr_id]],tblMeasure[msr_id],tblMeasure[msr_min_geo_resolution])</f>
        <v>England</v>
      </c>
      <c r="L943" s="22" t="str">
        <f>_xlfn.XLOOKUP(tblRequirementMeasureXref[[#This Row],[msr_id]],tblMeasure[msr_id],tblMeasure[src_name])</f>
        <v>State of the ASC sector and workforce</v>
      </c>
    </row>
    <row r="944" spans="1:12" x14ac:dyDescent="0.15">
      <c r="A944" s="1" t="str">
        <f>_xlfn.XLOOKUP(tblRequirementMeasureXref[[#This Row],[dm_id]],tblDataRequirement[dm_id],tblDataRequirement[domain_sub_requirement])</f>
        <v>Service:Support setting:Residential care home</v>
      </c>
      <c r="B944" s="1" t="str">
        <f>_xlfn.XLOOKUP(tblRequirementMeasureXref[[#This Row],[dm_id]],tblDataRequirement[dm_id],tblDataRequirement[dm_phase])</f>
        <v>operate</v>
      </c>
      <c r="C944" s="1">
        <v>41</v>
      </c>
      <c r="D944" s="1">
        <v>258</v>
      </c>
      <c r="G944" s="1"/>
      <c r="H944" s="62" t="str">
        <f>_xlfn.XLOOKUP(tblRequirementMeasureXref[[#This Row],[msr_id]],tblMeasure[msr_id],tblMeasure[msr_table])</f>
        <v>Table 3.1</v>
      </c>
      <c r="I944" s="22" t="str">
        <f>_xlfn.XLOOKUP(tblRequirementMeasureXref[[#This Row],[msr_id]],tblMeasure[msr_id],tblMeasure[msr_name])</f>
        <v>Adult social care workforce by employment status</v>
      </c>
      <c r="J944" s="22" t="str">
        <f>_xlfn.XLOOKUP(tblRequirementMeasureXref[[#This Row],[msr_id]],tblMeasure[msr_id],tblMeasure[primary_dimensions])</f>
        <v>jobs, sector, employment status, service, role</v>
      </c>
      <c r="K944" s="22" t="str">
        <f>_xlfn.XLOOKUP(tblRequirementMeasureXref[[#This Row],[msr_id]],tblMeasure[msr_id],tblMeasure[msr_min_geo_resolution])</f>
        <v>England</v>
      </c>
      <c r="L944" s="22" t="str">
        <f>_xlfn.XLOOKUP(tblRequirementMeasureXref[[#This Row],[msr_id]],tblMeasure[msr_id],tblMeasure[src_name])</f>
        <v>State of the ASC sector and workforce</v>
      </c>
    </row>
    <row r="945" spans="1:12" x14ac:dyDescent="0.15">
      <c r="A945" s="1" t="str">
        <f>_xlfn.XLOOKUP(tblRequirementMeasureXref[[#This Row],[dm_id]],tblDataRequirement[dm_id],tblDataRequirement[domain_sub_requirement])</f>
        <v>Service:Support setting:Nursing home</v>
      </c>
      <c r="B945" s="1" t="str">
        <f>_xlfn.XLOOKUP(tblRequirementMeasureXref[[#This Row],[dm_id]],tblDataRequirement[dm_id],tblDataRequirement[dm_phase])</f>
        <v>operate</v>
      </c>
      <c r="C945" s="1">
        <v>42</v>
      </c>
      <c r="D945" s="1">
        <v>258</v>
      </c>
      <c r="G945" s="1"/>
      <c r="H945" s="62" t="str">
        <f>_xlfn.XLOOKUP(tblRequirementMeasureXref[[#This Row],[msr_id]],tblMeasure[msr_id],tblMeasure[msr_table])</f>
        <v>Table 3.1</v>
      </c>
      <c r="I945" s="22" t="str">
        <f>_xlfn.XLOOKUP(tblRequirementMeasureXref[[#This Row],[msr_id]],tblMeasure[msr_id],tblMeasure[msr_name])</f>
        <v>Adult social care workforce by employment status</v>
      </c>
      <c r="J945" s="22" t="str">
        <f>_xlfn.XLOOKUP(tblRequirementMeasureXref[[#This Row],[msr_id]],tblMeasure[msr_id],tblMeasure[primary_dimensions])</f>
        <v>jobs, sector, employment status, service, role</v>
      </c>
      <c r="K945" s="22" t="str">
        <f>_xlfn.XLOOKUP(tblRequirementMeasureXref[[#This Row],[msr_id]],tblMeasure[msr_id],tblMeasure[msr_min_geo_resolution])</f>
        <v>England</v>
      </c>
      <c r="L945" s="22" t="str">
        <f>_xlfn.XLOOKUP(tblRequirementMeasureXref[[#This Row],[msr_id]],tblMeasure[msr_id],tblMeasure[src_name])</f>
        <v>State of the ASC sector and workforce</v>
      </c>
    </row>
    <row r="946" spans="1:12" x14ac:dyDescent="0.15">
      <c r="A946" s="1" t="str">
        <f>_xlfn.XLOOKUP(tblRequirementMeasureXref[[#This Row],[dm_id]],tblDataRequirement[dm_id],tblDataRequirement[domain_sub_requirement])</f>
        <v>Service:Support setting:Community</v>
      </c>
      <c r="B946" s="1" t="str">
        <f>_xlfn.XLOOKUP(tblRequirementMeasureXref[[#This Row],[dm_id]],tblDataRequirement[dm_id],tblDataRequirement[dm_phase])</f>
        <v>operate</v>
      </c>
      <c r="C946" s="1">
        <v>43</v>
      </c>
      <c r="D946" s="1">
        <v>258</v>
      </c>
      <c r="G946" s="1"/>
      <c r="H946" s="62" t="str">
        <f>_xlfn.XLOOKUP(tblRequirementMeasureXref[[#This Row],[msr_id]],tblMeasure[msr_id],tblMeasure[msr_table])</f>
        <v>Table 3.1</v>
      </c>
      <c r="I946" s="22" t="str">
        <f>_xlfn.XLOOKUP(tblRequirementMeasureXref[[#This Row],[msr_id]],tblMeasure[msr_id],tblMeasure[msr_name])</f>
        <v>Adult social care workforce by employment status</v>
      </c>
      <c r="J946" s="22" t="str">
        <f>_xlfn.XLOOKUP(tblRequirementMeasureXref[[#This Row],[msr_id]],tblMeasure[msr_id],tblMeasure[primary_dimensions])</f>
        <v>jobs, sector, employment status, service, role</v>
      </c>
      <c r="K946" s="22" t="str">
        <f>_xlfn.XLOOKUP(tblRequirementMeasureXref[[#This Row],[msr_id]],tblMeasure[msr_id],tblMeasure[msr_min_geo_resolution])</f>
        <v>England</v>
      </c>
      <c r="L946" s="22" t="str">
        <f>_xlfn.XLOOKUP(tblRequirementMeasureXref[[#This Row],[msr_id]],tblMeasure[msr_id],tblMeasure[src_name])</f>
        <v>State of the ASC sector and workforce</v>
      </c>
    </row>
    <row r="947" spans="1:12" x14ac:dyDescent="0.15">
      <c r="A947" s="1" t="str">
        <f>_xlfn.XLOOKUP(tblRequirementMeasureXref[[#This Row],[dm_id]],tblDataRequirement[dm_id],tblDataRequirement[domain_sub_requirement])</f>
        <v>Providers:Type:Organisations</v>
      </c>
      <c r="B947" s="1" t="str">
        <f>_xlfn.XLOOKUP(tblRequirementMeasureXref[[#This Row],[dm_id]],tblDataRequirement[dm_id],tblDataRequirement[dm_phase])</f>
        <v>operate</v>
      </c>
      <c r="C947" s="1">
        <v>60</v>
      </c>
      <c r="D947" s="1">
        <v>258</v>
      </c>
      <c r="G947" s="1"/>
      <c r="H947" s="62" t="str">
        <f>_xlfn.XLOOKUP(tblRequirementMeasureXref[[#This Row],[msr_id]],tblMeasure[msr_id],tblMeasure[msr_table])</f>
        <v>Table 3.1</v>
      </c>
      <c r="I947" s="22" t="str">
        <f>_xlfn.XLOOKUP(tblRequirementMeasureXref[[#This Row],[msr_id]],tblMeasure[msr_id],tblMeasure[msr_name])</f>
        <v>Adult social care workforce by employment status</v>
      </c>
      <c r="J947" s="22" t="str">
        <f>_xlfn.XLOOKUP(tblRequirementMeasureXref[[#This Row],[msr_id]],tblMeasure[msr_id],tblMeasure[primary_dimensions])</f>
        <v>jobs, sector, employment status, service, role</v>
      </c>
      <c r="K947" s="22" t="str">
        <f>_xlfn.XLOOKUP(tblRequirementMeasureXref[[#This Row],[msr_id]],tblMeasure[msr_id],tblMeasure[msr_min_geo_resolution])</f>
        <v>England</v>
      </c>
      <c r="L947" s="22" t="str">
        <f>_xlfn.XLOOKUP(tblRequirementMeasureXref[[#This Row],[msr_id]],tblMeasure[msr_id],tblMeasure[src_name])</f>
        <v>State of the ASC sector and workforce</v>
      </c>
    </row>
    <row r="948" spans="1:12" x14ac:dyDescent="0.15">
      <c r="A948" s="1" t="str">
        <f>_xlfn.XLOOKUP(tblRequirementMeasureXref[[#This Row],[dm_id]],tblDataRequirement[dm_id],tblDataRequirement[domain_sub_requirement])</f>
        <v>Users:Income:Direct payments</v>
      </c>
      <c r="B948" s="1" t="str">
        <f>_xlfn.XLOOKUP(tblRequirementMeasureXref[[#This Row],[dm_id]],tblDataRequirement[dm_id],tblDataRequirement[dm_phase])</f>
        <v>supply</v>
      </c>
      <c r="C948" s="1">
        <v>71</v>
      </c>
      <c r="D948" s="1">
        <v>258</v>
      </c>
      <c r="G948" s="1"/>
      <c r="H948" s="62" t="str">
        <f>_xlfn.XLOOKUP(tblRequirementMeasureXref[[#This Row],[msr_id]],tblMeasure[msr_id],tblMeasure[msr_table])</f>
        <v>Table 3.1</v>
      </c>
      <c r="I948" s="22" t="str">
        <f>_xlfn.XLOOKUP(tblRequirementMeasureXref[[#This Row],[msr_id]],tblMeasure[msr_id],tblMeasure[msr_name])</f>
        <v>Adult social care workforce by employment status</v>
      </c>
      <c r="J948" s="22" t="str">
        <f>_xlfn.XLOOKUP(tblRequirementMeasureXref[[#This Row],[msr_id]],tblMeasure[msr_id],tblMeasure[primary_dimensions])</f>
        <v>jobs, sector, employment status, service, role</v>
      </c>
      <c r="K948" s="22" t="str">
        <f>_xlfn.XLOOKUP(tblRequirementMeasureXref[[#This Row],[msr_id]],tblMeasure[msr_id],tblMeasure[msr_min_geo_resolution])</f>
        <v>England</v>
      </c>
      <c r="L948" s="22" t="str">
        <f>_xlfn.XLOOKUP(tblRequirementMeasureXref[[#This Row],[msr_id]],tblMeasure[msr_id],tblMeasure[src_name])</f>
        <v>State of the ASC sector and workforce</v>
      </c>
    </row>
    <row r="949" spans="1:12" x14ac:dyDescent="0.15">
      <c r="A949" s="1" t="str">
        <f>_xlfn.XLOOKUP(tblRequirementMeasureXref[[#This Row],[dm_id]],tblDataRequirement[dm_id],tblDataRequirement[domain_sub_requirement])</f>
        <v>Workforce:Type:Employment Status</v>
      </c>
      <c r="B949" s="1" t="str">
        <f>_xlfn.XLOOKUP(tblRequirementMeasureXref[[#This Row],[dm_id]],tblDataRequirement[dm_id],tblDataRequirement[dm_phase])</f>
        <v>operate</v>
      </c>
      <c r="C949" s="1">
        <v>18</v>
      </c>
      <c r="D949" s="1">
        <v>258</v>
      </c>
      <c r="G949" s="1"/>
      <c r="H949" s="62" t="str">
        <f>_xlfn.XLOOKUP(tblRequirementMeasureXref[[#This Row],[msr_id]],tblMeasure[msr_id],tblMeasure[msr_table])</f>
        <v>Table 3.1</v>
      </c>
      <c r="I949" s="22" t="str">
        <f>_xlfn.XLOOKUP(tblRequirementMeasureXref[[#This Row],[msr_id]],tblMeasure[msr_id],tblMeasure[msr_name])</f>
        <v>Adult social care workforce by employment status</v>
      </c>
      <c r="J949" s="22" t="str">
        <f>_xlfn.XLOOKUP(tblRequirementMeasureXref[[#This Row],[msr_id]],tblMeasure[msr_id],tblMeasure[primary_dimensions])</f>
        <v>jobs, sector, employment status, service, role</v>
      </c>
      <c r="K949" s="22" t="str">
        <f>_xlfn.XLOOKUP(tblRequirementMeasureXref[[#This Row],[msr_id]],tblMeasure[msr_id],tblMeasure[msr_min_geo_resolution])</f>
        <v>England</v>
      </c>
      <c r="L949" s="22" t="str">
        <f>_xlfn.XLOOKUP(tblRequirementMeasureXref[[#This Row],[msr_id]],tblMeasure[msr_id],tblMeasure[src_name])</f>
        <v>State of the ASC sector and workforce</v>
      </c>
    </row>
    <row r="950" spans="1:12" x14ac:dyDescent="0.15">
      <c r="A950" s="1" t="str">
        <f>_xlfn.XLOOKUP(tblRequirementMeasureXref[[#This Row],[dm_id]],tblDataRequirement[dm_id],tblDataRequirement[domain_sub_requirement])</f>
        <v>Providers:Workforce:Filled jobs</v>
      </c>
      <c r="B950" s="1" t="str">
        <f>_xlfn.XLOOKUP(tblRequirementMeasureXref[[#This Row],[dm_id]],tblDataRequirement[dm_id],tblDataRequirement[dm_phase])</f>
        <v>supply</v>
      </c>
      <c r="C950" s="1">
        <v>10</v>
      </c>
      <c r="D950" s="1">
        <v>259</v>
      </c>
      <c r="G950" s="1"/>
      <c r="H950" s="62" t="str">
        <f>_xlfn.XLOOKUP(tblRequirementMeasureXref[[#This Row],[msr_id]],tblMeasure[msr_id],tblMeasure[msr_table])</f>
        <v>Table 3.2</v>
      </c>
      <c r="I950" s="22" t="str">
        <f>_xlfn.XLOOKUP(tblRequirementMeasureXref[[#This Row],[msr_id]],tblMeasure[msr_id],tblMeasure[msr_name])</f>
        <v>Adult social care workforce by full-/part-time status</v>
      </c>
      <c r="J950" s="22" t="str">
        <f>_xlfn.XLOOKUP(tblRequirementMeasureXref[[#This Row],[msr_id]],tblMeasure[msr_id],tblMeasure[primary_dimensions])</f>
        <v>jobs, sector, service, role</v>
      </c>
      <c r="K950" s="22" t="str">
        <f>_xlfn.XLOOKUP(tblRequirementMeasureXref[[#This Row],[msr_id]],tblMeasure[msr_id],tblMeasure[msr_min_geo_resolution])</f>
        <v>England</v>
      </c>
      <c r="L950" s="22" t="str">
        <f>_xlfn.XLOOKUP(tblRequirementMeasureXref[[#This Row],[msr_id]],tblMeasure[msr_id],tblMeasure[src_name])</f>
        <v>State of the ASC sector and workforce</v>
      </c>
    </row>
    <row r="951" spans="1:12" x14ac:dyDescent="0.15">
      <c r="A951" s="1" t="str">
        <f>_xlfn.XLOOKUP(tblRequirementMeasureXref[[#This Row],[dm_id]],tblDataRequirement[dm_id],tblDataRequirement[domain_sub_requirement])</f>
        <v>Service:Support setting:Home</v>
      </c>
      <c r="B951" s="1" t="str">
        <f>_xlfn.XLOOKUP(tblRequirementMeasureXref[[#This Row],[dm_id]],tblDataRequirement[dm_id],tblDataRequirement[dm_phase])</f>
        <v>operate</v>
      </c>
      <c r="C951" s="1">
        <v>40</v>
      </c>
      <c r="D951" s="1">
        <v>259</v>
      </c>
      <c r="G951" s="1"/>
      <c r="H951" s="62" t="str">
        <f>_xlfn.XLOOKUP(tblRequirementMeasureXref[[#This Row],[msr_id]],tblMeasure[msr_id],tblMeasure[msr_table])</f>
        <v>Table 3.2</v>
      </c>
      <c r="I951" s="22" t="str">
        <f>_xlfn.XLOOKUP(tblRequirementMeasureXref[[#This Row],[msr_id]],tblMeasure[msr_id],tblMeasure[msr_name])</f>
        <v>Adult social care workforce by full-/part-time status</v>
      </c>
      <c r="J951" s="22" t="str">
        <f>_xlfn.XLOOKUP(tblRequirementMeasureXref[[#This Row],[msr_id]],tblMeasure[msr_id],tblMeasure[primary_dimensions])</f>
        <v>jobs, sector, service, role</v>
      </c>
      <c r="K951" s="22" t="str">
        <f>_xlfn.XLOOKUP(tblRequirementMeasureXref[[#This Row],[msr_id]],tblMeasure[msr_id],tblMeasure[msr_min_geo_resolution])</f>
        <v>England</v>
      </c>
      <c r="L951" s="22" t="str">
        <f>_xlfn.XLOOKUP(tblRequirementMeasureXref[[#This Row],[msr_id]],tblMeasure[msr_id],tblMeasure[src_name])</f>
        <v>State of the ASC sector and workforce</v>
      </c>
    </row>
    <row r="952" spans="1:12" x14ac:dyDescent="0.15">
      <c r="A952" s="1" t="str">
        <f>_xlfn.XLOOKUP(tblRequirementMeasureXref[[#This Row],[dm_id]],tblDataRequirement[dm_id],tblDataRequirement[domain_sub_requirement])</f>
        <v>Service:Support setting:Residential care home</v>
      </c>
      <c r="B952" s="1" t="str">
        <f>_xlfn.XLOOKUP(tblRequirementMeasureXref[[#This Row],[dm_id]],tblDataRequirement[dm_id],tblDataRequirement[dm_phase])</f>
        <v>operate</v>
      </c>
      <c r="C952" s="1">
        <v>41</v>
      </c>
      <c r="D952" s="1">
        <v>259</v>
      </c>
      <c r="G952" s="1"/>
      <c r="H952" s="62" t="str">
        <f>_xlfn.XLOOKUP(tblRequirementMeasureXref[[#This Row],[msr_id]],tblMeasure[msr_id],tblMeasure[msr_table])</f>
        <v>Table 3.2</v>
      </c>
      <c r="I952" s="22" t="str">
        <f>_xlfn.XLOOKUP(tblRequirementMeasureXref[[#This Row],[msr_id]],tblMeasure[msr_id],tblMeasure[msr_name])</f>
        <v>Adult social care workforce by full-/part-time status</v>
      </c>
      <c r="J952" s="22" t="str">
        <f>_xlfn.XLOOKUP(tblRequirementMeasureXref[[#This Row],[msr_id]],tblMeasure[msr_id],tblMeasure[primary_dimensions])</f>
        <v>jobs, sector, service, role</v>
      </c>
      <c r="K952" s="22" t="str">
        <f>_xlfn.XLOOKUP(tblRequirementMeasureXref[[#This Row],[msr_id]],tblMeasure[msr_id],tblMeasure[msr_min_geo_resolution])</f>
        <v>England</v>
      </c>
      <c r="L952" s="22" t="str">
        <f>_xlfn.XLOOKUP(tblRequirementMeasureXref[[#This Row],[msr_id]],tblMeasure[msr_id],tblMeasure[src_name])</f>
        <v>State of the ASC sector and workforce</v>
      </c>
    </row>
    <row r="953" spans="1:12" x14ac:dyDescent="0.15">
      <c r="A953" s="1" t="str">
        <f>_xlfn.XLOOKUP(tblRequirementMeasureXref[[#This Row],[dm_id]],tblDataRequirement[dm_id],tblDataRequirement[domain_sub_requirement])</f>
        <v>Service:Support setting:Nursing home</v>
      </c>
      <c r="B953" s="1" t="str">
        <f>_xlfn.XLOOKUP(tblRequirementMeasureXref[[#This Row],[dm_id]],tblDataRequirement[dm_id],tblDataRequirement[dm_phase])</f>
        <v>operate</v>
      </c>
      <c r="C953" s="1">
        <v>42</v>
      </c>
      <c r="D953" s="1">
        <v>259</v>
      </c>
      <c r="G953" s="1"/>
      <c r="H953" s="62" t="str">
        <f>_xlfn.XLOOKUP(tblRequirementMeasureXref[[#This Row],[msr_id]],tblMeasure[msr_id],tblMeasure[msr_table])</f>
        <v>Table 3.2</v>
      </c>
      <c r="I953" s="22" t="str">
        <f>_xlfn.XLOOKUP(tblRequirementMeasureXref[[#This Row],[msr_id]],tblMeasure[msr_id],tblMeasure[msr_name])</f>
        <v>Adult social care workforce by full-/part-time status</v>
      </c>
      <c r="J953" s="22" t="str">
        <f>_xlfn.XLOOKUP(tblRequirementMeasureXref[[#This Row],[msr_id]],tblMeasure[msr_id],tblMeasure[primary_dimensions])</f>
        <v>jobs, sector, service, role</v>
      </c>
      <c r="K953" s="22" t="str">
        <f>_xlfn.XLOOKUP(tblRequirementMeasureXref[[#This Row],[msr_id]],tblMeasure[msr_id],tblMeasure[msr_min_geo_resolution])</f>
        <v>England</v>
      </c>
      <c r="L953" s="22" t="str">
        <f>_xlfn.XLOOKUP(tblRequirementMeasureXref[[#This Row],[msr_id]],tblMeasure[msr_id],tblMeasure[src_name])</f>
        <v>State of the ASC sector and workforce</v>
      </c>
    </row>
    <row r="954" spans="1:12" x14ac:dyDescent="0.15">
      <c r="A954" s="1" t="str">
        <f>_xlfn.XLOOKUP(tblRequirementMeasureXref[[#This Row],[dm_id]],tblDataRequirement[dm_id],tblDataRequirement[domain_sub_requirement])</f>
        <v>Service:Support setting:Community</v>
      </c>
      <c r="B954" s="1" t="str">
        <f>_xlfn.XLOOKUP(tblRequirementMeasureXref[[#This Row],[dm_id]],tblDataRequirement[dm_id],tblDataRequirement[dm_phase])</f>
        <v>operate</v>
      </c>
      <c r="C954" s="1">
        <v>43</v>
      </c>
      <c r="D954" s="1">
        <v>259</v>
      </c>
      <c r="G954" s="1"/>
      <c r="H954" s="62" t="str">
        <f>_xlfn.XLOOKUP(tblRequirementMeasureXref[[#This Row],[msr_id]],tblMeasure[msr_id],tblMeasure[msr_table])</f>
        <v>Table 3.2</v>
      </c>
      <c r="I954" s="22" t="str">
        <f>_xlfn.XLOOKUP(tblRequirementMeasureXref[[#This Row],[msr_id]],tblMeasure[msr_id],tblMeasure[msr_name])</f>
        <v>Adult social care workforce by full-/part-time status</v>
      </c>
      <c r="J954" s="22" t="str">
        <f>_xlfn.XLOOKUP(tblRequirementMeasureXref[[#This Row],[msr_id]],tblMeasure[msr_id],tblMeasure[primary_dimensions])</f>
        <v>jobs, sector, service, role</v>
      </c>
      <c r="K954" s="22" t="str">
        <f>_xlfn.XLOOKUP(tblRequirementMeasureXref[[#This Row],[msr_id]],tblMeasure[msr_id],tblMeasure[msr_min_geo_resolution])</f>
        <v>England</v>
      </c>
      <c r="L954" s="22" t="str">
        <f>_xlfn.XLOOKUP(tblRequirementMeasureXref[[#This Row],[msr_id]],tblMeasure[msr_id],tblMeasure[src_name])</f>
        <v>State of the ASC sector and workforce</v>
      </c>
    </row>
    <row r="955" spans="1:12" x14ac:dyDescent="0.15">
      <c r="A955" s="1" t="str">
        <f>_xlfn.XLOOKUP(tblRequirementMeasureXref[[#This Row],[dm_id]],tblDataRequirement[dm_id],tblDataRequirement[domain_sub_requirement])</f>
        <v>Providers:Type:Organisations</v>
      </c>
      <c r="B955" s="1" t="str">
        <f>_xlfn.XLOOKUP(tblRequirementMeasureXref[[#This Row],[dm_id]],tblDataRequirement[dm_id],tblDataRequirement[dm_phase])</f>
        <v>operate</v>
      </c>
      <c r="C955" s="1">
        <v>60</v>
      </c>
      <c r="D955" s="1">
        <v>259</v>
      </c>
      <c r="G955" s="1"/>
      <c r="H955" s="62" t="str">
        <f>_xlfn.XLOOKUP(tblRequirementMeasureXref[[#This Row],[msr_id]],tblMeasure[msr_id],tblMeasure[msr_table])</f>
        <v>Table 3.2</v>
      </c>
      <c r="I955" s="22" t="str">
        <f>_xlfn.XLOOKUP(tblRequirementMeasureXref[[#This Row],[msr_id]],tblMeasure[msr_id],tblMeasure[msr_name])</f>
        <v>Adult social care workforce by full-/part-time status</v>
      </c>
      <c r="J955" s="22" t="str">
        <f>_xlfn.XLOOKUP(tblRequirementMeasureXref[[#This Row],[msr_id]],tblMeasure[msr_id],tblMeasure[primary_dimensions])</f>
        <v>jobs, sector, service, role</v>
      </c>
      <c r="K955" s="22" t="str">
        <f>_xlfn.XLOOKUP(tblRequirementMeasureXref[[#This Row],[msr_id]],tblMeasure[msr_id],tblMeasure[msr_min_geo_resolution])</f>
        <v>England</v>
      </c>
      <c r="L955" s="22" t="str">
        <f>_xlfn.XLOOKUP(tblRequirementMeasureXref[[#This Row],[msr_id]],tblMeasure[msr_id],tblMeasure[src_name])</f>
        <v>State of the ASC sector and workforce</v>
      </c>
    </row>
    <row r="956" spans="1:12" x14ac:dyDescent="0.15">
      <c r="A956" s="1" t="str">
        <f>_xlfn.XLOOKUP(tblRequirementMeasureXref[[#This Row],[dm_id]],tblDataRequirement[dm_id],tblDataRequirement[domain_sub_requirement])</f>
        <v>Users:Income:Direct payments</v>
      </c>
      <c r="B956" s="1" t="str">
        <f>_xlfn.XLOOKUP(tblRequirementMeasureXref[[#This Row],[dm_id]],tblDataRequirement[dm_id],tblDataRequirement[dm_phase])</f>
        <v>supply</v>
      </c>
      <c r="C956" s="1">
        <v>71</v>
      </c>
      <c r="D956" s="1">
        <v>259</v>
      </c>
      <c r="G956" s="1"/>
      <c r="H956" s="62" t="str">
        <f>_xlfn.XLOOKUP(tblRequirementMeasureXref[[#This Row],[msr_id]],tblMeasure[msr_id],tblMeasure[msr_table])</f>
        <v>Table 3.2</v>
      </c>
      <c r="I956" s="22" t="str">
        <f>_xlfn.XLOOKUP(tblRequirementMeasureXref[[#This Row],[msr_id]],tblMeasure[msr_id],tblMeasure[msr_name])</f>
        <v>Adult social care workforce by full-/part-time status</v>
      </c>
      <c r="J956" s="22" t="str">
        <f>_xlfn.XLOOKUP(tblRequirementMeasureXref[[#This Row],[msr_id]],tblMeasure[msr_id],tblMeasure[primary_dimensions])</f>
        <v>jobs, sector, service, role</v>
      </c>
      <c r="K956" s="22" t="str">
        <f>_xlfn.XLOOKUP(tblRequirementMeasureXref[[#This Row],[msr_id]],tblMeasure[msr_id],tblMeasure[msr_min_geo_resolution])</f>
        <v>England</v>
      </c>
      <c r="L956" s="22" t="str">
        <f>_xlfn.XLOOKUP(tblRequirementMeasureXref[[#This Row],[msr_id]],tblMeasure[msr_id],tblMeasure[src_name])</f>
        <v>State of the ASC sector and workforce</v>
      </c>
    </row>
    <row r="957" spans="1:12" x14ac:dyDescent="0.15">
      <c r="A957" s="1" t="str">
        <f>_xlfn.XLOOKUP(tblRequirementMeasureXref[[#This Row],[dm_id]],tblDataRequirement[dm_id],tblDataRequirement[domain_sub_requirement])</f>
        <v>Workforce:Type:Employment Status</v>
      </c>
      <c r="B957" s="1" t="str">
        <f>_xlfn.XLOOKUP(tblRequirementMeasureXref[[#This Row],[dm_id]],tblDataRequirement[dm_id],tblDataRequirement[dm_phase])</f>
        <v>operate</v>
      </c>
      <c r="C957" s="1">
        <v>18</v>
      </c>
      <c r="D957" s="1">
        <v>259</v>
      </c>
      <c r="G957" s="1"/>
      <c r="H957" s="62" t="str">
        <f>_xlfn.XLOOKUP(tblRequirementMeasureXref[[#This Row],[msr_id]],tblMeasure[msr_id],tblMeasure[msr_table])</f>
        <v>Table 3.2</v>
      </c>
      <c r="I957" s="22" t="str">
        <f>_xlfn.XLOOKUP(tblRequirementMeasureXref[[#This Row],[msr_id]],tblMeasure[msr_id],tblMeasure[msr_name])</f>
        <v>Adult social care workforce by full-/part-time status</v>
      </c>
      <c r="J957" s="22" t="str">
        <f>_xlfn.XLOOKUP(tblRequirementMeasureXref[[#This Row],[msr_id]],tblMeasure[msr_id],tblMeasure[primary_dimensions])</f>
        <v>jobs, sector, service, role</v>
      </c>
      <c r="K957" s="22" t="str">
        <f>_xlfn.XLOOKUP(tblRequirementMeasureXref[[#This Row],[msr_id]],tblMeasure[msr_id],tblMeasure[msr_min_geo_resolution])</f>
        <v>England</v>
      </c>
      <c r="L957" s="22" t="str">
        <f>_xlfn.XLOOKUP(tblRequirementMeasureXref[[#This Row],[msr_id]],tblMeasure[msr_id],tblMeasure[src_name])</f>
        <v>State of the ASC sector and workforce</v>
      </c>
    </row>
    <row r="958" spans="1:12" x14ac:dyDescent="0.15">
      <c r="A958" s="1" t="str">
        <f>_xlfn.XLOOKUP(tblRequirementMeasureXref[[#This Row],[dm_id]],tblDataRequirement[dm_id],tblDataRequirement[domain_sub_requirement])</f>
        <v>Providers:Workforce:Filled jobs</v>
      </c>
      <c r="B958" s="1" t="str">
        <f>_xlfn.XLOOKUP(tblRequirementMeasureXref[[#This Row],[dm_id]],tblDataRequirement[dm_id],tblDataRequirement[dm_phase])</f>
        <v>supply</v>
      </c>
      <c r="C958" s="1">
        <v>10</v>
      </c>
      <c r="D958" s="1">
        <v>260</v>
      </c>
      <c r="G958" s="1"/>
      <c r="H958" s="62" t="str">
        <f>_xlfn.XLOOKUP(tblRequirementMeasureXref[[#This Row],[msr_id]],tblMeasure[msr_id],tblMeasure[msr_table])</f>
        <v>Table 3.3</v>
      </c>
      <c r="I958" s="22" t="str">
        <f>_xlfn.XLOOKUP(tblRequirementMeasureXref[[#This Row],[msr_id]],tblMeasure[msr_id],tblMeasure[msr_name])</f>
        <v>Percentage of the adult social care workforce on zero-hours contracts</v>
      </c>
      <c r="J958" s="22" t="str">
        <f>_xlfn.XLOOKUP(tblRequirementMeasureXref[[#This Row],[msr_id]],tblMeasure[msr_id],tblMeasure[primary_dimensions])</f>
        <v>zero hour contracts, sector, service, role</v>
      </c>
      <c r="K958" s="22" t="str">
        <f>_xlfn.XLOOKUP(tblRequirementMeasureXref[[#This Row],[msr_id]],tblMeasure[msr_id],tblMeasure[msr_min_geo_resolution])</f>
        <v>England</v>
      </c>
      <c r="L958" s="22" t="str">
        <f>_xlfn.XLOOKUP(tblRequirementMeasureXref[[#This Row],[msr_id]],tblMeasure[msr_id],tblMeasure[src_name])</f>
        <v>State of the ASC sector and workforce</v>
      </c>
    </row>
    <row r="959" spans="1:12" x14ac:dyDescent="0.15">
      <c r="A959" s="1" t="str">
        <f>_xlfn.XLOOKUP(tblRequirementMeasureXref[[#This Row],[dm_id]],tblDataRequirement[dm_id],tblDataRequirement[domain_sub_requirement])</f>
        <v>Service:Support setting:Home</v>
      </c>
      <c r="B959" s="1" t="str">
        <f>_xlfn.XLOOKUP(tblRequirementMeasureXref[[#This Row],[dm_id]],tblDataRequirement[dm_id],tblDataRequirement[dm_phase])</f>
        <v>operate</v>
      </c>
      <c r="C959" s="1">
        <v>40</v>
      </c>
      <c r="D959" s="1">
        <v>260</v>
      </c>
      <c r="G959" s="1"/>
      <c r="H959" s="62" t="str">
        <f>_xlfn.XLOOKUP(tblRequirementMeasureXref[[#This Row],[msr_id]],tblMeasure[msr_id],tblMeasure[msr_table])</f>
        <v>Table 3.3</v>
      </c>
      <c r="I959" s="22" t="str">
        <f>_xlfn.XLOOKUP(tblRequirementMeasureXref[[#This Row],[msr_id]],tblMeasure[msr_id],tblMeasure[msr_name])</f>
        <v>Percentage of the adult social care workforce on zero-hours contracts</v>
      </c>
      <c r="J959" s="22" t="str">
        <f>_xlfn.XLOOKUP(tblRequirementMeasureXref[[#This Row],[msr_id]],tblMeasure[msr_id],tblMeasure[primary_dimensions])</f>
        <v>zero hour contracts, sector, service, role</v>
      </c>
      <c r="K959" s="22" t="str">
        <f>_xlfn.XLOOKUP(tblRequirementMeasureXref[[#This Row],[msr_id]],tblMeasure[msr_id],tblMeasure[msr_min_geo_resolution])</f>
        <v>England</v>
      </c>
      <c r="L959" s="22" t="str">
        <f>_xlfn.XLOOKUP(tblRequirementMeasureXref[[#This Row],[msr_id]],tblMeasure[msr_id],tblMeasure[src_name])</f>
        <v>State of the ASC sector and workforce</v>
      </c>
    </row>
    <row r="960" spans="1:12" x14ac:dyDescent="0.15">
      <c r="A960" s="1" t="str">
        <f>_xlfn.XLOOKUP(tblRequirementMeasureXref[[#This Row],[dm_id]],tblDataRequirement[dm_id],tblDataRequirement[domain_sub_requirement])</f>
        <v>Service:Support setting:Residential care home</v>
      </c>
      <c r="B960" s="1" t="str">
        <f>_xlfn.XLOOKUP(tblRequirementMeasureXref[[#This Row],[dm_id]],tblDataRequirement[dm_id],tblDataRequirement[dm_phase])</f>
        <v>operate</v>
      </c>
      <c r="C960" s="1">
        <v>41</v>
      </c>
      <c r="D960" s="1">
        <v>260</v>
      </c>
      <c r="G960" s="1"/>
      <c r="H960" s="62" t="str">
        <f>_xlfn.XLOOKUP(tblRequirementMeasureXref[[#This Row],[msr_id]],tblMeasure[msr_id],tblMeasure[msr_table])</f>
        <v>Table 3.3</v>
      </c>
      <c r="I960" s="22" t="str">
        <f>_xlfn.XLOOKUP(tblRequirementMeasureXref[[#This Row],[msr_id]],tblMeasure[msr_id],tblMeasure[msr_name])</f>
        <v>Percentage of the adult social care workforce on zero-hours contracts</v>
      </c>
      <c r="J960" s="22" t="str">
        <f>_xlfn.XLOOKUP(tblRequirementMeasureXref[[#This Row],[msr_id]],tblMeasure[msr_id],tblMeasure[primary_dimensions])</f>
        <v>zero hour contracts, sector, service, role</v>
      </c>
      <c r="K960" s="22" t="str">
        <f>_xlfn.XLOOKUP(tblRequirementMeasureXref[[#This Row],[msr_id]],tblMeasure[msr_id],tblMeasure[msr_min_geo_resolution])</f>
        <v>England</v>
      </c>
      <c r="L960" s="22" t="str">
        <f>_xlfn.XLOOKUP(tblRequirementMeasureXref[[#This Row],[msr_id]],tblMeasure[msr_id],tblMeasure[src_name])</f>
        <v>State of the ASC sector and workforce</v>
      </c>
    </row>
    <row r="961" spans="1:12" x14ac:dyDescent="0.15">
      <c r="A961" s="1" t="str">
        <f>_xlfn.XLOOKUP(tblRequirementMeasureXref[[#This Row],[dm_id]],tblDataRequirement[dm_id],tblDataRequirement[domain_sub_requirement])</f>
        <v>Service:Support setting:Nursing home</v>
      </c>
      <c r="B961" s="1" t="str">
        <f>_xlfn.XLOOKUP(tblRequirementMeasureXref[[#This Row],[dm_id]],tblDataRequirement[dm_id],tblDataRequirement[dm_phase])</f>
        <v>operate</v>
      </c>
      <c r="C961" s="1">
        <v>42</v>
      </c>
      <c r="D961" s="1">
        <v>260</v>
      </c>
      <c r="G961" s="1"/>
      <c r="H961" s="62" t="str">
        <f>_xlfn.XLOOKUP(tblRequirementMeasureXref[[#This Row],[msr_id]],tblMeasure[msr_id],tblMeasure[msr_table])</f>
        <v>Table 3.3</v>
      </c>
      <c r="I961" s="22" t="str">
        <f>_xlfn.XLOOKUP(tblRequirementMeasureXref[[#This Row],[msr_id]],tblMeasure[msr_id],tblMeasure[msr_name])</f>
        <v>Percentage of the adult social care workforce on zero-hours contracts</v>
      </c>
      <c r="J961" s="22" t="str">
        <f>_xlfn.XLOOKUP(tblRequirementMeasureXref[[#This Row],[msr_id]],tblMeasure[msr_id],tblMeasure[primary_dimensions])</f>
        <v>zero hour contracts, sector, service, role</v>
      </c>
      <c r="K961" s="22" t="str">
        <f>_xlfn.XLOOKUP(tblRequirementMeasureXref[[#This Row],[msr_id]],tblMeasure[msr_id],tblMeasure[msr_min_geo_resolution])</f>
        <v>England</v>
      </c>
      <c r="L961" s="22" t="str">
        <f>_xlfn.XLOOKUP(tblRequirementMeasureXref[[#This Row],[msr_id]],tblMeasure[msr_id],tblMeasure[src_name])</f>
        <v>State of the ASC sector and workforce</v>
      </c>
    </row>
    <row r="962" spans="1:12" x14ac:dyDescent="0.15">
      <c r="A962" s="1" t="str">
        <f>_xlfn.XLOOKUP(tblRequirementMeasureXref[[#This Row],[dm_id]],tblDataRequirement[dm_id],tblDataRequirement[domain_sub_requirement])</f>
        <v>Service:Support setting:Community</v>
      </c>
      <c r="B962" s="1" t="str">
        <f>_xlfn.XLOOKUP(tblRequirementMeasureXref[[#This Row],[dm_id]],tblDataRequirement[dm_id],tblDataRequirement[dm_phase])</f>
        <v>operate</v>
      </c>
      <c r="C962" s="1">
        <v>43</v>
      </c>
      <c r="D962" s="1">
        <v>260</v>
      </c>
      <c r="G962" s="1"/>
      <c r="H962" s="62" t="str">
        <f>_xlfn.XLOOKUP(tblRequirementMeasureXref[[#This Row],[msr_id]],tblMeasure[msr_id],tblMeasure[msr_table])</f>
        <v>Table 3.3</v>
      </c>
      <c r="I962" s="22" t="str">
        <f>_xlfn.XLOOKUP(tblRequirementMeasureXref[[#This Row],[msr_id]],tblMeasure[msr_id],tblMeasure[msr_name])</f>
        <v>Percentage of the adult social care workforce on zero-hours contracts</v>
      </c>
      <c r="J962" s="22" t="str">
        <f>_xlfn.XLOOKUP(tblRequirementMeasureXref[[#This Row],[msr_id]],tblMeasure[msr_id],tblMeasure[primary_dimensions])</f>
        <v>zero hour contracts, sector, service, role</v>
      </c>
      <c r="K962" s="22" t="str">
        <f>_xlfn.XLOOKUP(tblRequirementMeasureXref[[#This Row],[msr_id]],tblMeasure[msr_id],tblMeasure[msr_min_geo_resolution])</f>
        <v>England</v>
      </c>
      <c r="L962" s="22" t="str">
        <f>_xlfn.XLOOKUP(tblRequirementMeasureXref[[#This Row],[msr_id]],tblMeasure[msr_id],tblMeasure[src_name])</f>
        <v>State of the ASC sector and workforce</v>
      </c>
    </row>
    <row r="963" spans="1:12" x14ac:dyDescent="0.15">
      <c r="A963" s="1" t="str">
        <f>_xlfn.XLOOKUP(tblRequirementMeasureXref[[#This Row],[dm_id]],tblDataRequirement[dm_id],tblDataRequirement[domain_sub_requirement])</f>
        <v>Providers:Type:Organisations</v>
      </c>
      <c r="B963" s="1" t="str">
        <f>_xlfn.XLOOKUP(tblRequirementMeasureXref[[#This Row],[dm_id]],tblDataRequirement[dm_id],tblDataRequirement[dm_phase])</f>
        <v>operate</v>
      </c>
      <c r="C963" s="1">
        <v>60</v>
      </c>
      <c r="D963" s="1">
        <v>260</v>
      </c>
      <c r="G963" s="1"/>
      <c r="H963" s="62" t="str">
        <f>_xlfn.XLOOKUP(tblRequirementMeasureXref[[#This Row],[msr_id]],tblMeasure[msr_id],tblMeasure[msr_table])</f>
        <v>Table 3.3</v>
      </c>
      <c r="I963" s="22" t="str">
        <f>_xlfn.XLOOKUP(tblRequirementMeasureXref[[#This Row],[msr_id]],tblMeasure[msr_id],tblMeasure[msr_name])</f>
        <v>Percentage of the adult social care workforce on zero-hours contracts</v>
      </c>
      <c r="J963" s="22" t="str">
        <f>_xlfn.XLOOKUP(tblRequirementMeasureXref[[#This Row],[msr_id]],tblMeasure[msr_id],tblMeasure[primary_dimensions])</f>
        <v>zero hour contracts, sector, service, role</v>
      </c>
      <c r="K963" s="22" t="str">
        <f>_xlfn.XLOOKUP(tblRequirementMeasureXref[[#This Row],[msr_id]],tblMeasure[msr_id],tblMeasure[msr_min_geo_resolution])</f>
        <v>England</v>
      </c>
      <c r="L963" s="22" t="str">
        <f>_xlfn.XLOOKUP(tblRequirementMeasureXref[[#This Row],[msr_id]],tblMeasure[msr_id],tblMeasure[src_name])</f>
        <v>State of the ASC sector and workforce</v>
      </c>
    </row>
    <row r="964" spans="1:12" x14ac:dyDescent="0.15">
      <c r="A964" s="1" t="str">
        <f>_xlfn.XLOOKUP(tblRequirementMeasureXref[[#This Row],[dm_id]],tblDataRequirement[dm_id],tblDataRequirement[domain_sub_requirement])</f>
        <v>Users:Income:Direct payments</v>
      </c>
      <c r="B964" s="1" t="str">
        <f>_xlfn.XLOOKUP(tblRequirementMeasureXref[[#This Row],[dm_id]],tblDataRequirement[dm_id],tblDataRequirement[dm_phase])</f>
        <v>supply</v>
      </c>
      <c r="C964" s="1">
        <v>71</v>
      </c>
      <c r="D964" s="1">
        <v>260</v>
      </c>
      <c r="G964" s="1"/>
      <c r="H964" s="62" t="str">
        <f>_xlfn.XLOOKUP(tblRequirementMeasureXref[[#This Row],[msr_id]],tblMeasure[msr_id],tblMeasure[msr_table])</f>
        <v>Table 3.3</v>
      </c>
      <c r="I964" s="22" t="str">
        <f>_xlfn.XLOOKUP(tblRequirementMeasureXref[[#This Row],[msr_id]],tblMeasure[msr_id],tblMeasure[msr_name])</f>
        <v>Percentage of the adult social care workforce on zero-hours contracts</v>
      </c>
      <c r="J964" s="22" t="str">
        <f>_xlfn.XLOOKUP(tblRequirementMeasureXref[[#This Row],[msr_id]],tblMeasure[msr_id],tblMeasure[primary_dimensions])</f>
        <v>zero hour contracts, sector, service, role</v>
      </c>
      <c r="K964" s="22" t="str">
        <f>_xlfn.XLOOKUP(tblRequirementMeasureXref[[#This Row],[msr_id]],tblMeasure[msr_id],tblMeasure[msr_min_geo_resolution])</f>
        <v>England</v>
      </c>
      <c r="L964" s="22" t="str">
        <f>_xlfn.XLOOKUP(tblRequirementMeasureXref[[#This Row],[msr_id]],tblMeasure[msr_id],tblMeasure[src_name])</f>
        <v>State of the ASC sector and workforce</v>
      </c>
    </row>
    <row r="965" spans="1:12" x14ac:dyDescent="0.15">
      <c r="A965" s="1" t="str">
        <f>_xlfn.XLOOKUP(tblRequirementMeasureXref[[#This Row],[dm_id]],tblDataRequirement[dm_id],tblDataRequirement[domain_sub_requirement])</f>
        <v>Workforce:Type:Employment Status</v>
      </c>
      <c r="B965" s="1" t="str">
        <f>_xlfn.XLOOKUP(tblRequirementMeasureXref[[#This Row],[dm_id]],tblDataRequirement[dm_id],tblDataRequirement[dm_phase])</f>
        <v>operate</v>
      </c>
      <c r="C965" s="1">
        <v>18</v>
      </c>
      <c r="D965" s="1">
        <v>260</v>
      </c>
      <c r="G965" s="1"/>
      <c r="H965" s="62" t="str">
        <f>_xlfn.XLOOKUP(tblRequirementMeasureXref[[#This Row],[msr_id]],tblMeasure[msr_id],tblMeasure[msr_table])</f>
        <v>Table 3.3</v>
      </c>
      <c r="I965" s="22" t="str">
        <f>_xlfn.XLOOKUP(tblRequirementMeasureXref[[#This Row],[msr_id]],tblMeasure[msr_id],tblMeasure[msr_name])</f>
        <v>Percentage of the adult social care workforce on zero-hours contracts</v>
      </c>
      <c r="J965" s="22" t="str">
        <f>_xlfn.XLOOKUP(tblRequirementMeasureXref[[#This Row],[msr_id]],tblMeasure[msr_id],tblMeasure[primary_dimensions])</f>
        <v>zero hour contracts, sector, service, role</v>
      </c>
      <c r="K965" s="22" t="str">
        <f>_xlfn.XLOOKUP(tblRequirementMeasureXref[[#This Row],[msr_id]],tblMeasure[msr_id],tblMeasure[msr_min_geo_resolution])</f>
        <v>England</v>
      </c>
      <c r="L965" s="22" t="str">
        <f>_xlfn.XLOOKUP(tblRequirementMeasureXref[[#This Row],[msr_id]],tblMeasure[msr_id],tblMeasure[src_name])</f>
        <v>State of the ASC sector and workforce</v>
      </c>
    </row>
    <row r="966" spans="1:12" x14ac:dyDescent="0.15">
      <c r="A966" s="1" t="str">
        <f>_xlfn.XLOOKUP(tblRequirementMeasureXref[[#This Row],[dm_id]],tblDataRequirement[dm_id],tblDataRequirement[domain_sub_requirement])</f>
        <v>Providers:Workforce:Filled jobs</v>
      </c>
      <c r="B966" s="1" t="str">
        <f>_xlfn.XLOOKUP(tblRequirementMeasureXref[[#This Row],[dm_id]],tblDataRequirement[dm_id],tblDataRequirement[dm_phase])</f>
        <v>supply</v>
      </c>
      <c r="C966" s="1">
        <v>10</v>
      </c>
      <c r="D966" s="1">
        <v>262</v>
      </c>
      <c r="G966" s="1"/>
      <c r="H966" s="62" t="str">
        <f>_xlfn.XLOOKUP(tblRequirementMeasureXref[[#This Row],[msr_id]],tblMeasure[msr_id],tblMeasure[msr_table])</f>
        <v>Table 3.5</v>
      </c>
      <c r="I966" s="22" t="str">
        <f>_xlfn.XLOOKUP(tblRequirementMeasureXref[[#This Row],[msr_id]],tblMeasure[msr_id],tblMeasure[msr_name])</f>
        <v>Category of nurse registration</v>
      </c>
      <c r="J966" s="22" t="str">
        <f>_xlfn.XLOOKUP(tblRequirementMeasureXref[[#This Row],[msr_id]],tblMeasure[msr_id],tblMeasure[primary_dimensions])</f>
        <v>nurse registrations</v>
      </c>
      <c r="K966" s="22" t="str">
        <f>_xlfn.XLOOKUP(tblRequirementMeasureXref[[#This Row],[msr_id]],tblMeasure[msr_id],tblMeasure[msr_min_geo_resolution])</f>
        <v>Region</v>
      </c>
      <c r="L966" s="22" t="str">
        <f>_xlfn.XLOOKUP(tblRequirementMeasureXref[[#This Row],[msr_id]],tblMeasure[msr_id],tblMeasure[src_name])</f>
        <v>State of the ASC sector and workforce</v>
      </c>
    </row>
    <row r="967" spans="1:12" x14ac:dyDescent="0.15">
      <c r="A967" s="1" t="str">
        <f>_xlfn.XLOOKUP(tblRequirementMeasureXref[[#This Row],[dm_id]],tblDataRequirement[dm_id],tblDataRequirement[domain_sub_requirement])</f>
        <v>Providers:Workforce:Filled jobs</v>
      </c>
      <c r="B967" s="1" t="str">
        <f>_xlfn.XLOOKUP(tblRequirementMeasureXref[[#This Row],[dm_id]],tblDataRequirement[dm_id],tblDataRequirement[dm_phase])</f>
        <v>supply</v>
      </c>
      <c r="C967" s="1">
        <v>10</v>
      </c>
      <c r="D967" s="1">
        <v>263</v>
      </c>
      <c r="G967" s="1"/>
      <c r="H967" s="62" t="str">
        <f>_xlfn.XLOOKUP(tblRequirementMeasureXref[[#This Row],[msr_id]],tblMeasure[msr_id],tblMeasure[msr_table])</f>
        <v>Table 3.6</v>
      </c>
      <c r="I967" s="22" t="str">
        <f>_xlfn.XLOOKUP(tblRequirementMeasureXref[[#This Row],[msr_id]],tblMeasure[msr_id],tblMeasure[msr_name])</f>
        <v>Nursing specialism</v>
      </c>
      <c r="J967" s="22" t="str">
        <f>_xlfn.XLOOKUP(tblRequirementMeasureXref[[#This Row],[msr_id]],tblMeasure[msr_id],tblMeasure[primary_dimensions])</f>
        <v>nurse specialisms</v>
      </c>
      <c r="K967" s="22" t="str">
        <f>_xlfn.XLOOKUP(tblRequirementMeasureXref[[#This Row],[msr_id]],tblMeasure[msr_id],tblMeasure[msr_min_geo_resolution])</f>
        <v>Region</v>
      </c>
      <c r="L967" s="22" t="str">
        <f>_xlfn.XLOOKUP(tblRequirementMeasureXref[[#This Row],[msr_id]],tblMeasure[msr_id],tblMeasure[src_name])</f>
        <v>State of the ASC sector and workforce</v>
      </c>
    </row>
    <row r="968" spans="1:12" x14ac:dyDescent="0.15">
      <c r="A968" s="1" t="str">
        <f>_xlfn.XLOOKUP(tblRequirementMeasureXref[[#This Row],[dm_id]],tblDataRequirement[dm_id],tblDataRequirement[domain_sub_requirement])</f>
        <v>Users:Care need:Support reason</v>
      </c>
      <c r="B968" s="1" t="str">
        <f>_xlfn.XLOOKUP(tblRequirementMeasureXref[[#This Row],[dm_id]],tblDataRequirement[dm_id],tblDataRequirement[dm_phase])</f>
        <v>demand</v>
      </c>
      <c r="C968" s="1">
        <v>56</v>
      </c>
      <c r="D968" s="1">
        <v>263</v>
      </c>
      <c r="G968" s="1"/>
      <c r="H968" s="62" t="str">
        <f>_xlfn.XLOOKUP(tblRequirementMeasureXref[[#This Row],[msr_id]],tblMeasure[msr_id],tblMeasure[msr_table])</f>
        <v>Table 3.6</v>
      </c>
      <c r="I968" s="22" t="str">
        <f>_xlfn.XLOOKUP(tblRequirementMeasureXref[[#This Row],[msr_id]],tblMeasure[msr_id],tblMeasure[msr_name])</f>
        <v>Nursing specialism</v>
      </c>
      <c r="J968" s="22" t="str">
        <f>_xlfn.XLOOKUP(tblRequirementMeasureXref[[#This Row],[msr_id]],tblMeasure[msr_id],tblMeasure[primary_dimensions])</f>
        <v>nurse specialisms</v>
      </c>
      <c r="K968" s="22" t="str">
        <f>_xlfn.XLOOKUP(tblRequirementMeasureXref[[#This Row],[msr_id]],tblMeasure[msr_id],tblMeasure[msr_min_geo_resolution])</f>
        <v>Region</v>
      </c>
      <c r="L968" s="22" t="str">
        <f>_xlfn.XLOOKUP(tblRequirementMeasureXref[[#This Row],[msr_id]],tblMeasure[msr_id],tblMeasure[src_name])</f>
        <v>State of the ASC sector and workforce</v>
      </c>
    </row>
    <row r="969" spans="1:12" x14ac:dyDescent="0.15">
      <c r="A969" s="1" t="str">
        <f>_xlfn.XLOOKUP(tblRequirementMeasureXref[[#This Row],[dm_id]],tblDataRequirement[dm_id],tblDataRequirement[domain_sub_requirement])</f>
        <v>Providers:Workforce:Filled jobs</v>
      </c>
      <c r="B969" s="1" t="str">
        <f>_xlfn.XLOOKUP(tblRequirementMeasureXref[[#This Row],[dm_id]],tblDataRequirement[dm_id],tblDataRequirement[dm_phase])</f>
        <v>supply</v>
      </c>
      <c r="C969" s="1">
        <v>10</v>
      </c>
      <c r="D969" s="1">
        <v>264</v>
      </c>
      <c r="G969" s="1"/>
      <c r="H969" s="62" t="str">
        <f>_xlfn.XLOOKUP(tblRequirementMeasureXref[[#This Row],[msr_id]],tblMeasure[msr_id],tblMeasure[msr_table])</f>
        <v>Table 4.1</v>
      </c>
      <c r="I969" s="22" t="str">
        <f>_xlfn.XLOOKUP(tblRequirementMeasureXref[[#This Row],[msr_id]],tblMeasure[msr_id],tblMeasure[msr_name])</f>
        <v>Proportion of directly employed staff who started their role in the previous 12 months</v>
      </c>
      <c r="J969" s="22" t="str">
        <f>_xlfn.XLOOKUP(tblRequirementMeasureXref[[#This Row],[msr_id]],tblMeasure[msr_id],tblMeasure[primary_dimensions])</f>
        <v>job starts, role group</v>
      </c>
      <c r="K969" s="22" t="str">
        <f>_xlfn.XLOOKUP(tblRequirementMeasureXref[[#This Row],[msr_id]],tblMeasure[msr_id],tblMeasure[msr_min_geo_resolution])</f>
        <v>Region</v>
      </c>
      <c r="L969" s="22" t="str">
        <f>_xlfn.XLOOKUP(tblRequirementMeasureXref[[#This Row],[msr_id]],tblMeasure[msr_id],tblMeasure[src_name])</f>
        <v>State of the ASC sector and workforce</v>
      </c>
    </row>
    <row r="970" spans="1:12" x14ac:dyDescent="0.15">
      <c r="A970" s="1" t="str">
        <f>_xlfn.XLOOKUP(tblRequirementMeasureXref[[#This Row],[dm_id]],tblDataRequirement[dm_id],tblDataRequirement[domain_sub_requirement])</f>
        <v>Service:Support setting:Home</v>
      </c>
      <c r="B970" s="1" t="str">
        <f>_xlfn.XLOOKUP(tblRequirementMeasureXref[[#This Row],[dm_id]],tblDataRequirement[dm_id],tblDataRequirement[dm_phase])</f>
        <v>operate</v>
      </c>
      <c r="C970" s="1">
        <v>40</v>
      </c>
      <c r="D970" s="1">
        <v>264</v>
      </c>
      <c r="G970" s="1"/>
      <c r="H970" s="62" t="str">
        <f>_xlfn.XLOOKUP(tblRequirementMeasureXref[[#This Row],[msr_id]],tblMeasure[msr_id],tblMeasure[msr_table])</f>
        <v>Table 4.1</v>
      </c>
      <c r="I970" s="22" t="str">
        <f>_xlfn.XLOOKUP(tblRequirementMeasureXref[[#This Row],[msr_id]],tblMeasure[msr_id],tblMeasure[msr_name])</f>
        <v>Proportion of directly employed staff who started their role in the previous 12 months</v>
      </c>
      <c r="J970" s="22" t="str">
        <f>_xlfn.XLOOKUP(tblRequirementMeasureXref[[#This Row],[msr_id]],tblMeasure[msr_id],tblMeasure[primary_dimensions])</f>
        <v>job starts, role group</v>
      </c>
      <c r="K970" s="22" t="str">
        <f>_xlfn.XLOOKUP(tblRequirementMeasureXref[[#This Row],[msr_id]],tblMeasure[msr_id],tblMeasure[msr_min_geo_resolution])</f>
        <v>Region</v>
      </c>
      <c r="L970" s="22" t="str">
        <f>_xlfn.XLOOKUP(tblRequirementMeasureXref[[#This Row],[msr_id]],tblMeasure[msr_id],tblMeasure[src_name])</f>
        <v>State of the ASC sector and workforce</v>
      </c>
    </row>
    <row r="971" spans="1:12" x14ac:dyDescent="0.15">
      <c r="A971" s="1" t="str">
        <f>_xlfn.XLOOKUP(tblRequirementMeasureXref[[#This Row],[dm_id]],tblDataRequirement[dm_id],tblDataRequirement[domain_sub_requirement])</f>
        <v>Service:Support setting:Residential care home</v>
      </c>
      <c r="B971" s="1" t="str">
        <f>_xlfn.XLOOKUP(tblRequirementMeasureXref[[#This Row],[dm_id]],tblDataRequirement[dm_id],tblDataRequirement[dm_phase])</f>
        <v>operate</v>
      </c>
      <c r="C971" s="1">
        <v>41</v>
      </c>
      <c r="D971" s="1">
        <v>264</v>
      </c>
      <c r="G971" s="1"/>
      <c r="H971" s="62" t="str">
        <f>_xlfn.XLOOKUP(tblRequirementMeasureXref[[#This Row],[msr_id]],tblMeasure[msr_id],tblMeasure[msr_table])</f>
        <v>Table 4.1</v>
      </c>
      <c r="I971" s="22" t="str">
        <f>_xlfn.XLOOKUP(tblRequirementMeasureXref[[#This Row],[msr_id]],tblMeasure[msr_id],tblMeasure[msr_name])</f>
        <v>Proportion of directly employed staff who started their role in the previous 12 months</v>
      </c>
      <c r="J971" s="22" t="str">
        <f>_xlfn.XLOOKUP(tblRequirementMeasureXref[[#This Row],[msr_id]],tblMeasure[msr_id],tblMeasure[primary_dimensions])</f>
        <v>job starts, role group</v>
      </c>
      <c r="K971" s="22" t="str">
        <f>_xlfn.XLOOKUP(tblRequirementMeasureXref[[#This Row],[msr_id]],tblMeasure[msr_id],tblMeasure[msr_min_geo_resolution])</f>
        <v>Region</v>
      </c>
      <c r="L971" s="22" t="str">
        <f>_xlfn.XLOOKUP(tblRequirementMeasureXref[[#This Row],[msr_id]],tblMeasure[msr_id],tblMeasure[src_name])</f>
        <v>State of the ASC sector and workforce</v>
      </c>
    </row>
    <row r="972" spans="1:12" x14ac:dyDescent="0.15">
      <c r="A972" s="1" t="str">
        <f>_xlfn.XLOOKUP(tblRequirementMeasureXref[[#This Row],[dm_id]],tblDataRequirement[dm_id],tblDataRequirement[domain_sub_requirement])</f>
        <v>Service:Support setting:Nursing home</v>
      </c>
      <c r="B972" s="1" t="str">
        <f>_xlfn.XLOOKUP(tblRequirementMeasureXref[[#This Row],[dm_id]],tblDataRequirement[dm_id],tblDataRequirement[dm_phase])</f>
        <v>operate</v>
      </c>
      <c r="C972" s="1">
        <v>42</v>
      </c>
      <c r="D972" s="1">
        <v>264</v>
      </c>
      <c r="G972" s="1"/>
      <c r="H972" s="62" t="str">
        <f>_xlfn.XLOOKUP(tblRequirementMeasureXref[[#This Row],[msr_id]],tblMeasure[msr_id],tblMeasure[msr_table])</f>
        <v>Table 4.1</v>
      </c>
      <c r="I972" s="22" t="str">
        <f>_xlfn.XLOOKUP(tblRequirementMeasureXref[[#This Row],[msr_id]],tblMeasure[msr_id],tblMeasure[msr_name])</f>
        <v>Proportion of directly employed staff who started their role in the previous 12 months</v>
      </c>
      <c r="J972" s="22" t="str">
        <f>_xlfn.XLOOKUP(tblRequirementMeasureXref[[#This Row],[msr_id]],tblMeasure[msr_id],tblMeasure[primary_dimensions])</f>
        <v>job starts, role group</v>
      </c>
      <c r="K972" s="22" t="str">
        <f>_xlfn.XLOOKUP(tblRequirementMeasureXref[[#This Row],[msr_id]],tblMeasure[msr_id],tblMeasure[msr_min_geo_resolution])</f>
        <v>Region</v>
      </c>
      <c r="L972" s="22" t="str">
        <f>_xlfn.XLOOKUP(tblRequirementMeasureXref[[#This Row],[msr_id]],tblMeasure[msr_id],tblMeasure[src_name])</f>
        <v>State of the ASC sector and workforce</v>
      </c>
    </row>
    <row r="973" spans="1:12" x14ac:dyDescent="0.15">
      <c r="A973" s="1" t="str">
        <f>_xlfn.XLOOKUP(tblRequirementMeasureXref[[#This Row],[dm_id]],tblDataRequirement[dm_id],tblDataRequirement[domain_sub_requirement])</f>
        <v>Service:Support setting:Community</v>
      </c>
      <c r="B973" s="1" t="str">
        <f>_xlfn.XLOOKUP(tblRequirementMeasureXref[[#This Row],[dm_id]],tblDataRequirement[dm_id],tblDataRequirement[dm_phase])</f>
        <v>operate</v>
      </c>
      <c r="C973" s="1">
        <v>43</v>
      </c>
      <c r="D973" s="1">
        <v>264</v>
      </c>
      <c r="G973" s="1"/>
      <c r="H973" s="62" t="str">
        <f>_xlfn.XLOOKUP(tblRequirementMeasureXref[[#This Row],[msr_id]],tblMeasure[msr_id],tblMeasure[msr_table])</f>
        <v>Table 4.1</v>
      </c>
      <c r="I973" s="22" t="str">
        <f>_xlfn.XLOOKUP(tblRequirementMeasureXref[[#This Row],[msr_id]],tblMeasure[msr_id],tblMeasure[msr_name])</f>
        <v>Proportion of directly employed staff who started their role in the previous 12 months</v>
      </c>
      <c r="J973" s="22" t="str">
        <f>_xlfn.XLOOKUP(tblRequirementMeasureXref[[#This Row],[msr_id]],tblMeasure[msr_id],tblMeasure[primary_dimensions])</f>
        <v>job starts, role group</v>
      </c>
      <c r="K973" s="22" t="str">
        <f>_xlfn.XLOOKUP(tblRequirementMeasureXref[[#This Row],[msr_id]],tblMeasure[msr_id],tblMeasure[msr_min_geo_resolution])</f>
        <v>Region</v>
      </c>
      <c r="L973" s="22" t="str">
        <f>_xlfn.XLOOKUP(tblRequirementMeasureXref[[#This Row],[msr_id]],tblMeasure[msr_id],tblMeasure[src_name])</f>
        <v>State of the ASC sector and workforce</v>
      </c>
    </row>
    <row r="974" spans="1:12" x14ac:dyDescent="0.15">
      <c r="A974" s="1" t="str">
        <f>_xlfn.XLOOKUP(tblRequirementMeasureXref[[#This Row],[dm_id]],tblDataRequirement[dm_id],tblDataRequirement[domain_sub_requirement])</f>
        <v>Providers:Type:Organisations</v>
      </c>
      <c r="B974" s="1" t="str">
        <f>_xlfn.XLOOKUP(tblRequirementMeasureXref[[#This Row],[dm_id]],tblDataRequirement[dm_id],tblDataRequirement[dm_phase])</f>
        <v>operate</v>
      </c>
      <c r="C974" s="1">
        <v>60</v>
      </c>
      <c r="D974" s="1">
        <v>264</v>
      </c>
      <c r="G974" s="1"/>
      <c r="H974" s="62" t="str">
        <f>_xlfn.XLOOKUP(tblRequirementMeasureXref[[#This Row],[msr_id]],tblMeasure[msr_id],tblMeasure[msr_table])</f>
        <v>Table 4.1</v>
      </c>
      <c r="I974" s="22" t="str">
        <f>_xlfn.XLOOKUP(tblRequirementMeasureXref[[#This Row],[msr_id]],tblMeasure[msr_id],tblMeasure[msr_name])</f>
        <v>Proportion of directly employed staff who started their role in the previous 12 months</v>
      </c>
      <c r="J974" s="22" t="str">
        <f>_xlfn.XLOOKUP(tblRequirementMeasureXref[[#This Row],[msr_id]],tblMeasure[msr_id],tblMeasure[primary_dimensions])</f>
        <v>job starts, role group</v>
      </c>
      <c r="K974" s="22" t="str">
        <f>_xlfn.XLOOKUP(tblRequirementMeasureXref[[#This Row],[msr_id]],tblMeasure[msr_id],tblMeasure[msr_min_geo_resolution])</f>
        <v>Region</v>
      </c>
      <c r="L974" s="22" t="str">
        <f>_xlfn.XLOOKUP(tblRequirementMeasureXref[[#This Row],[msr_id]],tblMeasure[msr_id],tblMeasure[src_name])</f>
        <v>State of the ASC sector and workforce</v>
      </c>
    </row>
    <row r="975" spans="1:12" x14ac:dyDescent="0.15">
      <c r="A975" s="1" t="str">
        <f>_xlfn.XLOOKUP(tblRequirementMeasureXref[[#This Row],[dm_id]],tblDataRequirement[dm_id],tblDataRequirement[domain_sub_requirement])</f>
        <v>Users:Income:Direct payments</v>
      </c>
      <c r="B975" s="1" t="str">
        <f>_xlfn.XLOOKUP(tblRequirementMeasureXref[[#This Row],[dm_id]],tblDataRequirement[dm_id],tblDataRequirement[dm_phase])</f>
        <v>supply</v>
      </c>
      <c r="C975" s="1">
        <v>71</v>
      </c>
      <c r="D975" s="1">
        <v>264</v>
      </c>
      <c r="G975" s="1"/>
      <c r="H975" s="62" t="str">
        <f>_xlfn.XLOOKUP(tblRequirementMeasureXref[[#This Row],[msr_id]],tblMeasure[msr_id],tblMeasure[msr_table])</f>
        <v>Table 4.1</v>
      </c>
      <c r="I975" s="22" t="str">
        <f>_xlfn.XLOOKUP(tblRequirementMeasureXref[[#This Row],[msr_id]],tblMeasure[msr_id],tblMeasure[msr_name])</f>
        <v>Proportion of directly employed staff who started their role in the previous 12 months</v>
      </c>
      <c r="J975" s="22" t="str">
        <f>_xlfn.XLOOKUP(tblRequirementMeasureXref[[#This Row],[msr_id]],tblMeasure[msr_id],tblMeasure[primary_dimensions])</f>
        <v>job starts, role group</v>
      </c>
      <c r="K975" s="22" t="str">
        <f>_xlfn.XLOOKUP(tblRequirementMeasureXref[[#This Row],[msr_id]],tblMeasure[msr_id],tblMeasure[msr_min_geo_resolution])</f>
        <v>Region</v>
      </c>
      <c r="L975" s="22" t="str">
        <f>_xlfn.XLOOKUP(tblRequirementMeasureXref[[#This Row],[msr_id]],tblMeasure[msr_id],tblMeasure[src_name])</f>
        <v>State of the ASC sector and workforce</v>
      </c>
    </row>
    <row r="976" spans="1:12" x14ac:dyDescent="0.15">
      <c r="A976" s="1" t="str">
        <f>_xlfn.XLOOKUP(tblRequirementMeasureXref[[#This Row],[dm_id]],tblDataRequirement[dm_id],tblDataRequirement[domain_sub_requirement])</f>
        <v>Providers:Workforce:Retention/turnover</v>
      </c>
      <c r="B976" s="1" t="str">
        <f>_xlfn.XLOOKUP(tblRequirementMeasureXref[[#This Row],[dm_id]],tblDataRequirement[dm_id],tblDataRequirement[dm_phase])</f>
        <v>operate</v>
      </c>
      <c r="C976" s="1">
        <v>12</v>
      </c>
      <c r="D976" s="1">
        <v>264</v>
      </c>
      <c r="G976" s="1"/>
      <c r="H976" s="62" t="str">
        <f>_xlfn.XLOOKUP(tblRequirementMeasureXref[[#This Row],[msr_id]],tblMeasure[msr_id],tblMeasure[msr_table])</f>
        <v>Table 4.1</v>
      </c>
      <c r="I976" s="22" t="str">
        <f>_xlfn.XLOOKUP(tblRequirementMeasureXref[[#This Row],[msr_id]],tblMeasure[msr_id],tblMeasure[msr_name])</f>
        <v>Proportion of directly employed staff who started their role in the previous 12 months</v>
      </c>
      <c r="J976" s="22" t="str">
        <f>_xlfn.XLOOKUP(tblRequirementMeasureXref[[#This Row],[msr_id]],tblMeasure[msr_id],tblMeasure[primary_dimensions])</f>
        <v>job starts, role group</v>
      </c>
      <c r="K976" s="22" t="str">
        <f>_xlfn.XLOOKUP(tblRequirementMeasureXref[[#This Row],[msr_id]],tblMeasure[msr_id],tblMeasure[msr_min_geo_resolution])</f>
        <v>Region</v>
      </c>
      <c r="L976" s="22" t="str">
        <f>_xlfn.XLOOKUP(tblRequirementMeasureXref[[#This Row],[msr_id]],tblMeasure[msr_id],tblMeasure[src_name])</f>
        <v>State of the ASC sector and workforce</v>
      </c>
    </row>
    <row r="977" spans="1:12" x14ac:dyDescent="0.15">
      <c r="A977" s="1" t="str">
        <f>_xlfn.XLOOKUP(tblRequirementMeasureXref[[#This Row],[dm_id]],tblDataRequirement[dm_id],tblDataRequirement[domain_sub_requirement])</f>
        <v>Providers:Workforce:Filled jobs</v>
      </c>
      <c r="B977" s="1" t="str">
        <f>_xlfn.XLOOKUP(tblRequirementMeasureXref[[#This Row],[dm_id]],tblDataRequirement[dm_id],tblDataRequirement[dm_phase])</f>
        <v>supply</v>
      </c>
      <c r="C977" s="1">
        <v>10</v>
      </c>
      <c r="D977" s="1">
        <v>266</v>
      </c>
      <c r="G977" s="1"/>
      <c r="H977" s="62" t="str">
        <f>_xlfn.XLOOKUP(tblRequirementMeasureXref[[#This Row],[msr_id]],tblMeasure[msr_id],tblMeasure[msr_table])</f>
        <v>Table 4.3</v>
      </c>
      <c r="I977" s="22" t="str">
        <f>_xlfn.XLOOKUP(tblRequirementMeasureXref[[#This Row],[msr_id]],tblMeasure[msr_id],tblMeasure[msr_name])</f>
        <v>Source of recruitment</v>
      </c>
      <c r="J977" s="22" t="str">
        <f>_xlfn.XLOOKUP(tblRequirementMeasureXref[[#This Row],[msr_id]],tblMeasure[msr_id],tblMeasure[primary_dimensions])</f>
        <v>source of recruitment</v>
      </c>
      <c r="K977" s="22" t="str">
        <f>_xlfn.XLOOKUP(tblRequirementMeasureXref[[#This Row],[msr_id]],tblMeasure[msr_id],tblMeasure[msr_min_geo_resolution])</f>
        <v>Region</v>
      </c>
      <c r="L977" s="22" t="str">
        <f>_xlfn.XLOOKUP(tblRequirementMeasureXref[[#This Row],[msr_id]],tblMeasure[msr_id],tblMeasure[src_name])</f>
        <v>State of the ASC sector and workforce</v>
      </c>
    </row>
    <row r="978" spans="1:12" x14ac:dyDescent="0.15">
      <c r="A978" s="1" t="str">
        <f>_xlfn.XLOOKUP(tblRequirementMeasureXref[[#This Row],[dm_id]],tblDataRequirement[dm_id],tblDataRequirement[domain_sub_requirement])</f>
        <v>Providers:Type:Organisations</v>
      </c>
      <c r="B978" s="1" t="str">
        <f>_xlfn.XLOOKUP(tblRequirementMeasureXref[[#This Row],[dm_id]],tblDataRequirement[dm_id],tblDataRequirement[dm_phase])</f>
        <v>operate</v>
      </c>
      <c r="C978" s="1">
        <v>60</v>
      </c>
      <c r="D978" s="1">
        <v>266</v>
      </c>
      <c r="G978" s="1"/>
      <c r="H978" s="62" t="str">
        <f>_xlfn.XLOOKUP(tblRequirementMeasureXref[[#This Row],[msr_id]],tblMeasure[msr_id],tblMeasure[msr_table])</f>
        <v>Table 4.3</v>
      </c>
      <c r="I978" s="22" t="str">
        <f>_xlfn.XLOOKUP(tblRequirementMeasureXref[[#This Row],[msr_id]],tblMeasure[msr_id],tblMeasure[msr_name])</f>
        <v>Source of recruitment</v>
      </c>
      <c r="J978" s="22" t="str">
        <f>_xlfn.XLOOKUP(tblRequirementMeasureXref[[#This Row],[msr_id]],tblMeasure[msr_id],tblMeasure[primary_dimensions])</f>
        <v>source of recruitment</v>
      </c>
      <c r="K978" s="22" t="str">
        <f>_xlfn.XLOOKUP(tblRequirementMeasureXref[[#This Row],[msr_id]],tblMeasure[msr_id],tblMeasure[msr_min_geo_resolution])</f>
        <v>Region</v>
      </c>
      <c r="L978" s="22" t="str">
        <f>_xlfn.XLOOKUP(tblRequirementMeasureXref[[#This Row],[msr_id]],tblMeasure[msr_id],tblMeasure[src_name])</f>
        <v>State of the ASC sector and workforce</v>
      </c>
    </row>
    <row r="979" spans="1:12" x14ac:dyDescent="0.15">
      <c r="A979" s="1" t="str">
        <f>_xlfn.XLOOKUP(tblRequirementMeasureXref[[#This Row],[dm_id]],tblDataRequirement[dm_id],tblDataRequirement[domain_sub_requirement])</f>
        <v>Providers:Workforce:Retention/turnover</v>
      </c>
      <c r="B979" s="1" t="str">
        <f>_xlfn.XLOOKUP(tblRequirementMeasureXref[[#This Row],[dm_id]],tblDataRequirement[dm_id],tblDataRequirement[dm_phase])</f>
        <v>operate</v>
      </c>
      <c r="C979" s="1">
        <v>12</v>
      </c>
      <c r="D979" s="1">
        <v>266</v>
      </c>
      <c r="G979" s="1"/>
      <c r="H979" s="62" t="str">
        <f>_xlfn.XLOOKUP(tblRequirementMeasureXref[[#This Row],[msr_id]],tblMeasure[msr_id],tblMeasure[msr_table])</f>
        <v>Table 4.3</v>
      </c>
      <c r="I979" s="22" t="str">
        <f>_xlfn.XLOOKUP(tblRequirementMeasureXref[[#This Row],[msr_id]],tblMeasure[msr_id],tblMeasure[msr_name])</f>
        <v>Source of recruitment</v>
      </c>
      <c r="J979" s="22" t="str">
        <f>_xlfn.XLOOKUP(tblRequirementMeasureXref[[#This Row],[msr_id]],tblMeasure[msr_id],tblMeasure[primary_dimensions])</f>
        <v>source of recruitment</v>
      </c>
      <c r="K979" s="22" t="str">
        <f>_xlfn.XLOOKUP(tblRequirementMeasureXref[[#This Row],[msr_id]],tblMeasure[msr_id],tblMeasure[msr_min_geo_resolution])</f>
        <v>Region</v>
      </c>
      <c r="L979" s="22" t="str">
        <f>_xlfn.XLOOKUP(tblRequirementMeasureXref[[#This Row],[msr_id]],tblMeasure[msr_id],tblMeasure[src_name])</f>
        <v>State of the ASC sector and workforce</v>
      </c>
    </row>
    <row r="980" spans="1:12" x14ac:dyDescent="0.15">
      <c r="A980" s="1" t="str">
        <f>_xlfn.XLOOKUP(tblRequirementMeasureXref[[#This Row],[dm_id]],tblDataRequirement[dm_id],tblDataRequirement[domain_sub_requirement])</f>
        <v>Providers:Type:Organisations</v>
      </c>
      <c r="B980" s="1" t="str">
        <f>_xlfn.XLOOKUP(tblRequirementMeasureXref[[#This Row],[dm_id]],tblDataRequirement[dm_id],tblDataRequirement[dm_phase])</f>
        <v>operate</v>
      </c>
      <c r="C980" s="1">
        <v>60</v>
      </c>
      <c r="D980" s="1">
        <v>266</v>
      </c>
      <c r="G980" s="1"/>
      <c r="H980" s="62" t="str">
        <f>_xlfn.XLOOKUP(tblRequirementMeasureXref[[#This Row],[msr_id]],tblMeasure[msr_id],tblMeasure[msr_table])</f>
        <v>Table 4.3</v>
      </c>
      <c r="I980" s="22" t="str">
        <f>_xlfn.XLOOKUP(tblRequirementMeasureXref[[#This Row],[msr_id]],tblMeasure[msr_id],tblMeasure[msr_name])</f>
        <v>Source of recruitment</v>
      </c>
      <c r="J980" s="22" t="str">
        <f>_xlfn.XLOOKUP(tblRequirementMeasureXref[[#This Row],[msr_id]],tblMeasure[msr_id],tblMeasure[primary_dimensions])</f>
        <v>source of recruitment</v>
      </c>
      <c r="K980" s="22" t="str">
        <f>_xlfn.XLOOKUP(tblRequirementMeasureXref[[#This Row],[msr_id]],tblMeasure[msr_id],tblMeasure[msr_min_geo_resolution])</f>
        <v>Region</v>
      </c>
      <c r="L980" s="22" t="str">
        <f>_xlfn.XLOOKUP(tblRequirementMeasureXref[[#This Row],[msr_id]],tblMeasure[msr_id],tblMeasure[src_name])</f>
        <v>State of the ASC sector and workforce</v>
      </c>
    </row>
    <row r="981" spans="1:12" x14ac:dyDescent="0.15">
      <c r="A981" s="1" t="str">
        <f>_xlfn.XLOOKUP(tblRequirementMeasureXref[[#This Row],[dm_id]],tblDataRequirement[dm_id],tblDataRequirement[domain_sub_requirement])</f>
        <v>Users:Income:Direct payments</v>
      </c>
      <c r="B981" s="1" t="str">
        <f>_xlfn.XLOOKUP(tblRequirementMeasureXref[[#This Row],[dm_id]],tblDataRequirement[dm_id],tblDataRequirement[dm_phase])</f>
        <v>supply</v>
      </c>
      <c r="C981" s="1">
        <v>71</v>
      </c>
      <c r="D981" s="1">
        <v>266</v>
      </c>
      <c r="G981" s="1"/>
      <c r="H981" s="62" t="str">
        <f>_xlfn.XLOOKUP(tblRequirementMeasureXref[[#This Row],[msr_id]],tblMeasure[msr_id],tblMeasure[msr_table])</f>
        <v>Table 4.3</v>
      </c>
      <c r="I981" s="22" t="str">
        <f>_xlfn.XLOOKUP(tblRequirementMeasureXref[[#This Row],[msr_id]],tblMeasure[msr_id],tblMeasure[msr_name])</f>
        <v>Source of recruitment</v>
      </c>
      <c r="J981" s="22" t="str">
        <f>_xlfn.XLOOKUP(tblRequirementMeasureXref[[#This Row],[msr_id]],tblMeasure[msr_id],tblMeasure[primary_dimensions])</f>
        <v>source of recruitment</v>
      </c>
      <c r="K981" s="22" t="str">
        <f>_xlfn.XLOOKUP(tblRequirementMeasureXref[[#This Row],[msr_id]],tblMeasure[msr_id],tblMeasure[msr_min_geo_resolution])</f>
        <v>Region</v>
      </c>
      <c r="L981" s="22" t="str">
        <f>_xlfn.XLOOKUP(tblRequirementMeasureXref[[#This Row],[msr_id]],tblMeasure[msr_id],tblMeasure[src_name])</f>
        <v>State of the ASC sector and workforce</v>
      </c>
    </row>
    <row r="982" spans="1:12" x14ac:dyDescent="0.15">
      <c r="A982" s="1" t="str">
        <f>_xlfn.XLOOKUP(tblRequirementMeasureXref[[#This Row],[dm_id]],tblDataRequirement[dm_id],tblDataRequirement[domain_sub_requirement])</f>
        <v>Service:Support setting:Home</v>
      </c>
      <c r="B982" s="1" t="str">
        <f>_xlfn.XLOOKUP(tblRequirementMeasureXref[[#This Row],[dm_id]],tblDataRequirement[dm_id],tblDataRequirement[dm_phase])</f>
        <v>operate</v>
      </c>
      <c r="C982" s="1">
        <v>40</v>
      </c>
      <c r="D982" s="1">
        <v>266</v>
      </c>
      <c r="G982" s="1"/>
      <c r="H982" s="62" t="str">
        <f>_xlfn.XLOOKUP(tblRequirementMeasureXref[[#This Row],[msr_id]],tblMeasure[msr_id],tblMeasure[msr_table])</f>
        <v>Table 4.3</v>
      </c>
      <c r="I982" s="22" t="str">
        <f>_xlfn.XLOOKUP(tblRequirementMeasureXref[[#This Row],[msr_id]],tblMeasure[msr_id],tblMeasure[msr_name])</f>
        <v>Source of recruitment</v>
      </c>
      <c r="J982" s="22" t="str">
        <f>_xlfn.XLOOKUP(tblRequirementMeasureXref[[#This Row],[msr_id]],tblMeasure[msr_id],tblMeasure[primary_dimensions])</f>
        <v>source of recruitment</v>
      </c>
      <c r="K982" s="22" t="str">
        <f>_xlfn.XLOOKUP(tblRequirementMeasureXref[[#This Row],[msr_id]],tblMeasure[msr_id],tblMeasure[msr_min_geo_resolution])</f>
        <v>Region</v>
      </c>
      <c r="L982" s="22" t="str">
        <f>_xlfn.XLOOKUP(tblRequirementMeasureXref[[#This Row],[msr_id]],tblMeasure[msr_id],tblMeasure[src_name])</f>
        <v>State of the ASC sector and workforce</v>
      </c>
    </row>
    <row r="983" spans="1:12" x14ac:dyDescent="0.15">
      <c r="A983" s="1" t="str">
        <f>_xlfn.XLOOKUP(tblRequirementMeasureXref[[#This Row],[dm_id]],tblDataRequirement[dm_id],tblDataRequirement[domain_sub_requirement])</f>
        <v>Service:Support setting:Residential care home</v>
      </c>
      <c r="B983" s="1" t="str">
        <f>_xlfn.XLOOKUP(tblRequirementMeasureXref[[#This Row],[dm_id]],tblDataRequirement[dm_id],tblDataRequirement[dm_phase])</f>
        <v>operate</v>
      </c>
      <c r="C983" s="1">
        <v>41</v>
      </c>
      <c r="D983" s="1">
        <v>266</v>
      </c>
      <c r="G983" s="1"/>
      <c r="H983" s="62" t="str">
        <f>_xlfn.XLOOKUP(tblRequirementMeasureXref[[#This Row],[msr_id]],tblMeasure[msr_id],tblMeasure[msr_table])</f>
        <v>Table 4.3</v>
      </c>
      <c r="I983" s="22" t="str">
        <f>_xlfn.XLOOKUP(tblRequirementMeasureXref[[#This Row],[msr_id]],tblMeasure[msr_id],tblMeasure[msr_name])</f>
        <v>Source of recruitment</v>
      </c>
      <c r="J983" s="22" t="str">
        <f>_xlfn.XLOOKUP(tblRequirementMeasureXref[[#This Row],[msr_id]],tblMeasure[msr_id],tblMeasure[primary_dimensions])</f>
        <v>source of recruitment</v>
      </c>
      <c r="K983" s="22" t="str">
        <f>_xlfn.XLOOKUP(tblRequirementMeasureXref[[#This Row],[msr_id]],tblMeasure[msr_id],tblMeasure[msr_min_geo_resolution])</f>
        <v>Region</v>
      </c>
      <c r="L983" s="22" t="str">
        <f>_xlfn.XLOOKUP(tblRequirementMeasureXref[[#This Row],[msr_id]],tblMeasure[msr_id],tblMeasure[src_name])</f>
        <v>State of the ASC sector and workforce</v>
      </c>
    </row>
    <row r="984" spans="1:12" x14ac:dyDescent="0.15">
      <c r="A984" s="1" t="str">
        <f>_xlfn.XLOOKUP(tblRequirementMeasureXref[[#This Row],[dm_id]],tblDataRequirement[dm_id],tblDataRequirement[domain_sub_requirement])</f>
        <v>Service:Support setting:Nursing home</v>
      </c>
      <c r="B984" s="1" t="str">
        <f>_xlfn.XLOOKUP(tblRequirementMeasureXref[[#This Row],[dm_id]],tblDataRequirement[dm_id],tblDataRequirement[dm_phase])</f>
        <v>operate</v>
      </c>
      <c r="C984" s="1">
        <v>42</v>
      </c>
      <c r="D984" s="1">
        <v>266</v>
      </c>
      <c r="G984" s="1"/>
      <c r="H984" s="62" t="str">
        <f>_xlfn.XLOOKUP(tblRequirementMeasureXref[[#This Row],[msr_id]],tblMeasure[msr_id],tblMeasure[msr_table])</f>
        <v>Table 4.3</v>
      </c>
      <c r="I984" s="22" t="str">
        <f>_xlfn.XLOOKUP(tblRequirementMeasureXref[[#This Row],[msr_id]],tblMeasure[msr_id],tblMeasure[msr_name])</f>
        <v>Source of recruitment</v>
      </c>
      <c r="J984" s="22" t="str">
        <f>_xlfn.XLOOKUP(tblRequirementMeasureXref[[#This Row],[msr_id]],tblMeasure[msr_id],tblMeasure[primary_dimensions])</f>
        <v>source of recruitment</v>
      </c>
      <c r="K984" s="22" t="str">
        <f>_xlfn.XLOOKUP(tblRequirementMeasureXref[[#This Row],[msr_id]],tblMeasure[msr_id],tblMeasure[msr_min_geo_resolution])</f>
        <v>Region</v>
      </c>
      <c r="L984" s="22" t="str">
        <f>_xlfn.XLOOKUP(tblRequirementMeasureXref[[#This Row],[msr_id]],tblMeasure[msr_id],tblMeasure[src_name])</f>
        <v>State of the ASC sector and workforce</v>
      </c>
    </row>
    <row r="985" spans="1:12" x14ac:dyDescent="0.15">
      <c r="A985" s="1" t="str">
        <f>_xlfn.XLOOKUP(tblRequirementMeasureXref[[#This Row],[dm_id]],tblDataRequirement[dm_id],tblDataRequirement[domain_sub_requirement])</f>
        <v>Service:Support setting:Community</v>
      </c>
      <c r="B985" s="1" t="str">
        <f>_xlfn.XLOOKUP(tblRequirementMeasureXref[[#This Row],[dm_id]],tblDataRequirement[dm_id],tblDataRequirement[dm_phase])</f>
        <v>operate</v>
      </c>
      <c r="C985" s="1">
        <v>43</v>
      </c>
      <c r="D985" s="1">
        <v>266</v>
      </c>
      <c r="G985" s="1"/>
      <c r="H985" s="62" t="str">
        <f>_xlfn.XLOOKUP(tblRequirementMeasureXref[[#This Row],[msr_id]],tblMeasure[msr_id],tblMeasure[msr_table])</f>
        <v>Table 4.3</v>
      </c>
      <c r="I985" s="22" t="str">
        <f>_xlfn.XLOOKUP(tblRequirementMeasureXref[[#This Row],[msr_id]],tblMeasure[msr_id],tblMeasure[msr_name])</f>
        <v>Source of recruitment</v>
      </c>
      <c r="J985" s="22" t="str">
        <f>_xlfn.XLOOKUP(tblRequirementMeasureXref[[#This Row],[msr_id]],tblMeasure[msr_id],tblMeasure[primary_dimensions])</f>
        <v>source of recruitment</v>
      </c>
      <c r="K985" s="22" t="str">
        <f>_xlfn.XLOOKUP(tblRequirementMeasureXref[[#This Row],[msr_id]],tblMeasure[msr_id],tblMeasure[msr_min_geo_resolution])</f>
        <v>Region</v>
      </c>
      <c r="L985" s="22" t="str">
        <f>_xlfn.XLOOKUP(tblRequirementMeasureXref[[#This Row],[msr_id]],tblMeasure[msr_id],tblMeasure[src_name])</f>
        <v>State of the ASC sector and workforce</v>
      </c>
    </row>
    <row r="986" spans="1:12" x14ac:dyDescent="0.15">
      <c r="A986" s="1" t="str">
        <f>_xlfn.XLOOKUP(tblRequirementMeasureXref[[#This Row],[dm_id]],tblDataRequirement[dm_id],tblDataRequirement[domain_sub_requirement])</f>
        <v>Providers:Workforce:Filled jobs</v>
      </c>
      <c r="B986" s="1" t="str">
        <f>_xlfn.XLOOKUP(tblRequirementMeasureXref[[#This Row],[dm_id]],tblDataRequirement[dm_id],tblDataRequirement[dm_phase])</f>
        <v>supply</v>
      </c>
      <c r="C986" s="1">
        <v>10</v>
      </c>
      <c r="D986" s="1">
        <v>267</v>
      </c>
      <c r="G986" s="1"/>
      <c r="H986" s="62" t="str">
        <f>_xlfn.XLOOKUP(tblRequirementMeasureXref[[#This Row],[msr_id]],tblMeasure[msr_id],tblMeasure[msr_table])</f>
        <v>Table 4.4</v>
      </c>
      <c r="I986" s="22" t="str">
        <f>_xlfn.XLOOKUP(tblRequirementMeasureXref[[#This Row],[msr_id]],tblMeasure[msr_id],tblMeasure[msr_name])</f>
        <v>Age started in sector</v>
      </c>
      <c r="J986" s="22" t="str">
        <f>_xlfn.XLOOKUP(tblRequirementMeasureXref[[#This Row],[msr_id]],tblMeasure[msr_id],tblMeasure[primary_dimensions])</f>
        <v>age started in ASC, role group, role</v>
      </c>
      <c r="K986" s="22" t="str">
        <f>_xlfn.XLOOKUP(tblRequirementMeasureXref[[#This Row],[msr_id]],tblMeasure[msr_id],tblMeasure[msr_min_geo_resolution])</f>
        <v>Region</v>
      </c>
      <c r="L986" s="22" t="str">
        <f>_xlfn.XLOOKUP(tblRequirementMeasureXref[[#This Row],[msr_id]],tblMeasure[msr_id],tblMeasure[src_name])</f>
        <v>State of the ASC sector and workforce</v>
      </c>
    </row>
    <row r="987" spans="1:12" x14ac:dyDescent="0.15">
      <c r="A987" s="1" t="str">
        <f>_xlfn.XLOOKUP(tblRequirementMeasureXref[[#This Row],[dm_id]],tblDataRequirement[dm_id],tblDataRequirement[domain_sub_requirement])</f>
        <v>Providers:Workforce:Retention/turnover</v>
      </c>
      <c r="B987" s="1" t="str">
        <f>_xlfn.XLOOKUP(tblRequirementMeasureXref[[#This Row],[dm_id]],tblDataRequirement[dm_id],tblDataRequirement[dm_phase])</f>
        <v>operate</v>
      </c>
      <c r="C987" s="1">
        <v>12</v>
      </c>
      <c r="D987" s="1">
        <v>267</v>
      </c>
      <c r="G987" s="1"/>
      <c r="H987" s="62" t="str">
        <f>_xlfn.XLOOKUP(tblRequirementMeasureXref[[#This Row],[msr_id]],tblMeasure[msr_id],tblMeasure[msr_table])</f>
        <v>Table 4.4</v>
      </c>
      <c r="I987" s="22" t="str">
        <f>_xlfn.XLOOKUP(tblRequirementMeasureXref[[#This Row],[msr_id]],tblMeasure[msr_id],tblMeasure[msr_name])</f>
        <v>Age started in sector</v>
      </c>
      <c r="J987" s="22" t="str">
        <f>_xlfn.XLOOKUP(tblRequirementMeasureXref[[#This Row],[msr_id]],tblMeasure[msr_id],tblMeasure[primary_dimensions])</f>
        <v>age started in ASC, role group, role</v>
      </c>
      <c r="K987" s="22" t="str">
        <f>_xlfn.XLOOKUP(tblRequirementMeasureXref[[#This Row],[msr_id]],tblMeasure[msr_id],tblMeasure[msr_min_geo_resolution])</f>
        <v>Region</v>
      </c>
      <c r="L987" s="22" t="str">
        <f>_xlfn.XLOOKUP(tblRequirementMeasureXref[[#This Row],[msr_id]],tblMeasure[msr_id],tblMeasure[src_name])</f>
        <v>State of the ASC sector and workforce</v>
      </c>
    </row>
    <row r="988" spans="1:12" x14ac:dyDescent="0.15">
      <c r="A988" s="1" t="str">
        <f>_xlfn.XLOOKUP(tblRequirementMeasureXref[[#This Row],[dm_id]],tblDataRequirement[dm_id],tblDataRequirement[domain_sub_requirement])</f>
        <v>Workforce:Demographics:Age</v>
      </c>
      <c r="B988" s="1" t="str">
        <f>_xlfn.XLOOKUP(tblRequirementMeasureXref[[#This Row],[dm_id]],tblDataRequirement[dm_id],tblDataRequirement[dm_phase])</f>
        <v>supply</v>
      </c>
      <c r="C988" s="1">
        <v>17</v>
      </c>
      <c r="D988" s="1">
        <v>267</v>
      </c>
      <c r="G988" s="1"/>
      <c r="H988" s="62" t="str">
        <f>_xlfn.XLOOKUP(tblRequirementMeasureXref[[#This Row],[msr_id]],tblMeasure[msr_id],tblMeasure[msr_table])</f>
        <v>Table 4.4</v>
      </c>
      <c r="I988" s="22" t="str">
        <f>_xlfn.XLOOKUP(tblRequirementMeasureXref[[#This Row],[msr_id]],tblMeasure[msr_id],tblMeasure[msr_name])</f>
        <v>Age started in sector</v>
      </c>
      <c r="J988" s="22" t="str">
        <f>_xlfn.XLOOKUP(tblRequirementMeasureXref[[#This Row],[msr_id]],tblMeasure[msr_id],tblMeasure[primary_dimensions])</f>
        <v>age started in ASC, role group, role</v>
      </c>
      <c r="K988" s="22" t="str">
        <f>_xlfn.XLOOKUP(tblRequirementMeasureXref[[#This Row],[msr_id]],tblMeasure[msr_id],tblMeasure[msr_min_geo_resolution])</f>
        <v>Region</v>
      </c>
      <c r="L988" s="22" t="str">
        <f>_xlfn.XLOOKUP(tblRequirementMeasureXref[[#This Row],[msr_id]],tblMeasure[msr_id],tblMeasure[src_name])</f>
        <v>State of the ASC sector and workforce</v>
      </c>
    </row>
    <row r="989" spans="1:12" x14ac:dyDescent="0.15">
      <c r="A989" s="1" t="str">
        <f>_xlfn.XLOOKUP(tblRequirementMeasureXref[[#This Row],[dm_id]],tblDataRequirement[dm_id],tblDataRequirement[domain_sub_requirement])</f>
        <v>Service:Support setting:Home</v>
      </c>
      <c r="B989" s="1" t="str">
        <f>_xlfn.XLOOKUP(tblRequirementMeasureXref[[#This Row],[dm_id]],tblDataRequirement[dm_id],tblDataRequirement[dm_phase])</f>
        <v>operate</v>
      </c>
      <c r="C989" s="1">
        <v>40</v>
      </c>
      <c r="D989" s="1">
        <v>267</v>
      </c>
      <c r="G989" s="1"/>
      <c r="H989" s="62" t="str">
        <f>_xlfn.XLOOKUP(tblRequirementMeasureXref[[#This Row],[msr_id]],tblMeasure[msr_id],tblMeasure[msr_table])</f>
        <v>Table 4.4</v>
      </c>
      <c r="I989" s="22" t="str">
        <f>_xlfn.XLOOKUP(tblRequirementMeasureXref[[#This Row],[msr_id]],tblMeasure[msr_id],tblMeasure[msr_name])</f>
        <v>Age started in sector</v>
      </c>
      <c r="J989" s="22" t="str">
        <f>_xlfn.XLOOKUP(tblRequirementMeasureXref[[#This Row],[msr_id]],tblMeasure[msr_id],tblMeasure[primary_dimensions])</f>
        <v>age started in ASC, role group, role</v>
      </c>
      <c r="K989" s="22" t="str">
        <f>_xlfn.XLOOKUP(tblRequirementMeasureXref[[#This Row],[msr_id]],tblMeasure[msr_id],tblMeasure[msr_min_geo_resolution])</f>
        <v>Region</v>
      </c>
      <c r="L989" s="22" t="str">
        <f>_xlfn.XLOOKUP(tblRequirementMeasureXref[[#This Row],[msr_id]],tblMeasure[msr_id],tblMeasure[src_name])</f>
        <v>State of the ASC sector and workforce</v>
      </c>
    </row>
    <row r="990" spans="1:12" x14ac:dyDescent="0.15">
      <c r="A990" s="1" t="str">
        <f>_xlfn.XLOOKUP(tblRequirementMeasureXref[[#This Row],[dm_id]],tblDataRequirement[dm_id],tblDataRequirement[domain_sub_requirement])</f>
        <v>Service:Support setting:Residential care home</v>
      </c>
      <c r="B990" s="1" t="str">
        <f>_xlfn.XLOOKUP(tblRequirementMeasureXref[[#This Row],[dm_id]],tblDataRequirement[dm_id],tblDataRequirement[dm_phase])</f>
        <v>operate</v>
      </c>
      <c r="C990" s="1">
        <v>41</v>
      </c>
      <c r="D990" s="1">
        <v>267</v>
      </c>
      <c r="G990" s="1"/>
      <c r="H990" s="62" t="str">
        <f>_xlfn.XLOOKUP(tblRequirementMeasureXref[[#This Row],[msr_id]],tblMeasure[msr_id],tblMeasure[msr_table])</f>
        <v>Table 4.4</v>
      </c>
      <c r="I990" s="22" t="str">
        <f>_xlfn.XLOOKUP(tblRequirementMeasureXref[[#This Row],[msr_id]],tblMeasure[msr_id],tblMeasure[msr_name])</f>
        <v>Age started in sector</v>
      </c>
      <c r="J990" s="22" t="str">
        <f>_xlfn.XLOOKUP(tblRequirementMeasureXref[[#This Row],[msr_id]],tblMeasure[msr_id],tblMeasure[primary_dimensions])</f>
        <v>age started in ASC, role group, role</v>
      </c>
      <c r="K990" s="22" t="str">
        <f>_xlfn.XLOOKUP(tblRequirementMeasureXref[[#This Row],[msr_id]],tblMeasure[msr_id],tblMeasure[msr_min_geo_resolution])</f>
        <v>Region</v>
      </c>
      <c r="L990" s="22" t="str">
        <f>_xlfn.XLOOKUP(tblRequirementMeasureXref[[#This Row],[msr_id]],tblMeasure[msr_id],tblMeasure[src_name])</f>
        <v>State of the ASC sector and workforce</v>
      </c>
    </row>
    <row r="991" spans="1:12" x14ac:dyDescent="0.15">
      <c r="A991" s="1" t="str">
        <f>_xlfn.XLOOKUP(tblRequirementMeasureXref[[#This Row],[dm_id]],tblDataRequirement[dm_id],tblDataRequirement[domain_sub_requirement])</f>
        <v>Service:Support setting:Nursing home</v>
      </c>
      <c r="B991" s="1" t="str">
        <f>_xlfn.XLOOKUP(tblRequirementMeasureXref[[#This Row],[dm_id]],tblDataRequirement[dm_id],tblDataRequirement[dm_phase])</f>
        <v>operate</v>
      </c>
      <c r="C991" s="1">
        <v>42</v>
      </c>
      <c r="D991" s="1">
        <v>267</v>
      </c>
      <c r="G991" s="1"/>
      <c r="H991" s="62" t="str">
        <f>_xlfn.XLOOKUP(tblRequirementMeasureXref[[#This Row],[msr_id]],tblMeasure[msr_id],tblMeasure[msr_table])</f>
        <v>Table 4.4</v>
      </c>
      <c r="I991" s="22" t="str">
        <f>_xlfn.XLOOKUP(tblRequirementMeasureXref[[#This Row],[msr_id]],tblMeasure[msr_id],tblMeasure[msr_name])</f>
        <v>Age started in sector</v>
      </c>
      <c r="J991" s="22" t="str">
        <f>_xlfn.XLOOKUP(tblRequirementMeasureXref[[#This Row],[msr_id]],tblMeasure[msr_id],tblMeasure[primary_dimensions])</f>
        <v>age started in ASC, role group, role</v>
      </c>
      <c r="K991" s="22" t="str">
        <f>_xlfn.XLOOKUP(tblRequirementMeasureXref[[#This Row],[msr_id]],tblMeasure[msr_id],tblMeasure[msr_min_geo_resolution])</f>
        <v>Region</v>
      </c>
      <c r="L991" s="22" t="str">
        <f>_xlfn.XLOOKUP(tblRequirementMeasureXref[[#This Row],[msr_id]],tblMeasure[msr_id],tblMeasure[src_name])</f>
        <v>State of the ASC sector and workforce</v>
      </c>
    </row>
    <row r="992" spans="1:12" x14ac:dyDescent="0.15">
      <c r="A992" s="1" t="str">
        <f>_xlfn.XLOOKUP(tblRequirementMeasureXref[[#This Row],[dm_id]],tblDataRequirement[dm_id],tblDataRequirement[domain_sub_requirement])</f>
        <v>Service:Support setting:Community</v>
      </c>
      <c r="B992" s="1" t="str">
        <f>_xlfn.XLOOKUP(tblRequirementMeasureXref[[#This Row],[dm_id]],tblDataRequirement[dm_id],tblDataRequirement[dm_phase])</f>
        <v>operate</v>
      </c>
      <c r="C992" s="1">
        <v>43</v>
      </c>
      <c r="D992" s="1">
        <v>267</v>
      </c>
      <c r="G992" s="1"/>
      <c r="H992" s="62" t="str">
        <f>_xlfn.XLOOKUP(tblRequirementMeasureXref[[#This Row],[msr_id]],tblMeasure[msr_id],tblMeasure[msr_table])</f>
        <v>Table 4.4</v>
      </c>
      <c r="I992" s="22" t="str">
        <f>_xlfn.XLOOKUP(tblRequirementMeasureXref[[#This Row],[msr_id]],tblMeasure[msr_id],tblMeasure[msr_name])</f>
        <v>Age started in sector</v>
      </c>
      <c r="J992" s="22" t="str">
        <f>_xlfn.XLOOKUP(tblRequirementMeasureXref[[#This Row],[msr_id]],tblMeasure[msr_id],tblMeasure[primary_dimensions])</f>
        <v>age started in ASC, role group, role</v>
      </c>
      <c r="K992" s="22" t="str">
        <f>_xlfn.XLOOKUP(tblRequirementMeasureXref[[#This Row],[msr_id]],tblMeasure[msr_id],tblMeasure[msr_min_geo_resolution])</f>
        <v>Region</v>
      </c>
      <c r="L992" s="22" t="str">
        <f>_xlfn.XLOOKUP(tblRequirementMeasureXref[[#This Row],[msr_id]],tblMeasure[msr_id],tblMeasure[src_name])</f>
        <v>State of the ASC sector and workforce</v>
      </c>
    </row>
    <row r="993" spans="1:12" x14ac:dyDescent="0.15">
      <c r="A993" s="1" t="str">
        <f>_xlfn.XLOOKUP(tblRequirementMeasureXref[[#This Row],[dm_id]],tblDataRequirement[dm_id],tblDataRequirement[domain_sub_requirement])</f>
        <v>Providers:Type:Organisations</v>
      </c>
      <c r="B993" s="1" t="str">
        <f>_xlfn.XLOOKUP(tblRequirementMeasureXref[[#This Row],[dm_id]],tblDataRequirement[dm_id],tblDataRequirement[dm_phase])</f>
        <v>operate</v>
      </c>
      <c r="C993" s="1">
        <v>60</v>
      </c>
      <c r="D993" s="1">
        <v>267</v>
      </c>
      <c r="G993" s="1"/>
      <c r="H993" s="62" t="str">
        <f>_xlfn.XLOOKUP(tblRequirementMeasureXref[[#This Row],[msr_id]],tblMeasure[msr_id],tblMeasure[msr_table])</f>
        <v>Table 4.4</v>
      </c>
      <c r="I993" s="22" t="str">
        <f>_xlfn.XLOOKUP(tblRequirementMeasureXref[[#This Row],[msr_id]],tblMeasure[msr_id],tblMeasure[msr_name])</f>
        <v>Age started in sector</v>
      </c>
      <c r="J993" s="22" t="str">
        <f>_xlfn.XLOOKUP(tblRequirementMeasureXref[[#This Row],[msr_id]],tblMeasure[msr_id],tblMeasure[primary_dimensions])</f>
        <v>age started in ASC, role group, role</v>
      </c>
      <c r="K993" s="22" t="str">
        <f>_xlfn.XLOOKUP(tblRequirementMeasureXref[[#This Row],[msr_id]],tblMeasure[msr_id],tblMeasure[msr_min_geo_resolution])</f>
        <v>Region</v>
      </c>
      <c r="L993" s="22" t="str">
        <f>_xlfn.XLOOKUP(tblRequirementMeasureXref[[#This Row],[msr_id]],tblMeasure[msr_id],tblMeasure[src_name])</f>
        <v>State of the ASC sector and workforce</v>
      </c>
    </row>
    <row r="994" spans="1:12" x14ac:dyDescent="0.15">
      <c r="A994" s="1" t="str">
        <f>_xlfn.XLOOKUP(tblRequirementMeasureXref[[#This Row],[dm_id]],tblDataRequirement[dm_id],tblDataRequirement[domain_sub_requirement])</f>
        <v>Providers:Workforce:Filled jobs</v>
      </c>
      <c r="B994" s="1" t="str">
        <f>_xlfn.XLOOKUP(tblRequirementMeasureXref[[#This Row],[dm_id]],tblDataRequirement[dm_id],tblDataRequirement[dm_phase])</f>
        <v>supply</v>
      </c>
      <c r="C994" s="1">
        <v>10</v>
      </c>
      <c r="D994" s="1">
        <v>268</v>
      </c>
      <c r="G994" s="1"/>
      <c r="H994" s="62" t="str">
        <f>_xlfn.XLOOKUP(tblRequirementMeasureXref[[#This Row],[msr_id]],tblMeasure[msr_id],tblMeasure[msr_table])</f>
        <v>Table 4.5</v>
      </c>
      <c r="I994" s="22" t="str">
        <f>_xlfn.XLOOKUP(tblRequirementMeasureXref[[#This Row],[msr_id]],tblMeasure[msr_id],tblMeasure[msr_name])</f>
        <v>Length of time worker has been in the sector</v>
      </c>
      <c r="J994" s="22" t="str">
        <f>_xlfn.XLOOKUP(tblRequirementMeasureXref[[#This Row],[msr_id]],tblMeasure[msr_id],tblMeasure[primary_dimensions])</f>
        <v>tenure in sector, role group, role</v>
      </c>
      <c r="K994" s="22" t="str">
        <f>_xlfn.XLOOKUP(tblRequirementMeasureXref[[#This Row],[msr_id]],tblMeasure[msr_id],tblMeasure[msr_min_geo_resolution])</f>
        <v>Region</v>
      </c>
      <c r="L994" s="22" t="str">
        <f>_xlfn.XLOOKUP(tblRequirementMeasureXref[[#This Row],[msr_id]],tblMeasure[msr_id],tblMeasure[src_name])</f>
        <v>State of the ASC sector and workforce</v>
      </c>
    </row>
    <row r="995" spans="1:12" x14ac:dyDescent="0.15">
      <c r="A995" s="1" t="str">
        <f>_xlfn.XLOOKUP(tblRequirementMeasureXref[[#This Row],[dm_id]],tblDataRequirement[dm_id],tblDataRequirement[domain_sub_requirement])</f>
        <v>Providers:Workforce:Retention/turnover</v>
      </c>
      <c r="B995" s="1" t="str">
        <f>_xlfn.XLOOKUP(tblRequirementMeasureXref[[#This Row],[dm_id]],tblDataRequirement[dm_id],tblDataRequirement[dm_phase])</f>
        <v>operate</v>
      </c>
      <c r="C995" s="1">
        <v>12</v>
      </c>
      <c r="D995" s="1">
        <v>268</v>
      </c>
      <c r="G995" s="1"/>
      <c r="H995" s="62" t="str">
        <f>_xlfn.XLOOKUP(tblRequirementMeasureXref[[#This Row],[msr_id]],tblMeasure[msr_id],tblMeasure[msr_table])</f>
        <v>Table 4.5</v>
      </c>
      <c r="I995" s="22" t="str">
        <f>_xlfn.XLOOKUP(tblRequirementMeasureXref[[#This Row],[msr_id]],tblMeasure[msr_id],tblMeasure[msr_name])</f>
        <v>Length of time worker has been in the sector</v>
      </c>
      <c r="J995" s="22" t="str">
        <f>_xlfn.XLOOKUP(tblRequirementMeasureXref[[#This Row],[msr_id]],tblMeasure[msr_id],tblMeasure[primary_dimensions])</f>
        <v>tenure in sector, role group, role</v>
      </c>
      <c r="K995" s="22" t="str">
        <f>_xlfn.XLOOKUP(tblRequirementMeasureXref[[#This Row],[msr_id]],tblMeasure[msr_id],tblMeasure[msr_min_geo_resolution])</f>
        <v>Region</v>
      </c>
      <c r="L995" s="22" t="str">
        <f>_xlfn.XLOOKUP(tblRequirementMeasureXref[[#This Row],[msr_id]],tblMeasure[msr_id],tblMeasure[src_name])</f>
        <v>State of the ASC sector and workforce</v>
      </c>
    </row>
    <row r="996" spans="1:12" x14ac:dyDescent="0.15">
      <c r="A996" s="1" t="str">
        <f>_xlfn.XLOOKUP(tblRequirementMeasureXref[[#This Row],[dm_id]],tblDataRequirement[dm_id],tblDataRequirement[domain_sub_requirement])</f>
        <v>Workforce:Experience:Experience</v>
      </c>
      <c r="B996" s="1" t="str">
        <f>_xlfn.XLOOKUP(tblRequirementMeasureXref[[#This Row],[dm_id]],tblDataRequirement[dm_id],tblDataRequirement[dm_phase])</f>
        <v>supply</v>
      </c>
      <c r="C996" s="1">
        <v>16</v>
      </c>
      <c r="D996" s="1">
        <v>268</v>
      </c>
      <c r="G996" s="1"/>
      <c r="H996" s="62" t="str">
        <f>_xlfn.XLOOKUP(tblRequirementMeasureXref[[#This Row],[msr_id]],tblMeasure[msr_id],tblMeasure[msr_table])</f>
        <v>Table 4.5</v>
      </c>
      <c r="I996" s="22" t="str">
        <f>_xlfn.XLOOKUP(tblRequirementMeasureXref[[#This Row],[msr_id]],tblMeasure[msr_id],tblMeasure[msr_name])</f>
        <v>Length of time worker has been in the sector</v>
      </c>
      <c r="J996" s="22" t="str">
        <f>_xlfn.XLOOKUP(tblRequirementMeasureXref[[#This Row],[msr_id]],tblMeasure[msr_id],tblMeasure[primary_dimensions])</f>
        <v>tenure in sector, role group, role</v>
      </c>
      <c r="K996" s="22" t="str">
        <f>_xlfn.XLOOKUP(tblRequirementMeasureXref[[#This Row],[msr_id]],tblMeasure[msr_id],tblMeasure[msr_min_geo_resolution])</f>
        <v>Region</v>
      </c>
      <c r="L996" s="22" t="str">
        <f>_xlfn.XLOOKUP(tblRequirementMeasureXref[[#This Row],[msr_id]],tblMeasure[msr_id],tblMeasure[src_name])</f>
        <v>State of the ASC sector and workforce</v>
      </c>
    </row>
    <row r="997" spans="1:12" x14ac:dyDescent="0.15">
      <c r="A997" s="1" t="str">
        <f>_xlfn.XLOOKUP(tblRequirementMeasureXref[[#This Row],[dm_id]],tblDataRequirement[dm_id],tblDataRequirement[domain_sub_requirement])</f>
        <v>Service:Support setting:Home</v>
      </c>
      <c r="B997" s="1" t="str">
        <f>_xlfn.XLOOKUP(tblRequirementMeasureXref[[#This Row],[dm_id]],tblDataRequirement[dm_id],tblDataRequirement[dm_phase])</f>
        <v>operate</v>
      </c>
      <c r="C997" s="1">
        <v>40</v>
      </c>
      <c r="D997" s="1">
        <v>268</v>
      </c>
      <c r="G997" s="1"/>
      <c r="H997" s="62" t="str">
        <f>_xlfn.XLOOKUP(tblRequirementMeasureXref[[#This Row],[msr_id]],tblMeasure[msr_id],tblMeasure[msr_table])</f>
        <v>Table 4.5</v>
      </c>
      <c r="I997" s="22" t="str">
        <f>_xlfn.XLOOKUP(tblRequirementMeasureXref[[#This Row],[msr_id]],tblMeasure[msr_id],tblMeasure[msr_name])</f>
        <v>Length of time worker has been in the sector</v>
      </c>
      <c r="J997" s="22" t="str">
        <f>_xlfn.XLOOKUP(tblRequirementMeasureXref[[#This Row],[msr_id]],tblMeasure[msr_id],tblMeasure[primary_dimensions])</f>
        <v>tenure in sector, role group, role</v>
      </c>
      <c r="K997" s="22" t="str">
        <f>_xlfn.XLOOKUP(tblRequirementMeasureXref[[#This Row],[msr_id]],tblMeasure[msr_id],tblMeasure[msr_min_geo_resolution])</f>
        <v>Region</v>
      </c>
      <c r="L997" s="22" t="str">
        <f>_xlfn.XLOOKUP(tblRequirementMeasureXref[[#This Row],[msr_id]],tblMeasure[msr_id],tblMeasure[src_name])</f>
        <v>State of the ASC sector and workforce</v>
      </c>
    </row>
    <row r="998" spans="1:12" x14ac:dyDescent="0.15">
      <c r="A998" s="1" t="str">
        <f>_xlfn.XLOOKUP(tblRequirementMeasureXref[[#This Row],[dm_id]],tblDataRequirement[dm_id],tblDataRequirement[domain_sub_requirement])</f>
        <v>Service:Support setting:Residential care home</v>
      </c>
      <c r="B998" s="1" t="str">
        <f>_xlfn.XLOOKUP(tblRequirementMeasureXref[[#This Row],[dm_id]],tblDataRequirement[dm_id],tblDataRequirement[dm_phase])</f>
        <v>operate</v>
      </c>
      <c r="C998" s="1">
        <v>41</v>
      </c>
      <c r="D998" s="1">
        <v>268</v>
      </c>
      <c r="G998" s="1"/>
      <c r="H998" s="62" t="str">
        <f>_xlfn.XLOOKUP(tblRequirementMeasureXref[[#This Row],[msr_id]],tblMeasure[msr_id],tblMeasure[msr_table])</f>
        <v>Table 4.5</v>
      </c>
      <c r="I998" s="22" t="str">
        <f>_xlfn.XLOOKUP(tblRequirementMeasureXref[[#This Row],[msr_id]],tblMeasure[msr_id],tblMeasure[msr_name])</f>
        <v>Length of time worker has been in the sector</v>
      </c>
      <c r="J998" s="22" t="str">
        <f>_xlfn.XLOOKUP(tblRequirementMeasureXref[[#This Row],[msr_id]],tblMeasure[msr_id],tblMeasure[primary_dimensions])</f>
        <v>tenure in sector, role group, role</v>
      </c>
      <c r="K998" s="22" t="str">
        <f>_xlfn.XLOOKUP(tblRequirementMeasureXref[[#This Row],[msr_id]],tblMeasure[msr_id],tblMeasure[msr_min_geo_resolution])</f>
        <v>Region</v>
      </c>
      <c r="L998" s="22" t="str">
        <f>_xlfn.XLOOKUP(tblRequirementMeasureXref[[#This Row],[msr_id]],tblMeasure[msr_id],tblMeasure[src_name])</f>
        <v>State of the ASC sector and workforce</v>
      </c>
    </row>
    <row r="999" spans="1:12" x14ac:dyDescent="0.15">
      <c r="A999" s="1" t="str">
        <f>_xlfn.XLOOKUP(tblRequirementMeasureXref[[#This Row],[dm_id]],tblDataRequirement[dm_id],tblDataRequirement[domain_sub_requirement])</f>
        <v>Service:Support setting:Nursing home</v>
      </c>
      <c r="B999" s="1" t="str">
        <f>_xlfn.XLOOKUP(tblRequirementMeasureXref[[#This Row],[dm_id]],tblDataRequirement[dm_id],tblDataRequirement[dm_phase])</f>
        <v>operate</v>
      </c>
      <c r="C999" s="1">
        <v>42</v>
      </c>
      <c r="D999" s="1">
        <v>268</v>
      </c>
      <c r="G999" s="1"/>
      <c r="H999" s="62" t="str">
        <f>_xlfn.XLOOKUP(tblRequirementMeasureXref[[#This Row],[msr_id]],tblMeasure[msr_id],tblMeasure[msr_table])</f>
        <v>Table 4.5</v>
      </c>
      <c r="I999" s="22" t="str">
        <f>_xlfn.XLOOKUP(tblRequirementMeasureXref[[#This Row],[msr_id]],tblMeasure[msr_id],tblMeasure[msr_name])</f>
        <v>Length of time worker has been in the sector</v>
      </c>
      <c r="J999" s="22" t="str">
        <f>_xlfn.XLOOKUP(tblRequirementMeasureXref[[#This Row],[msr_id]],tblMeasure[msr_id],tblMeasure[primary_dimensions])</f>
        <v>tenure in sector, role group, role</v>
      </c>
      <c r="K999" s="22" t="str">
        <f>_xlfn.XLOOKUP(tblRequirementMeasureXref[[#This Row],[msr_id]],tblMeasure[msr_id],tblMeasure[msr_min_geo_resolution])</f>
        <v>Region</v>
      </c>
      <c r="L999" s="22" t="str">
        <f>_xlfn.XLOOKUP(tblRequirementMeasureXref[[#This Row],[msr_id]],tblMeasure[msr_id],tblMeasure[src_name])</f>
        <v>State of the ASC sector and workforce</v>
      </c>
    </row>
    <row r="1000" spans="1:12" x14ac:dyDescent="0.15">
      <c r="A1000" s="1" t="str">
        <f>_xlfn.XLOOKUP(tblRequirementMeasureXref[[#This Row],[dm_id]],tblDataRequirement[dm_id],tblDataRequirement[domain_sub_requirement])</f>
        <v>Service:Support setting:Community</v>
      </c>
      <c r="B1000" s="1" t="str">
        <f>_xlfn.XLOOKUP(tblRequirementMeasureXref[[#This Row],[dm_id]],tblDataRequirement[dm_id],tblDataRequirement[dm_phase])</f>
        <v>operate</v>
      </c>
      <c r="C1000" s="1">
        <v>43</v>
      </c>
      <c r="D1000" s="1">
        <v>268</v>
      </c>
      <c r="G1000" s="1"/>
      <c r="H1000" s="62" t="str">
        <f>_xlfn.XLOOKUP(tblRequirementMeasureXref[[#This Row],[msr_id]],tblMeasure[msr_id],tblMeasure[msr_table])</f>
        <v>Table 4.5</v>
      </c>
      <c r="I1000" s="22" t="str">
        <f>_xlfn.XLOOKUP(tblRequirementMeasureXref[[#This Row],[msr_id]],tblMeasure[msr_id],tblMeasure[msr_name])</f>
        <v>Length of time worker has been in the sector</v>
      </c>
      <c r="J1000" s="22" t="str">
        <f>_xlfn.XLOOKUP(tblRequirementMeasureXref[[#This Row],[msr_id]],tblMeasure[msr_id],tblMeasure[primary_dimensions])</f>
        <v>tenure in sector, role group, role</v>
      </c>
      <c r="K1000" s="22" t="str">
        <f>_xlfn.XLOOKUP(tblRequirementMeasureXref[[#This Row],[msr_id]],tblMeasure[msr_id],tblMeasure[msr_min_geo_resolution])</f>
        <v>Region</v>
      </c>
      <c r="L1000" s="22" t="str">
        <f>_xlfn.XLOOKUP(tblRequirementMeasureXref[[#This Row],[msr_id]],tblMeasure[msr_id],tblMeasure[src_name])</f>
        <v>State of the ASC sector and workforce</v>
      </c>
    </row>
    <row r="1001" spans="1:12" x14ac:dyDescent="0.15">
      <c r="A1001" s="1" t="str">
        <f>_xlfn.XLOOKUP(tblRequirementMeasureXref[[#This Row],[dm_id]],tblDataRequirement[dm_id],tblDataRequirement[domain_sub_requirement])</f>
        <v>Providers:Type:Organisations</v>
      </c>
      <c r="B1001" s="1" t="str">
        <f>_xlfn.XLOOKUP(tblRequirementMeasureXref[[#This Row],[dm_id]],tblDataRequirement[dm_id],tblDataRequirement[dm_phase])</f>
        <v>operate</v>
      </c>
      <c r="C1001" s="1">
        <v>60</v>
      </c>
      <c r="D1001" s="1">
        <v>268</v>
      </c>
      <c r="G1001" s="1"/>
      <c r="H1001" s="62" t="str">
        <f>_xlfn.XLOOKUP(tblRequirementMeasureXref[[#This Row],[msr_id]],tblMeasure[msr_id],tblMeasure[msr_table])</f>
        <v>Table 4.5</v>
      </c>
      <c r="I1001" s="22" t="str">
        <f>_xlfn.XLOOKUP(tblRequirementMeasureXref[[#This Row],[msr_id]],tblMeasure[msr_id],tblMeasure[msr_name])</f>
        <v>Length of time worker has been in the sector</v>
      </c>
      <c r="J1001" s="22" t="str">
        <f>_xlfn.XLOOKUP(tblRequirementMeasureXref[[#This Row],[msr_id]],tblMeasure[msr_id],tblMeasure[primary_dimensions])</f>
        <v>tenure in sector, role group, role</v>
      </c>
      <c r="K1001" s="22" t="str">
        <f>_xlfn.XLOOKUP(tblRequirementMeasureXref[[#This Row],[msr_id]],tblMeasure[msr_id],tblMeasure[msr_min_geo_resolution])</f>
        <v>Region</v>
      </c>
      <c r="L1001" s="22" t="str">
        <f>_xlfn.XLOOKUP(tblRequirementMeasureXref[[#This Row],[msr_id]],tblMeasure[msr_id],tblMeasure[src_name])</f>
        <v>State of the ASC sector and workforce</v>
      </c>
    </row>
    <row r="1002" spans="1:12" x14ac:dyDescent="0.15">
      <c r="A1002" s="1" t="str">
        <f>_xlfn.XLOOKUP(tblRequirementMeasureXref[[#This Row],[dm_id]],tblDataRequirement[dm_id],tblDataRequirement[domain_sub_requirement])</f>
        <v>Users:Income:Direct payments</v>
      </c>
      <c r="B1002" s="1" t="str">
        <f>_xlfn.XLOOKUP(tblRequirementMeasureXref[[#This Row],[dm_id]],tblDataRequirement[dm_id],tblDataRequirement[dm_phase])</f>
        <v>supply</v>
      </c>
      <c r="C1002" s="1">
        <v>71</v>
      </c>
      <c r="D1002" s="1">
        <v>268</v>
      </c>
      <c r="G1002" s="1"/>
      <c r="H1002" s="62" t="str">
        <f>_xlfn.XLOOKUP(tblRequirementMeasureXref[[#This Row],[msr_id]],tblMeasure[msr_id],tblMeasure[msr_table])</f>
        <v>Table 4.5</v>
      </c>
      <c r="I1002" s="22" t="str">
        <f>_xlfn.XLOOKUP(tblRequirementMeasureXref[[#This Row],[msr_id]],tblMeasure[msr_id],tblMeasure[msr_name])</f>
        <v>Length of time worker has been in the sector</v>
      </c>
      <c r="J1002" s="22" t="str">
        <f>_xlfn.XLOOKUP(tblRequirementMeasureXref[[#This Row],[msr_id]],tblMeasure[msr_id],tblMeasure[primary_dimensions])</f>
        <v>tenure in sector, role group, role</v>
      </c>
      <c r="K1002" s="22" t="str">
        <f>_xlfn.XLOOKUP(tblRequirementMeasureXref[[#This Row],[msr_id]],tblMeasure[msr_id],tblMeasure[msr_min_geo_resolution])</f>
        <v>Region</v>
      </c>
      <c r="L1002" s="22" t="str">
        <f>_xlfn.XLOOKUP(tblRequirementMeasureXref[[#This Row],[msr_id]],tblMeasure[msr_id],tblMeasure[src_name])</f>
        <v>State of the ASC sector and workforce</v>
      </c>
    </row>
    <row r="1003" spans="1:12" x14ac:dyDescent="0.15">
      <c r="A1003" s="1" t="str">
        <f>_xlfn.XLOOKUP(tblRequirementMeasureXref[[#This Row],[dm_id]],tblDataRequirement[dm_id],tblDataRequirement[domain_sub_requirement])</f>
        <v>Providers:Workforce:Filled jobs</v>
      </c>
      <c r="B1003" s="1" t="str">
        <f>_xlfn.XLOOKUP(tblRequirementMeasureXref[[#This Row],[dm_id]],tblDataRequirement[dm_id],tblDataRequirement[dm_phase])</f>
        <v>supply</v>
      </c>
      <c r="C1003" s="1">
        <v>10</v>
      </c>
      <c r="D1003" s="1">
        <v>270</v>
      </c>
      <c r="G1003" s="1"/>
      <c r="H1003" s="62" t="str">
        <f>_xlfn.XLOOKUP(tblRequirementMeasureXref[[#This Row],[msr_id]],tblMeasure[msr_id],tblMeasure[msr_table])</f>
        <v>Table 4.7</v>
      </c>
      <c r="I1003" s="22" t="str">
        <f>_xlfn.XLOOKUP(tblRequirementMeasureXref[[#This Row],[msr_id]],tblMeasure[msr_id],tblMeasure[msr_name])</f>
        <v>Length of time worker has been in current role</v>
      </c>
      <c r="J1003" s="22" t="str">
        <f>_xlfn.XLOOKUP(tblRequirementMeasureXref[[#This Row],[msr_id]],tblMeasure[msr_id],tblMeasure[primary_dimensions])</f>
        <v>tenure in role, role</v>
      </c>
      <c r="K1003" s="22" t="str">
        <f>_xlfn.XLOOKUP(tblRequirementMeasureXref[[#This Row],[msr_id]],tblMeasure[msr_id],tblMeasure[msr_min_geo_resolution])</f>
        <v>Region</v>
      </c>
      <c r="L1003" s="22" t="str">
        <f>_xlfn.XLOOKUP(tblRequirementMeasureXref[[#This Row],[msr_id]],tblMeasure[msr_id],tblMeasure[src_name])</f>
        <v>State of the ASC sector and workforce</v>
      </c>
    </row>
    <row r="1004" spans="1:12" x14ac:dyDescent="0.15">
      <c r="A1004" s="1" t="str">
        <f>_xlfn.XLOOKUP(tblRequirementMeasureXref[[#This Row],[dm_id]],tblDataRequirement[dm_id],tblDataRequirement[domain_sub_requirement])</f>
        <v>Providers:Workforce:Retention/turnover</v>
      </c>
      <c r="B1004" s="1" t="str">
        <f>_xlfn.XLOOKUP(tblRequirementMeasureXref[[#This Row],[dm_id]],tblDataRequirement[dm_id],tblDataRequirement[dm_phase])</f>
        <v>operate</v>
      </c>
      <c r="C1004" s="1">
        <v>12</v>
      </c>
      <c r="D1004" s="1">
        <v>270</v>
      </c>
      <c r="G1004" s="1"/>
      <c r="H1004" s="62" t="str">
        <f>_xlfn.XLOOKUP(tblRequirementMeasureXref[[#This Row],[msr_id]],tblMeasure[msr_id],tblMeasure[msr_table])</f>
        <v>Table 4.7</v>
      </c>
      <c r="I1004" s="22" t="str">
        <f>_xlfn.XLOOKUP(tblRequirementMeasureXref[[#This Row],[msr_id]],tblMeasure[msr_id],tblMeasure[msr_name])</f>
        <v>Length of time worker has been in current role</v>
      </c>
      <c r="J1004" s="22" t="str">
        <f>_xlfn.XLOOKUP(tblRequirementMeasureXref[[#This Row],[msr_id]],tblMeasure[msr_id],tblMeasure[primary_dimensions])</f>
        <v>tenure in role, role</v>
      </c>
      <c r="K1004" s="22" t="str">
        <f>_xlfn.XLOOKUP(tblRequirementMeasureXref[[#This Row],[msr_id]],tblMeasure[msr_id],tblMeasure[msr_min_geo_resolution])</f>
        <v>Region</v>
      </c>
      <c r="L1004" s="22" t="str">
        <f>_xlfn.XLOOKUP(tblRequirementMeasureXref[[#This Row],[msr_id]],tblMeasure[msr_id],tblMeasure[src_name])</f>
        <v>State of the ASC sector and workforce</v>
      </c>
    </row>
    <row r="1005" spans="1:12" x14ac:dyDescent="0.15">
      <c r="A1005" s="1" t="str">
        <f>_xlfn.XLOOKUP(tblRequirementMeasureXref[[#This Row],[dm_id]],tblDataRequirement[dm_id],tblDataRequirement[domain_sub_requirement])</f>
        <v>Workforce:Experience:Experience</v>
      </c>
      <c r="B1005" s="1" t="str">
        <f>_xlfn.XLOOKUP(tblRequirementMeasureXref[[#This Row],[dm_id]],tblDataRequirement[dm_id],tblDataRequirement[dm_phase])</f>
        <v>supply</v>
      </c>
      <c r="C1005" s="1">
        <v>16</v>
      </c>
      <c r="D1005" s="1">
        <v>270</v>
      </c>
      <c r="G1005" s="1"/>
      <c r="H1005" s="62" t="str">
        <f>_xlfn.XLOOKUP(tblRequirementMeasureXref[[#This Row],[msr_id]],tblMeasure[msr_id],tblMeasure[msr_table])</f>
        <v>Table 4.7</v>
      </c>
      <c r="I1005" s="22" t="str">
        <f>_xlfn.XLOOKUP(tblRequirementMeasureXref[[#This Row],[msr_id]],tblMeasure[msr_id],tblMeasure[msr_name])</f>
        <v>Length of time worker has been in current role</v>
      </c>
      <c r="J1005" s="22" t="str">
        <f>_xlfn.XLOOKUP(tblRequirementMeasureXref[[#This Row],[msr_id]],tblMeasure[msr_id],tblMeasure[primary_dimensions])</f>
        <v>tenure in role, role</v>
      </c>
      <c r="K1005" s="22" t="str">
        <f>_xlfn.XLOOKUP(tblRequirementMeasureXref[[#This Row],[msr_id]],tblMeasure[msr_id],tblMeasure[msr_min_geo_resolution])</f>
        <v>Region</v>
      </c>
      <c r="L1005" s="22" t="str">
        <f>_xlfn.XLOOKUP(tblRequirementMeasureXref[[#This Row],[msr_id]],tblMeasure[msr_id],tblMeasure[src_name])</f>
        <v>State of the ASC sector and workforce</v>
      </c>
    </row>
    <row r="1006" spans="1:12" x14ac:dyDescent="0.15">
      <c r="A1006" s="1" t="str">
        <f>_xlfn.XLOOKUP(tblRequirementMeasureXref[[#This Row],[dm_id]],tblDataRequirement[dm_id],tblDataRequirement[domain_sub_requirement])</f>
        <v>Service:Support setting:Home</v>
      </c>
      <c r="B1006" s="1" t="str">
        <f>_xlfn.XLOOKUP(tblRequirementMeasureXref[[#This Row],[dm_id]],tblDataRequirement[dm_id],tblDataRequirement[dm_phase])</f>
        <v>operate</v>
      </c>
      <c r="C1006" s="1">
        <v>40</v>
      </c>
      <c r="D1006" s="1">
        <v>270</v>
      </c>
      <c r="G1006" s="1"/>
      <c r="H1006" s="62" t="str">
        <f>_xlfn.XLOOKUP(tblRequirementMeasureXref[[#This Row],[msr_id]],tblMeasure[msr_id],tblMeasure[msr_table])</f>
        <v>Table 4.7</v>
      </c>
      <c r="I1006" s="22" t="str">
        <f>_xlfn.XLOOKUP(tblRequirementMeasureXref[[#This Row],[msr_id]],tblMeasure[msr_id],tblMeasure[msr_name])</f>
        <v>Length of time worker has been in current role</v>
      </c>
      <c r="J1006" s="22" t="str">
        <f>_xlfn.XLOOKUP(tblRequirementMeasureXref[[#This Row],[msr_id]],tblMeasure[msr_id],tblMeasure[primary_dimensions])</f>
        <v>tenure in role, role</v>
      </c>
      <c r="K1006" s="22" t="str">
        <f>_xlfn.XLOOKUP(tblRequirementMeasureXref[[#This Row],[msr_id]],tblMeasure[msr_id],tblMeasure[msr_min_geo_resolution])</f>
        <v>Region</v>
      </c>
      <c r="L1006" s="22" t="str">
        <f>_xlfn.XLOOKUP(tblRequirementMeasureXref[[#This Row],[msr_id]],tblMeasure[msr_id],tblMeasure[src_name])</f>
        <v>State of the ASC sector and workforce</v>
      </c>
    </row>
    <row r="1007" spans="1:12" x14ac:dyDescent="0.15">
      <c r="A1007" s="1" t="str">
        <f>_xlfn.XLOOKUP(tblRequirementMeasureXref[[#This Row],[dm_id]],tblDataRequirement[dm_id],tblDataRequirement[domain_sub_requirement])</f>
        <v>Service:Support setting:Residential care home</v>
      </c>
      <c r="B1007" s="1" t="str">
        <f>_xlfn.XLOOKUP(tblRequirementMeasureXref[[#This Row],[dm_id]],tblDataRequirement[dm_id],tblDataRequirement[dm_phase])</f>
        <v>operate</v>
      </c>
      <c r="C1007" s="1">
        <v>41</v>
      </c>
      <c r="D1007" s="1">
        <v>270</v>
      </c>
      <c r="G1007" s="1"/>
      <c r="H1007" s="62" t="str">
        <f>_xlfn.XLOOKUP(tblRequirementMeasureXref[[#This Row],[msr_id]],tblMeasure[msr_id],tblMeasure[msr_table])</f>
        <v>Table 4.7</v>
      </c>
      <c r="I1007" s="22" t="str">
        <f>_xlfn.XLOOKUP(tblRequirementMeasureXref[[#This Row],[msr_id]],tblMeasure[msr_id],tblMeasure[msr_name])</f>
        <v>Length of time worker has been in current role</v>
      </c>
      <c r="J1007" s="22" t="str">
        <f>_xlfn.XLOOKUP(tblRequirementMeasureXref[[#This Row],[msr_id]],tblMeasure[msr_id],tblMeasure[primary_dimensions])</f>
        <v>tenure in role, role</v>
      </c>
      <c r="K1007" s="22" t="str">
        <f>_xlfn.XLOOKUP(tblRequirementMeasureXref[[#This Row],[msr_id]],tblMeasure[msr_id],tblMeasure[msr_min_geo_resolution])</f>
        <v>Region</v>
      </c>
      <c r="L1007" s="22" t="str">
        <f>_xlfn.XLOOKUP(tblRequirementMeasureXref[[#This Row],[msr_id]],tblMeasure[msr_id],tblMeasure[src_name])</f>
        <v>State of the ASC sector and workforce</v>
      </c>
    </row>
    <row r="1008" spans="1:12" x14ac:dyDescent="0.15">
      <c r="A1008" s="1" t="str">
        <f>_xlfn.XLOOKUP(tblRequirementMeasureXref[[#This Row],[dm_id]],tblDataRequirement[dm_id],tblDataRequirement[domain_sub_requirement])</f>
        <v>Service:Support setting:Nursing home</v>
      </c>
      <c r="B1008" s="1" t="str">
        <f>_xlfn.XLOOKUP(tblRequirementMeasureXref[[#This Row],[dm_id]],tblDataRequirement[dm_id],tblDataRequirement[dm_phase])</f>
        <v>operate</v>
      </c>
      <c r="C1008" s="1">
        <v>42</v>
      </c>
      <c r="D1008" s="1">
        <v>270</v>
      </c>
      <c r="G1008" s="1"/>
      <c r="H1008" s="62" t="str">
        <f>_xlfn.XLOOKUP(tblRequirementMeasureXref[[#This Row],[msr_id]],tblMeasure[msr_id],tblMeasure[msr_table])</f>
        <v>Table 4.7</v>
      </c>
      <c r="I1008" s="22" t="str">
        <f>_xlfn.XLOOKUP(tblRequirementMeasureXref[[#This Row],[msr_id]],tblMeasure[msr_id],tblMeasure[msr_name])</f>
        <v>Length of time worker has been in current role</v>
      </c>
      <c r="J1008" s="22" t="str">
        <f>_xlfn.XLOOKUP(tblRequirementMeasureXref[[#This Row],[msr_id]],tblMeasure[msr_id],tblMeasure[primary_dimensions])</f>
        <v>tenure in role, role</v>
      </c>
      <c r="K1008" s="22" t="str">
        <f>_xlfn.XLOOKUP(tblRequirementMeasureXref[[#This Row],[msr_id]],tblMeasure[msr_id],tblMeasure[msr_min_geo_resolution])</f>
        <v>Region</v>
      </c>
      <c r="L1008" s="22" t="str">
        <f>_xlfn.XLOOKUP(tblRequirementMeasureXref[[#This Row],[msr_id]],tblMeasure[msr_id],tblMeasure[src_name])</f>
        <v>State of the ASC sector and workforce</v>
      </c>
    </row>
    <row r="1009" spans="1:12" x14ac:dyDescent="0.15">
      <c r="A1009" s="1" t="str">
        <f>_xlfn.XLOOKUP(tblRequirementMeasureXref[[#This Row],[dm_id]],tblDataRequirement[dm_id],tblDataRequirement[domain_sub_requirement])</f>
        <v>Service:Support setting:Community</v>
      </c>
      <c r="B1009" s="1" t="str">
        <f>_xlfn.XLOOKUP(tblRequirementMeasureXref[[#This Row],[dm_id]],tblDataRequirement[dm_id],tblDataRequirement[dm_phase])</f>
        <v>operate</v>
      </c>
      <c r="C1009" s="1">
        <v>43</v>
      </c>
      <c r="D1009" s="1">
        <v>270</v>
      </c>
      <c r="G1009" s="1"/>
      <c r="H1009" s="62" t="str">
        <f>_xlfn.XLOOKUP(tblRequirementMeasureXref[[#This Row],[msr_id]],tblMeasure[msr_id],tblMeasure[msr_table])</f>
        <v>Table 4.7</v>
      </c>
      <c r="I1009" s="22" t="str">
        <f>_xlfn.XLOOKUP(tblRequirementMeasureXref[[#This Row],[msr_id]],tblMeasure[msr_id],tblMeasure[msr_name])</f>
        <v>Length of time worker has been in current role</v>
      </c>
      <c r="J1009" s="22" t="str">
        <f>_xlfn.XLOOKUP(tblRequirementMeasureXref[[#This Row],[msr_id]],tblMeasure[msr_id],tblMeasure[primary_dimensions])</f>
        <v>tenure in role, role</v>
      </c>
      <c r="K1009" s="22" t="str">
        <f>_xlfn.XLOOKUP(tblRequirementMeasureXref[[#This Row],[msr_id]],tblMeasure[msr_id],tblMeasure[msr_min_geo_resolution])</f>
        <v>Region</v>
      </c>
      <c r="L1009" s="22" t="str">
        <f>_xlfn.XLOOKUP(tblRequirementMeasureXref[[#This Row],[msr_id]],tblMeasure[msr_id],tblMeasure[src_name])</f>
        <v>State of the ASC sector and workforce</v>
      </c>
    </row>
    <row r="1010" spans="1:12" x14ac:dyDescent="0.15">
      <c r="A1010" s="1" t="str">
        <f>_xlfn.XLOOKUP(tblRequirementMeasureXref[[#This Row],[dm_id]],tblDataRequirement[dm_id],tblDataRequirement[domain_sub_requirement])</f>
        <v>Providers:Type:Organisations</v>
      </c>
      <c r="B1010" s="1" t="str">
        <f>_xlfn.XLOOKUP(tblRequirementMeasureXref[[#This Row],[dm_id]],tblDataRequirement[dm_id],tblDataRequirement[dm_phase])</f>
        <v>operate</v>
      </c>
      <c r="C1010" s="1">
        <v>60</v>
      </c>
      <c r="D1010" s="1">
        <v>270</v>
      </c>
      <c r="G1010" s="1"/>
      <c r="H1010" s="62" t="str">
        <f>_xlfn.XLOOKUP(tblRequirementMeasureXref[[#This Row],[msr_id]],tblMeasure[msr_id],tblMeasure[msr_table])</f>
        <v>Table 4.7</v>
      </c>
      <c r="I1010" s="22" t="str">
        <f>_xlfn.XLOOKUP(tblRequirementMeasureXref[[#This Row],[msr_id]],tblMeasure[msr_id],tblMeasure[msr_name])</f>
        <v>Length of time worker has been in current role</v>
      </c>
      <c r="J1010" s="22" t="str">
        <f>_xlfn.XLOOKUP(tblRequirementMeasureXref[[#This Row],[msr_id]],tblMeasure[msr_id],tblMeasure[primary_dimensions])</f>
        <v>tenure in role, role</v>
      </c>
      <c r="K1010" s="22" t="str">
        <f>_xlfn.XLOOKUP(tblRequirementMeasureXref[[#This Row],[msr_id]],tblMeasure[msr_id],tblMeasure[msr_min_geo_resolution])</f>
        <v>Region</v>
      </c>
      <c r="L1010" s="22" t="str">
        <f>_xlfn.XLOOKUP(tblRequirementMeasureXref[[#This Row],[msr_id]],tblMeasure[msr_id],tblMeasure[src_name])</f>
        <v>State of the ASC sector and workforce</v>
      </c>
    </row>
    <row r="1011" spans="1:12" x14ac:dyDescent="0.15">
      <c r="A1011" s="1" t="str">
        <f>_xlfn.XLOOKUP(tblRequirementMeasureXref[[#This Row],[dm_id]],tblDataRequirement[dm_id],tblDataRequirement[domain_sub_requirement])</f>
        <v>Users:Income:Direct payments</v>
      </c>
      <c r="B1011" s="1" t="str">
        <f>_xlfn.XLOOKUP(tblRequirementMeasureXref[[#This Row],[dm_id]],tblDataRequirement[dm_id],tblDataRequirement[dm_phase])</f>
        <v>supply</v>
      </c>
      <c r="C1011" s="1">
        <v>71</v>
      </c>
      <c r="D1011" s="1">
        <v>270</v>
      </c>
      <c r="G1011" s="1"/>
      <c r="H1011" s="62" t="str">
        <f>_xlfn.XLOOKUP(tblRequirementMeasureXref[[#This Row],[msr_id]],tblMeasure[msr_id],tblMeasure[msr_table])</f>
        <v>Table 4.7</v>
      </c>
      <c r="I1011" s="22" t="str">
        <f>_xlfn.XLOOKUP(tblRequirementMeasureXref[[#This Row],[msr_id]],tblMeasure[msr_id],tblMeasure[msr_name])</f>
        <v>Length of time worker has been in current role</v>
      </c>
      <c r="J1011" s="22" t="str">
        <f>_xlfn.XLOOKUP(tblRequirementMeasureXref[[#This Row],[msr_id]],tblMeasure[msr_id],tblMeasure[primary_dimensions])</f>
        <v>tenure in role, role</v>
      </c>
      <c r="K1011" s="22" t="str">
        <f>_xlfn.XLOOKUP(tblRequirementMeasureXref[[#This Row],[msr_id]],tblMeasure[msr_id],tblMeasure[msr_min_geo_resolution])</f>
        <v>Region</v>
      </c>
      <c r="L1011" s="22" t="str">
        <f>_xlfn.XLOOKUP(tblRequirementMeasureXref[[#This Row],[msr_id]],tblMeasure[msr_id],tblMeasure[src_name])</f>
        <v>State of the ASC sector and workforce</v>
      </c>
    </row>
    <row r="1012" spans="1:12" x14ac:dyDescent="0.15">
      <c r="A1012" s="1" t="str">
        <f>_xlfn.XLOOKUP(tblRequirementMeasureXref[[#This Row],[dm_id]],tblDataRequirement[dm_id],tblDataRequirement[domain_sub_requirement])</f>
        <v>Providers:Workforce:Filled jobs</v>
      </c>
      <c r="B1012" s="1" t="str">
        <f>_xlfn.XLOOKUP(tblRequirementMeasureXref[[#This Row],[dm_id]],tblDataRequirement[dm_id],tblDataRequirement[dm_phase])</f>
        <v>supply</v>
      </c>
      <c r="C1012" s="1">
        <v>10</v>
      </c>
      <c r="D1012" s="1">
        <v>272</v>
      </c>
      <c r="G1012" s="1"/>
      <c r="H1012" s="62" t="str">
        <f>_xlfn.XLOOKUP(tblRequirementMeasureXref[[#This Row],[msr_id]],tblMeasure[msr_id],tblMeasure[msr_table])</f>
        <v>Table 4.9</v>
      </c>
      <c r="I1012" s="22" t="str">
        <f>_xlfn.XLOOKUP(tblRequirementMeasureXref[[#This Row],[msr_id]],tblMeasure[msr_id],tblMeasure[msr_name])</f>
        <v>Proportion of directly employed staff who left their role in the previous 12 months</v>
      </c>
      <c r="J1012" s="22" t="str">
        <f>_xlfn.XLOOKUP(tblRequirementMeasureXref[[#This Row],[msr_id]],tblMeasure[msr_id],tblMeasure[primary_dimensions])</f>
        <v>turnover, role group</v>
      </c>
      <c r="K1012" s="22" t="str">
        <f>_xlfn.XLOOKUP(tblRequirementMeasureXref[[#This Row],[msr_id]],tblMeasure[msr_id],tblMeasure[msr_min_geo_resolution])</f>
        <v>Region</v>
      </c>
      <c r="L1012" s="22" t="str">
        <f>_xlfn.XLOOKUP(tblRequirementMeasureXref[[#This Row],[msr_id]],tblMeasure[msr_id],tblMeasure[src_name])</f>
        <v>State of the ASC sector and workforce</v>
      </c>
    </row>
    <row r="1013" spans="1:12" x14ac:dyDescent="0.15">
      <c r="A1013" s="1" t="str">
        <f>_xlfn.XLOOKUP(tblRequirementMeasureXref[[#This Row],[dm_id]],tblDataRequirement[dm_id],tblDataRequirement[domain_sub_requirement])</f>
        <v>Providers:Workforce:Retention/turnover</v>
      </c>
      <c r="B1013" s="1" t="str">
        <f>_xlfn.XLOOKUP(tblRequirementMeasureXref[[#This Row],[dm_id]],tblDataRequirement[dm_id],tblDataRequirement[dm_phase])</f>
        <v>operate</v>
      </c>
      <c r="C1013" s="1">
        <v>12</v>
      </c>
      <c r="D1013" s="1">
        <v>272</v>
      </c>
      <c r="G1013" s="1"/>
      <c r="H1013" s="62" t="str">
        <f>_xlfn.XLOOKUP(tblRequirementMeasureXref[[#This Row],[msr_id]],tblMeasure[msr_id],tblMeasure[msr_table])</f>
        <v>Table 4.9</v>
      </c>
      <c r="I1013" s="22" t="str">
        <f>_xlfn.XLOOKUP(tblRequirementMeasureXref[[#This Row],[msr_id]],tblMeasure[msr_id],tblMeasure[msr_name])</f>
        <v>Proportion of directly employed staff who left their role in the previous 12 months</v>
      </c>
      <c r="J1013" s="22" t="str">
        <f>_xlfn.XLOOKUP(tblRequirementMeasureXref[[#This Row],[msr_id]],tblMeasure[msr_id],tblMeasure[primary_dimensions])</f>
        <v>turnover, role group</v>
      </c>
      <c r="K1013" s="22" t="str">
        <f>_xlfn.XLOOKUP(tblRequirementMeasureXref[[#This Row],[msr_id]],tblMeasure[msr_id],tblMeasure[msr_min_geo_resolution])</f>
        <v>Region</v>
      </c>
      <c r="L1013" s="22" t="str">
        <f>_xlfn.XLOOKUP(tblRequirementMeasureXref[[#This Row],[msr_id]],tblMeasure[msr_id],tblMeasure[src_name])</f>
        <v>State of the ASC sector and workforce</v>
      </c>
    </row>
    <row r="1014" spans="1:12" x14ac:dyDescent="0.15">
      <c r="A1014" s="1" t="str">
        <f>_xlfn.XLOOKUP(tblRequirementMeasureXref[[#This Row],[dm_id]],tblDataRequirement[dm_id],tblDataRequirement[domain_sub_requirement])</f>
        <v>Service:Support setting:Home</v>
      </c>
      <c r="B1014" s="1" t="str">
        <f>_xlfn.XLOOKUP(tblRequirementMeasureXref[[#This Row],[dm_id]],tblDataRequirement[dm_id],tblDataRequirement[dm_phase])</f>
        <v>operate</v>
      </c>
      <c r="C1014" s="1">
        <v>40</v>
      </c>
      <c r="D1014" s="1">
        <v>272</v>
      </c>
      <c r="G1014" s="1"/>
      <c r="H1014" s="62" t="str">
        <f>_xlfn.XLOOKUP(tblRequirementMeasureXref[[#This Row],[msr_id]],tblMeasure[msr_id],tblMeasure[msr_table])</f>
        <v>Table 4.9</v>
      </c>
      <c r="I1014" s="22" t="str">
        <f>_xlfn.XLOOKUP(tblRequirementMeasureXref[[#This Row],[msr_id]],tblMeasure[msr_id],tblMeasure[msr_name])</f>
        <v>Proportion of directly employed staff who left their role in the previous 12 months</v>
      </c>
      <c r="J1014" s="22" t="str">
        <f>_xlfn.XLOOKUP(tblRequirementMeasureXref[[#This Row],[msr_id]],tblMeasure[msr_id],tblMeasure[primary_dimensions])</f>
        <v>turnover, role group</v>
      </c>
      <c r="K1014" s="22" t="str">
        <f>_xlfn.XLOOKUP(tblRequirementMeasureXref[[#This Row],[msr_id]],tblMeasure[msr_id],tblMeasure[msr_min_geo_resolution])</f>
        <v>Region</v>
      </c>
      <c r="L1014" s="22" t="str">
        <f>_xlfn.XLOOKUP(tblRequirementMeasureXref[[#This Row],[msr_id]],tblMeasure[msr_id],tblMeasure[src_name])</f>
        <v>State of the ASC sector and workforce</v>
      </c>
    </row>
    <row r="1015" spans="1:12" x14ac:dyDescent="0.15">
      <c r="A1015" s="1" t="str">
        <f>_xlfn.XLOOKUP(tblRequirementMeasureXref[[#This Row],[dm_id]],tblDataRequirement[dm_id],tblDataRequirement[domain_sub_requirement])</f>
        <v>Service:Support setting:Residential care home</v>
      </c>
      <c r="B1015" s="1" t="str">
        <f>_xlfn.XLOOKUP(tblRequirementMeasureXref[[#This Row],[dm_id]],tblDataRequirement[dm_id],tblDataRequirement[dm_phase])</f>
        <v>operate</v>
      </c>
      <c r="C1015" s="1">
        <v>41</v>
      </c>
      <c r="D1015" s="1">
        <v>272</v>
      </c>
      <c r="G1015" s="1"/>
      <c r="H1015" s="62" t="str">
        <f>_xlfn.XLOOKUP(tblRequirementMeasureXref[[#This Row],[msr_id]],tblMeasure[msr_id],tblMeasure[msr_table])</f>
        <v>Table 4.9</v>
      </c>
      <c r="I1015" s="22" t="str">
        <f>_xlfn.XLOOKUP(tblRequirementMeasureXref[[#This Row],[msr_id]],tblMeasure[msr_id],tblMeasure[msr_name])</f>
        <v>Proportion of directly employed staff who left their role in the previous 12 months</v>
      </c>
      <c r="J1015" s="22" t="str">
        <f>_xlfn.XLOOKUP(tblRequirementMeasureXref[[#This Row],[msr_id]],tblMeasure[msr_id],tblMeasure[primary_dimensions])</f>
        <v>turnover, role group</v>
      </c>
      <c r="K1015" s="22" t="str">
        <f>_xlfn.XLOOKUP(tblRequirementMeasureXref[[#This Row],[msr_id]],tblMeasure[msr_id],tblMeasure[msr_min_geo_resolution])</f>
        <v>Region</v>
      </c>
      <c r="L1015" s="22" t="str">
        <f>_xlfn.XLOOKUP(tblRequirementMeasureXref[[#This Row],[msr_id]],tblMeasure[msr_id],tblMeasure[src_name])</f>
        <v>State of the ASC sector and workforce</v>
      </c>
    </row>
    <row r="1016" spans="1:12" x14ac:dyDescent="0.15">
      <c r="A1016" s="1" t="str">
        <f>_xlfn.XLOOKUP(tblRequirementMeasureXref[[#This Row],[dm_id]],tblDataRequirement[dm_id],tblDataRequirement[domain_sub_requirement])</f>
        <v>Service:Support setting:Nursing home</v>
      </c>
      <c r="B1016" s="1" t="str">
        <f>_xlfn.XLOOKUP(tblRequirementMeasureXref[[#This Row],[dm_id]],tblDataRequirement[dm_id],tblDataRequirement[dm_phase])</f>
        <v>operate</v>
      </c>
      <c r="C1016" s="1">
        <v>42</v>
      </c>
      <c r="D1016" s="1">
        <v>272</v>
      </c>
      <c r="G1016" s="1"/>
      <c r="H1016" s="62" t="str">
        <f>_xlfn.XLOOKUP(tblRequirementMeasureXref[[#This Row],[msr_id]],tblMeasure[msr_id],tblMeasure[msr_table])</f>
        <v>Table 4.9</v>
      </c>
      <c r="I1016" s="22" t="str">
        <f>_xlfn.XLOOKUP(tblRequirementMeasureXref[[#This Row],[msr_id]],tblMeasure[msr_id],tblMeasure[msr_name])</f>
        <v>Proportion of directly employed staff who left their role in the previous 12 months</v>
      </c>
      <c r="J1016" s="22" t="str">
        <f>_xlfn.XLOOKUP(tblRequirementMeasureXref[[#This Row],[msr_id]],tblMeasure[msr_id],tblMeasure[primary_dimensions])</f>
        <v>turnover, role group</v>
      </c>
      <c r="K1016" s="22" t="str">
        <f>_xlfn.XLOOKUP(tblRequirementMeasureXref[[#This Row],[msr_id]],tblMeasure[msr_id],tblMeasure[msr_min_geo_resolution])</f>
        <v>Region</v>
      </c>
      <c r="L1016" s="22" t="str">
        <f>_xlfn.XLOOKUP(tblRequirementMeasureXref[[#This Row],[msr_id]],tblMeasure[msr_id],tblMeasure[src_name])</f>
        <v>State of the ASC sector and workforce</v>
      </c>
    </row>
    <row r="1017" spans="1:12" x14ac:dyDescent="0.15">
      <c r="A1017" s="1" t="str">
        <f>_xlfn.XLOOKUP(tblRequirementMeasureXref[[#This Row],[dm_id]],tblDataRequirement[dm_id],tblDataRequirement[domain_sub_requirement])</f>
        <v>Service:Support setting:Community</v>
      </c>
      <c r="B1017" s="1" t="str">
        <f>_xlfn.XLOOKUP(tblRequirementMeasureXref[[#This Row],[dm_id]],tblDataRequirement[dm_id],tblDataRequirement[dm_phase])</f>
        <v>operate</v>
      </c>
      <c r="C1017" s="1">
        <v>43</v>
      </c>
      <c r="D1017" s="1">
        <v>272</v>
      </c>
      <c r="G1017" s="1"/>
      <c r="H1017" s="62" t="str">
        <f>_xlfn.XLOOKUP(tblRequirementMeasureXref[[#This Row],[msr_id]],tblMeasure[msr_id],tblMeasure[msr_table])</f>
        <v>Table 4.9</v>
      </c>
      <c r="I1017" s="22" t="str">
        <f>_xlfn.XLOOKUP(tblRequirementMeasureXref[[#This Row],[msr_id]],tblMeasure[msr_id],tblMeasure[msr_name])</f>
        <v>Proportion of directly employed staff who left their role in the previous 12 months</v>
      </c>
      <c r="J1017" s="22" t="str">
        <f>_xlfn.XLOOKUP(tblRequirementMeasureXref[[#This Row],[msr_id]],tblMeasure[msr_id],tblMeasure[primary_dimensions])</f>
        <v>turnover, role group</v>
      </c>
      <c r="K1017" s="22" t="str">
        <f>_xlfn.XLOOKUP(tblRequirementMeasureXref[[#This Row],[msr_id]],tblMeasure[msr_id],tblMeasure[msr_min_geo_resolution])</f>
        <v>Region</v>
      </c>
      <c r="L1017" s="22" t="str">
        <f>_xlfn.XLOOKUP(tblRequirementMeasureXref[[#This Row],[msr_id]],tblMeasure[msr_id],tblMeasure[src_name])</f>
        <v>State of the ASC sector and workforce</v>
      </c>
    </row>
    <row r="1018" spans="1:12" x14ac:dyDescent="0.15">
      <c r="A1018" s="1" t="str">
        <f>_xlfn.XLOOKUP(tblRequirementMeasureXref[[#This Row],[dm_id]],tblDataRequirement[dm_id],tblDataRequirement[domain_sub_requirement])</f>
        <v>Providers:Type:Organisations</v>
      </c>
      <c r="B1018" s="1" t="str">
        <f>_xlfn.XLOOKUP(tblRequirementMeasureXref[[#This Row],[dm_id]],tblDataRequirement[dm_id],tblDataRequirement[dm_phase])</f>
        <v>operate</v>
      </c>
      <c r="C1018" s="1">
        <v>60</v>
      </c>
      <c r="D1018" s="1">
        <v>272</v>
      </c>
      <c r="G1018" s="1"/>
      <c r="H1018" s="62" t="str">
        <f>_xlfn.XLOOKUP(tblRequirementMeasureXref[[#This Row],[msr_id]],tblMeasure[msr_id],tblMeasure[msr_table])</f>
        <v>Table 4.9</v>
      </c>
      <c r="I1018" s="22" t="str">
        <f>_xlfn.XLOOKUP(tblRequirementMeasureXref[[#This Row],[msr_id]],tblMeasure[msr_id],tblMeasure[msr_name])</f>
        <v>Proportion of directly employed staff who left their role in the previous 12 months</v>
      </c>
      <c r="J1018" s="22" t="str">
        <f>_xlfn.XLOOKUP(tblRequirementMeasureXref[[#This Row],[msr_id]],tblMeasure[msr_id],tblMeasure[primary_dimensions])</f>
        <v>turnover, role group</v>
      </c>
      <c r="K1018" s="22" t="str">
        <f>_xlfn.XLOOKUP(tblRequirementMeasureXref[[#This Row],[msr_id]],tblMeasure[msr_id],tblMeasure[msr_min_geo_resolution])</f>
        <v>Region</v>
      </c>
      <c r="L1018" s="22" t="str">
        <f>_xlfn.XLOOKUP(tblRequirementMeasureXref[[#This Row],[msr_id]],tblMeasure[msr_id],tblMeasure[src_name])</f>
        <v>State of the ASC sector and workforce</v>
      </c>
    </row>
    <row r="1019" spans="1:12" x14ac:dyDescent="0.15">
      <c r="A1019" s="1" t="str">
        <f>_xlfn.XLOOKUP(tblRequirementMeasureXref[[#This Row],[dm_id]],tblDataRequirement[dm_id],tblDataRequirement[domain_sub_requirement])</f>
        <v>Users:Income:Direct payments</v>
      </c>
      <c r="B1019" s="1" t="str">
        <f>_xlfn.XLOOKUP(tblRequirementMeasureXref[[#This Row],[dm_id]],tblDataRequirement[dm_id],tblDataRequirement[dm_phase])</f>
        <v>supply</v>
      </c>
      <c r="C1019" s="1">
        <v>71</v>
      </c>
      <c r="D1019" s="1">
        <v>272</v>
      </c>
      <c r="G1019" s="1"/>
      <c r="H1019" s="62" t="str">
        <f>_xlfn.XLOOKUP(tblRequirementMeasureXref[[#This Row],[msr_id]],tblMeasure[msr_id],tblMeasure[msr_table])</f>
        <v>Table 4.9</v>
      </c>
      <c r="I1019" s="22" t="str">
        <f>_xlfn.XLOOKUP(tblRequirementMeasureXref[[#This Row],[msr_id]],tblMeasure[msr_id],tblMeasure[msr_name])</f>
        <v>Proportion of directly employed staff who left their role in the previous 12 months</v>
      </c>
      <c r="J1019" s="22" t="str">
        <f>_xlfn.XLOOKUP(tblRequirementMeasureXref[[#This Row],[msr_id]],tblMeasure[msr_id],tblMeasure[primary_dimensions])</f>
        <v>turnover, role group</v>
      </c>
      <c r="K1019" s="22" t="str">
        <f>_xlfn.XLOOKUP(tblRequirementMeasureXref[[#This Row],[msr_id]],tblMeasure[msr_id],tblMeasure[msr_min_geo_resolution])</f>
        <v>Region</v>
      </c>
      <c r="L1019" s="22" t="str">
        <f>_xlfn.XLOOKUP(tblRequirementMeasureXref[[#This Row],[msr_id]],tblMeasure[msr_id],tblMeasure[src_name])</f>
        <v>State of the ASC sector and workforce</v>
      </c>
    </row>
    <row r="1020" spans="1:12" x14ac:dyDescent="0.15">
      <c r="A1020" s="1" t="str">
        <f>_xlfn.XLOOKUP(tblRequirementMeasureXref[[#This Row],[dm_id]],tblDataRequirement[dm_id],tblDataRequirement[domain_sub_requirement])</f>
        <v>Providers:Workforce:Filled jobs</v>
      </c>
      <c r="B1020" s="1" t="str">
        <f>_xlfn.XLOOKUP(tblRequirementMeasureXref[[#This Row],[dm_id]],tblDataRequirement[dm_id],tblDataRequirement[dm_phase])</f>
        <v>supply</v>
      </c>
      <c r="C1020" s="1">
        <v>10</v>
      </c>
      <c r="D1020" s="1">
        <v>274</v>
      </c>
      <c r="G1020" s="1"/>
      <c r="H1020" s="62" t="str">
        <f>_xlfn.XLOOKUP(tblRequirementMeasureXref[[#This Row],[msr_id]],tblMeasure[msr_id],tblMeasure[msr_table])</f>
        <v>Table 4.11</v>
      </c>
      <c r="I1020" s="22" t="str">
        <f>_xlfn.XLOOKUP(tblRequirementMeasureXref[[#This Row],[msr_id]],tblMeasure[msr_id],tblMeasure[msr_name])</f>
        <v>Reasons for leaving role</v>
      </c>
      <c r="J1020" s="22" t="str">
        <f>_xlfn.XLOOKUP(tblRequirementMeasureXref[[#This Row],[msr_id]],tblMeasure[msr_id],tblMeasure[primary_dimensions])</f>
        <v>reasons for leaving</v>
      </c>
      <c r="K1020" s="22" t="str">
        <f>_xlfn.XLOOKUP(tblRequirementMeasureXref[[#This Row],[msr_id]],tblMeasure[msr_id],tblMeasure[msr_min_geo_resolution])</f>
        <v>Region</v>
      </c>
      <c r="L1020" s="22" t="str">
        <f>_xlfn.XLOOKUP(tblRequirementMeasureXref[[#This Row],[msr_id]],tblMeasure[msr_id],tblMeasure[src_name])</f>
        <v>State of the ASC sector and workforce</v>
      </c>
    </row>
    <row r="1021" spans="1:12" x14ac:dyDescent="0.15">
      <c r="A1021" s="1" t="str">
        <f>_xlfn.XLOOKUP(tblRequirementMeasureXref[[#This Row],[dm_id]],tblDataRequirement[dm_id],tblDataRequirement[domain_sub_requirement])</f>
        <v>Providers:Workforce:Retention/turnover</v>
      </c>
      <c r="B1021" s="1" t="str">
        <f>_xlfn.XLOOKUP(tblRequirementMeasureXref[[#This Row],[dm_id]],tblDataRequirement[dm_id],tblDataRequirement[dm_phase])</f>
        <v>operate</v>
      </c>
      <c r="C1021" s="1">
        <v>12</v>
      </c>
      <c r="D1021" s="1">
        <v>274</v>
      </c>
      <c r="G1021" s="1"/>
      <c r="H1021" s="62" t="str">
        <f>_xlfn.XLOOKUP(tblRequirementMeasureXref[[#This Row],[msr_id]],tblMeasure[msr_id],tblMeasure[msr_table])</f>
        <v>Table 4.11</v>
      </c>
      <c r="I1021" s="22" t="str">
        <f>_xlfn.XLOOKUP(tblRequirementMeasureXref[[#This Row],[msr_id]],tblMeasure[msr_id],tblMeasure[msr_name])</f>
        <v>Reasons for leaving role</v>
      </c>
      <c r="J1021" s="22" t="str">
        <f>_xlfn.XLOOKUP(tblRequirementMeasureXref[[#This Row],[msr_id]],tblMeasure[msr_id],tblMeasure[primary_dimensions])</f>
        <v>reasons for leaving</v>
      </c>
      <c r="K1021" s="22" t="str">
        <f>_xlfn.XLOOKUP(tblRequirementMeasureXref[[#This Row],[msr_id]],tblMeasure[msr_id],tblMeasure[msr_min_geo_resolution])</f>
        <v>Region</v>
      </c>
      <c r="L1021" s="22" t="str">
        <f>_xlfn.XLOOKUP(tblRequirementMeasureXref[[#This Row],[msr_id]],tblMeasure[msr_id],tblMeasure[src_name])</f>
        <v>State of the ASC sector and workforce</v>
      </c>
    </row>
    <row r="1022" spans="1:12" x14ac:dyDescent="0.15">
      <c r="A1022" s="1" t="str">
        <f>_xlfn.XLOOKUP(tblRequirementMeasureXref[[#This Row],[dm_id]],tblDataRequirement[dm_id],tblDataRequirement[domain_sub_requirement])</f>
        <v>Service:Support setting:Home</v>
      </c>
      <c r="B1022" s="1" t="str">
        <f>_xlfn.XLOOKUP(tblRequirementMeasureXref[[#This Row],[dm_id]],tblDataRequirement[dm_id],tblDataRequirement[dm_phase])</f>
        <v>operate</v>
      </c>
      <c r="C1022" s="1">
        <v>40</v>
      </c>
      <c r="D1022" s="1">
        <v>274</v>
      </c>
      <c r="G1022" s="1"/>
      <c r="H1022" s="62" t="str">
        <f>_xlfn.XLOOKUP(tblRequirementMeasureXref[[#This Row],[msr_id]],tblMeasure[msr_id],tblMeasure[msr_table])</f>
        <v>Table 4.11</v>
      </c>
      <c r="I1022" s="22" t="str">
        <f>_xlfn.XLOOKUP(tblRequirementMeasureXref[[#This Row],[msr_id]],tblMeasure[msr_id],tblMeasure[msr_name])</f>
        <v>Reasons for leaving role</v>
      </c>
      <c r="J1022" s="22" t="str">
        <f>_xlfn.XLOOKUP(tblRequirementMeasureXref[[#This Row],[msr_id]],tblMeasure[msr_id],tblMeasure[primary_dimensions])</f>
        <v>reasons for leaving</v>
      </c>
      <c r="K1022" s="22" t="str">
        <f>_xlfn.XLOOKUP(tblRequirementMeasureXref[[#This Row],[msr_id]],tblMeasure[msr_id],tblMeasure[msr_min_geo_resolution])</f>
        <v>Region</v>
      </c>
      <c r="L1022" s="22" t="str">
        <f>_xlfn.XLOOKUP(tblRequirementMeasureXref[[#This Row],[msr_id]],tblMeasure[msr_id],tblMeasure[src_name])</f>
        <v>State of the ASC sector and workforce</v>
      </c>
    </row>
    <row r="1023" spans="1:12" x14ac:dyDescent="0.15">
      <c r="A1023" s="1" t="str">
        <f>_xlfn.XLOOKUP(tblRequirementMeasureXref[[#This Row],[dm_id]],tblDataRequirement[dm_id],tblDataRequirement[domain_sub_requirement])</f>
        <v>Service:Support setting:Residential care home</v>
      </c>
      <c r="B1023" s="1" t="str">
        <f>_xlfn.XLOOKUP(tblRequirementMeasureXref[[#This Row],[dm_id]],tblDataRequirement[dm_id],tblDataRequirement[dm_phase])</f>
        <v>operate</v>
      </c>
      <c r="C1023" s="1">
        <v>41</v>
      </c>
      <c r="D1023" s="1">
        <v>274</v>
      </c>
      <c r="G1023" s="1"/>
      <c r="H1023" s="62" t="str">
        <f>_xlfn.XLOOKUP(tblRequirementMeasureXref[[#This Row],[msr_id]],tblMeasure[msr_id],tblMeasure[msr_table])</f>
        <v>Table 4.11</v>
      </c>
      <c r="I1023" s="22" t="str">
        <f>_xlfn.XLOOKUP(tblRequirementMeasureXref[[#This Row],[msr_id]],tblMeasure[msr_id],tblMeasure[msr_name])</f>
        <v>Reasons for leaving role</v>
      </c>
      <c r="J1023" s="22" t="str">
        <f>_xlfn.XLOOKUP(tblRequirementMeasureXref[[#This Row],[msr_id]],tblMeasure[msr_id],tblMeasure[primary_dimensions])</f>
        <v>reasons for leaving</v>
      </c>
      <c r="K1023" s="22" t="str">
        <f>_xlfn.XLOOKUP(tblRequirementMeasureXref[[#This Row],[msr_id]],tblMeasure[msr_id],tblMeasure[msr_min_geo_resolution])</f>
        <v>Region</v>
      </c>
      <c r="L1023" s="22" t="str">
        <f>_xlfn.XLOOKUP(tblRequirementMeasureXref[[#This Row],[msr_id]],tblMeasure[msr_id],tblMeasure[src_name])</f>
        <v>State of the ASC sector and workforce</v>
      </c>
    </row>
    <row r="1024" spans="1:12" x14ac:dyDescent="0.15">
      <c r="A1024" s="1" t="str">
        <f>_xlfn.XLOOKUP(tblRequirementMeasureXref[[#This Row],[dm_id]],tblDataRequirement[dm_id],tblDataRequirement[domain_sub_requirement])</f>
        <v>Service:Support setting:Nursing home</v>
      </c>
      <c r="B1024" s="1" t="str">
        <f>_xlfn.XLOOKUP(tblRequirementMeasureXref[[#This Row],[dm_id]],tblDataRequirement[dm_id],tblDataRequirement[dm_phase])</f>
        <v>operate</v>
      </c>
      <c r="C1024" s="1">
        <v>42</v>
      </c>
      <c r="D1024" s="1">
        <v>274</v>
      </c>
      <c r="G1024" s="1"/>
      <c r="H1024" s="62" t="str">
        <f>_xlfn.XLOOKUP(tblRequirementMeasureXref[[#This Row],[msr_id]],tblMeasure[msr_id],tblMeasure[msr_table])</f>
        <v>Table 4.11</v>
      </c>
      <c r="I1024" s="22" t="str">
        <f>_xlfn.XLOOKUP(tblRequirementMeasureXref[[#This Row],[msr_id]],tblMeasure[msr_id],tblMeasure[msr_name])</f>
        <v>Reasons for leaving role</v>
      </c>
      <c r="J1024" s="22" t="str">
        <f>_xlfn.XLOOKUP(tblRequirementMeasureXref[[#This Row],[msr_id]],tblMeasure[msr_id],tblMeasure[primary_dimensions])</f>
        <v>reasons for leaving</v>
      </c>
      <c r="K1024" s="22" t="str">
        <f>_xlfn.XLOOKUP(tblRequirementMeasureXref[[#This Row],[msr_id]],tblMeasure[msr_id],tblMeasure[msr_min_geo_resolution])</f>
        <v>Region</v>
      </c>
      <c r="L1024" s="22" t="str">
        <f>_xlfn.XLOOKUP(tblRequirementMeasureXref[[#This Row],[msr_id]],tblMeasure[msr_id],tblMeasure[src_name])</f>
        <v>State of the ASC sector and workforce</v>
      </c>
    </row>
    <row r="1025" spans="1:12" x14ac:dyDescent="0.15">
      <c r="A1025" s="1" t="str">
        <f>_xlfn.XLOOKUP(tblRequirementMeasureXref[[#This Row],[dm_id]],tblDataRequirement[dm_id],tblDataRequirement[domain_sub_requirement])</f>
        <v>Service:Support setting:Community</v>
      </c>
      <c r="B1025" s="1" t="str">
        <f>_xlfn.XLOOKUP(tblRequirementMeasureXref[[#This Row],[dm_id]],tblDataRequirement[dm_id],tblDataRequirement[dm_phase])</f>
        <v>operate</v>
      </c>
      <c r="C1025" s="1">
        <v>43</v>
      </c>
      <c r="D1025" s="1">
        <v>274</v>
      </c>
      <c r="G1025" s="1"/>
      <c r="H1025" s="62" t="str">
        <f>_xlfn.XLOOKUP(tblRequirementMeasureXref[[#This Row],[msr_id]],tblMeasure[msr_id],tblMeasure[msr_table])</f>
        <v>Table 4.11</v>
      </c>
      <c r="I1025" s="22" t="str">
        <f>_xlfn.XLOOKUP(tblRequirementMeasureXref[[#This Row],[msr_id]],tblMeasure[msr_id],tblMeasure[msr_name])</f>
        <v>Reasons for leaving role</v>
      </c>
      <c r="J1025" s="22" t="str">
        <f>_xlfn.XLOOKUP(tblRequirementMeasureXref[[#This Row],[msr_id]],tblMeasure[msr_id],tblMeasure[primary_dimensions])</f>
        <v>reasons for leaving</v>
      </c>
      <c r="K1025" s="22" t="str">
        <f>_xlfn.XLOOKUP(tblRequirementMeasureXref[[#This Row],[msr_id]],tblMeasure[msr_id],tblMeasure[msr_min_geo_resolution])</f>
        <v>Region</v>
      </c>
      <c r="L1025" s="22" t="str">
        <f>_xlfn.XLOOKUP(tblRequirementMeasureXref[[#This Row],[msr_id]],tblMeasure[msr_id],tblMeasure[src_name])</f>
        <v>State of the ASC sector and workforce</v>
      </c>
    </row>
    <row r="1026" spans="1:12" x14ac:dyDescent="0.15">
      <c r="A1026" s="1" t="str">
        <f>_xlfn.XLOOKUP(tblRequirementMeasureXref[[#This Row],[dm_id]],tblDataRequirement[dm_id],tblDataRequirement[domain_sub_requirement])</f>
        <v>Providers:Type:Organisations</v>
      </c>
      <c r="B1026" s="1" t="str">
        <f>_xlfn.XLOOKUP(tblRequirementMeasureXref[[#This Row],[dm_id]],tblDataRequirement[dm_id],tblDataRequirement[dm_phase])</f>
        <v>operate</v>
      </c>
      <c r="C1026" s="1">
        <v>60</v>
      </c>
      <c r="D1026" s="1">
        <v>274</v>
      </c>
      <c r="G1026" s="1"/>
      <c r="H1026" s="62" t="str">
        <f>_xlfn.XLOOKUP(tblRequirementMeasureXref[[#This Row],[msr_id]],tblMeasure[msr_id],tblMeasure[msr_table])</f>
        <v>Table 4.11</v>
      </c>
      <c r="I1026" s="22" t="str">
        <f>_xlfn.XLOOKUP(tblRequirementMeasureXref[[#This Row],[msr_id]],tblMeasure[msr_id],tblMeasure[msr_name])</f>
        <v>Reasons for leaving role</v>
      </c>
      <c r="J1026" s="22" t="str">
        <f>_xlfn.XLOOKUP(tblRequirementMeasureXref[[#This Row],[msr_id]],tblMeasure[msr_id],tblMeasure[primary_dimensions])</f>
        <v>reasons for leaving</v>
      </c>
      <c r="K1026" s="22" t="str">
        <f>_xlfn.XLOOKUP(tblRequirementMeasureXref[[#This Row],[msr_id]],tblMeasure[msr_id],tblMeasure[msr_min_geo_resolution])</f>
        <v>Region</v>
      </c>
      <c r="L1026" s="22" t="str">
        <f>_xlfn.XLOOKUP(tblRequirementMeasureXref[[#This Row],[msr_id]],tblMeasure[msr_id],tblMeasure[src_name])</f>
        <v>State of the ASC sector and workforce</v>
      </c>
    </row>
    <row r="1027" spans="1:12" x14ac:dyDescent="0.15">
      <c r="A1027" s="1" t="str">
        <f>_xlfn.XLOOKUP(tblRequirementMeasureXref[[#This Row],[dm_id]],tblDataRequirement[dm_id],tblDataRequirement[domain_sub_requirement])</f>
        <v>Providers:Workforce:Filled jobs</v>
      </c>
      <c r="B1027" s="1" t="str">
        <f>_xlfn.XLOOKUP(tblRequirementMeasureXref[[#This Row],[dm_id]],tblDataRequirement[dm_id],tblDataRequirement[dm_phase])</f>
        <v>supply</v>
      </c>
      <c r="C1027" s="1">
        <v>10</v>
      </c>
      <c r="D1027" s="1">
        <v>275</v>
      </c>
      <c r="G1027" s="1"/>
      <c r="H1027" s="62" t="str">
        <f>_xlfn.XLOOKUP(tblRequirementMeasureXref[[#This Row],[msr_id]],tblMeasure[msr_id],tblMeasure[msr_table])</f>
        <v>Table 4.12</v>
      </c>
      <c r="I1027" s="22" t="str">
        <f>_xlfn.XLOOKUP(tblRequirementMeasureXref[[#This Row],[msr_id]],tblMeasure[msr_id],tblMeasure[msr_name])</f>
        <v>Destination of leavers</v>
      </c>
      <c r="J1027" s="22" t="str">
        <f>_xlfn.XLOOKUP(tblRequirementMeasureXref[[#This Row],[msr_id]],tblMeasure[msr_id],tblMeasure[primary_dimensions])</f>
        <v>leaver destination</v>
      </c>
      <c r="K1027" s="22" t="str">
        <f>_xlfn.XLOOKUP(tblRequirementMeasureXref[[#This Row],[msr_id]],tblMeasure[msr_id],tblMeasure[msr_min_geo_resolution])</f>
        <v>Region</v>
      </c>
      <c r="L1027" s="22" t="str">
        <f>_xlfn.XLOOKUP(tblRequirementMeasureXref[[#This Row],[msr_id]],tblMeasure[msr_id],tblMeasure[src_name])</f>
        <v>State of the ASC sector and workforce</v>
      </c>
    </row>
    <row r="1028" spans="1:12" x14ac:dyDescent="0.15">
      <c r="A1028" s="1" t="str">
        <f>_xlfn.XLOOKUP(tblRequirementMeasureXref[[#This Row],[dm_id]],tblDataRequirement[dm_id],tblDataRequirement[domain_sub_requirement])</f>
        <v>Providers:Workforce:Retention/turnover</v>
      </c>
      <c r="B1028" s="1" t="str">
        <f>_xlfn.XLOOKUP(tblRequirementMeasureXref[[#This Row],[dm_id]],tblDataRequirement[dm_id],tblDataRequirement[dm_phase])</f>
        <v>operate</v>
      </c>
      <c r="C1028" s="1">
        <v>12</v>
      </c>
      <c r="D1028" s="1">
        <v>275</v>
      </c>
      <c r="G1028" s="1"/>
      <c r="H1028" s="62" t="str">
        <f>_xlfn.XLOOKUP(tblRequirementMeasureXref[[#This Row],[msr_id]],tblMeasure[msr_id],tblMeasure[msr_table])</f>
        <v>Table 4.12</v>
      </c>
      <c r="I1028" s="22" t="str">
        <f>_xlfn.XLOOKUP(tblRequirementMeasureXref[[#This Row],[msr_id]],tblMeasure[msr_id],tblMeasure[msr_name])</f>
        <v>Destination of leavers</v>
      </c>
      <c r="J1028" s="22" t="str">
        <f>_xlfn.XLOOKUP(tblRequirementMeasureXref[[#This Row],[msr_id]],tblMeasure[msr_id],tblMeasure[primary_dimensions])</f>
        <v>leaver destination</v>
      </c>
      <c r="K1028" s="22" t="str">
        <f>_xlfn.XLOOKUP(tblRequirementMeasureXref[[#This Row],[msr_id]],tblMeasure[msr_id],tblMeasure[msr_min_geo_resolution])</f>
        <v>Region</v>
      </c>
      <c r="L1028" s="22" t="str">
        <f>_xlfn.XLOOKUP(tblRequirementMeasureXref[[#This Row],[msr_id]],tblMeasure[msr_id],tblMeasure[src_name])</f>
        <v>State of the ASC sector and workforce</v>
      </c>
    </row>
    <row r="1029" spans="1:12" x14ac:dyDescent="0.15">
      <c r="A1029" s="1" t="str">
        <f>_xlfn.XLOOKUP(tblRequirementMeasureXref[[#This Row],[dm_id]],tblDataRequirement[dm_id],tblDataRequirement[domain_sub_requirement])</f>
        <v>Service:Support setting:Home</v>
      </c>
      <c r="B1029" s="1" t="str">
        <f>_xlfn.XLOOKUP(tblRequirementMeasureXref[[#This Row],[dm_id]],tblDataRequirement[dm_id],tblDataRequirement[dm_phase])</f>
        <v>operate</v>
      </c>
      <c r="C1029" s="1">
        <v>40</v>
      </c>
      <c r="D1029" s="1">
        <v>275</v>
      </c>
      <c r="G1029" s="1"/>
      <c r="H1029" s="62" t="str">
        <f>_xlfn.XLOOKUP(tblRequirementMeasureXref[[#This Row],[msr_id]],tblMeasure[msr_id],tblMeasure[msr_table])</f>
        <v>Table 4.12</v>
      </c>
      <c r="I1029" s="22" t="str">
        <f>_xlfn.XLOOKUP(tblRequirementMeasureXref[[#This Row],[msr_id]],tblMeasure[msr_id],tblMeasure[msr_name])</f>
        <v>Destination of leavers</v>
      </c>
      <c r="J1029" s="22" t="str">
        <f>_xlfn.XLOOKUP(tblRequirementMeasureXref[[#This Row],[msr_id]],tblMeasure[msr_id],tblMeasure[primary_dimensions])</f>
        <v>leaver destination</v>
      </c>
      <c r="K1029" s="22" t="str">
        <f>_xlfn.XLOOKUP(tblRequirementMeasureXref[[#This Row],[msr_id]],tblMeasure[msr_id],tblMeasure[msr_min_geo_resolution])</f>
        <v>Region</v>
      </c>
      <c r="L1029" s="22" t="str">
        <f>_xlfn.XLOOKUP(tblRequirementMeasureXref[[#This Row],[msr_id]],tblMeasure[msr_id],tblMeasure[src_name])</f>
        <v>State of the ASC sector and workforce</v>
      </c>
    </row>
    <row r="1030" spans="1:12" x14ac:dyDescent="0.15">
      <c r="A1030" s="1" t="str">
        <f>_xlfn.XLOOKUP(tblRequirementMeasureXref[[#This Row],[dm_id]],tblDataRequirement[dm_id],tblDataRequirement[domain_sub_requirement])</f>
        <v>Service:Support setting:Residential care home</v>
      </c>
      <c r="B1030" s="1" t="str">
        <f>_xlfn.XLOOKUP(tblRequirementMeasureXref[[#This Row],[dm_id]],tblDataRequirement[dm_id],tblDataRequirement[dm_phase])</f>
        <v>operate</v>
      </c>
      <c r="C1030" s="1">
        <v>41</v>
      </c>
      <c r="D1030" s="1">
        <v>275</v>
      </c>
      <c r="G1030" s="1"/>
      <c r="H1030" s="62" t="str">
        <f>_xlfn.XLOOKUP(tblRequirementMeasureXref[[#This Row],[msr_id]],tblMeasure[msr_id],tblMeasure[msr_table])</f>
        <v>Table 4.12</v>
      </c>
      <c r="I1030" s="22" t="str">
        <f>_xlfn.XLOOKUP(tblRequirementMeasureXref[[#This Row],[msr_id]],tblMeasure[msr_id],tblMeasure[msr_name])</f>
        <v>Destination of leavers</v>
      </c>
      <c r="J1030" s="22" t="str">
        <f>_xlfn.XLOOKUP(tblRequirementMeasureXref[[#This Row],[msr_id]],tblMeasure[msr_id],tblMeasure[primary_dimensions])</f>
        <v>leaver destination</v>
      </c>
      <c r="K1030" s="22" t="str">
        <f>_xlfn.XLOOKUP(tblRequirementMeasureXref[[#This Row],[msr_id]],tblMeasure[msr_id],tblMeasure[msr_min_geo_resolution])</f>
        <v>Region</v>
      </c>
      <c r="L1030" s="22" t="str">
        <f>_xlfn.XLOOKUP(tblRequirementMeasureXref[[#This Row],[msr_id]],tblMeasure[msr_id],tblMeasure[src_name])</f>
        <v>State of the ASC sector and workforce</v>
      </c>
    </row>
    <row r="1031" spans="1:12" x14ac:dyDescent="0.15">
      <c r="A1031" s="1" t="str">
        <f>_xlfn.XLOOKUP(tblRequirementMeasureXref[[#This Row],[dm_id]],tblDataRequirement[dm_id],tblDataRequirement[domain_sub_requirement])</f>
        <v>Service:Support setting:Nursing home</v>
      </c>
      <c r="B1031" s="1" t="str">
        <f>_xlfn.XLOOKUP(tblRequirementMeasureXref[[#This Row],[dm_id]],tblDataRequirement[dm_id],tblDataRequirement[dm_phase])</f>
        <v>operate</v>
      </c>
      <c r="C1031" s="1">
        <v>42</v>
      </c>
      <c r="D1031" s="1">
        <v>275</v>
      </c>
      <c r="G1031" s="1"/>
      <c r="H1031" s="62" t="str">
        <f>_xlfn.XLOOKUP(tblRequirementMeasureXref[[#This Row],[msr_id]],tblMeasure[msr_id],tblMeasure[msr_table])</f>
        <v>Table 4.12</v>
      </c>
      <c r="I1031" s="22" t="str">
        <f>_xlfn.XLOOKUP(tblRequirementMeasureXref[[#This Row],[msr_id]],tblMeasure[msr_id],tblMeasure[msr_name])</f>
        <v>Destination of leavers</v>
      </c>
      <c r="J1031" s="22" t="str">
        <f>_xlfn.XLOOKUP(tblRequirementMeasureXref[[#This Row],[msr_id]],tblMeasure[msr_id],tblMeasure[primary_dimensions])</f>
        <v>leaver destination</v>
      </c>
      <c r="K1031" s="22" t="str">
        <f>_xlfn.XLOOKUP(tblRequirementMeasureXref[[#This Row],[msr_id]],tblMeasure[msr_id],tblMeasure[msr_min_geo_resolution])</f>
        <v>Region</v>
      </c>
      <c r="L1031" s="22" t="str">
        <f>_xlfn.XLOOKUP(tblRequirementMeasureXref[[#This Row],[msr_id]],tblMeasure[msr_id],tblMeasure[src_name])</f>
        <v>State of the ASC sector and workforce</v>
      </c>
    </row>
    <row r="1032" spans="1:12" x14ac:dyDescent="0.15">
      <c r="A1032" s="1" t="str">
        <f>_xlfn.XLOOKUP(tblRequirementMeasureXref[[#This Row],[dm_id]],tblDataRequirement[dm_id],tblDataRequirement[domain_sub_requirement])</f>
        <v>Service:Support setting:Community</v>
      </c>
      <c r="B1032" s="1" t="str">
        <f>_xlfn.XLOOKUP(tblRequirementMeasureXref[[#This Row],[dm_id]],tblDataRequirement[dm_id],tblDataRequirement[dm_phase])</f>
        <v>operate</v>
      </c>
      <c r="C1032" s="1">
        <v>43</v>
      </c>
      <c r="D1032" s="1">
        <v>275</v>
      </c>
      <c r="G1032" s="1"/>
      <c r="H1032" s="62" t="str">
        <f>_xlfn.XLOOKUP(tblRequirementMeasureXref[[#This Row],[msr_id]],tblMeasure[msr_id],tblMeasure[msr_table])</f>
        <v>Table 4.12</v>
      </c>
      <c r="I1032" s="22" t="str">
        <f>_xlfn.XLOOKUP(tblRequirementMeasureXref[[#This Row],[msr_id]],tblMeasure[msr_id],tblMeasure[msr_name])</f>
        <v>Destination of leavers</v>
      </c>
      <c r="J1032" s="22" t="str">
        <f>_xlfn.XLOOKUP(tblRequirementMeasureXref[[#This Row],[msr_id]],tblMeasure[msr_id],tblMeasure[primary_dimensions])</f>
        <v>leaver destination</v>
      </c>
      <c r="K1032" s="22" t="str">
        <f>_xlfn.XLOOKUP(tblRequirementMeasureXref[[#This Row],[msr_id]],tblMeasure[msr_id],tblMeasure[msr_min_geo_resolution])</f>
        <v>Region</v>
      </c>
      <c r="L1032" s="22" t="str">
        <f>_xlfn.XLOOKUP(tblRequirementMeasureXref[[#This Row],[msr_id]],tblMeasure[msr_id],tblMeasure[src_name])</f>
        <v>State of the ASC sector and workforce</v>
      </c>
    </row>
    <row r="1033" spans="1:12" x14ac:dyDescent="0.15">
      <c r="A1033" s="1" t="str">
        <f>_xlfn.XLOOKUP(tblRequirementMeasureXref[[#This Row],[dm_id]],tblDataRequirement[dm_id],tblDataRequirement[domain_sub_requirement])</f>
        <v>Providers:Type:Organisations</v>
      </c>
      <c r="B1033" s="1" t="str">
        <f>_xlfn.XLOOKUP(tblRequirementMeasureXref[[#This Row],[dm_id]],tblDataRequirement[dm_id],tblDataRequirement[dm_phase])</f>
        <v>operate</v>
      </c>
      <c r="C1033" s="1">
        <v>60</v>
      </c>
      <c r="D1033" s="1">
        <v>275</v>
      </c>
      <c r="G1033" s="1"/>
      <c r="H1033" s="62" t="str">
        <f>_xlfn.XLOOKUP(tblRequirementMeasureXref[[#This Row],[msr_id]],tblMeasure[msr_id],tblMeasure[msr_table])</f>
        <v>Table 4.12</v>
      </c>
      <c r="I1033" s="22" t="str">
        <f>_xlfn.XLOOKUP(tblRequirementMeasureXref[[#This Row],[msr_id]],tblMeasure[msr_id],tblMeasure[msr_name])</f>
        <v>Destination of leavers</v>
      </c>
      <c r="J1033" s="22" t="str">
        <f>_xlfn.XLOOKUP(tblRequirementMeasureXref[[#This Row],[msr_id]],tblMeasure[msr_id],tblMeasure[primary_dimensions])</f>
        <v>leaver destination</v>
      </c>
      <c r="K1033" s="22" t="str">
        <f>_xlfn.XLOOKUP(tblRequirementMeasureXref[[#This Row],[msr_id]],tblMeasure[msr_id],tblMeasure[msr_min_geo_resolution])</f>
        <v>Region</v>
      </c>
      <c r="L1033" s="22" t="str">
        <f>_xlfn.XLOOKUP(tblRequirementMeasureXref[[#This Row],[msr_id]],tblMeasure[msr_id],tblMeasure[src_name])</f>
        <v>State of the ASC sector and workforce</v>
      </c>
    </row>
    <row r="1034" spans="1:12" x14ac:dyDescent="0.15">
      <c r="A1034" s="1" t="str">
        <f>_xlfn.XLOOKUP(tblRequirementMeasureXref[[#This Row],[dm_id]],tblDataRequirement[dm_id],tblDataRequirement[domain_sub_requirement])</f>
        <v>Providers:Workforce:Filled jobs</v>
      </c>
      <c r="B1034" s="1" t="str">
        <f>_xlfn.XLOOKUP(tblRequirementMeasureXref[[#This Row],[dm_id]],tblDataRequirement[dm_id],tblDataRequirement[dm_phase])</f>
        <v>supply</v>
      </c>
      <c r="C1034" s="1">
        <v>10</v>
      </c>
      <c r="D1034" s="1">
        <v>276</v>
      </c>
      <c r="G1034" s="1"/>
      <c r="H1034" s="62" t="str">
        <f>_xlfn.XLOOKUP(tblRequirementMeasureXref[[#This Row],[msr_id]],tblMeasure[msr_id],tblMeasure[msr_table])</f>
        <v>Table 4.13</v>
      </c>
      <c r="I1034" s="22" t="str">
        <f>_xlfn.XLOOKUP(tblRequirementMeasureXref[[#This Row],[msr_id]],tblMeasure[msr_id],tblMeasure[msr_name])</f>
        <v>Estimated number of vacancies in the adult social care sector</v>
      </c>
      <c r="J1034" s="22" t="str">
        <f>_xlfn.XLOOKUP(tblRequirementMeasureXref[[#This Row],[msr_id]],tblMeasure[msr_id],tblMeasure[primary_dimensions])</f>
        <v>vacancy rate trend,role group</v>
      </c>
      <c r="K1034" s="22" t="str">
        <f>_xlfn.XLOOKUP(tblRequirementMeasureXref[[#This Row],[msr_id]],tblMeasure[msr_id],tblMeasure[msr_min_geo_resolution])</f>
        <v>Region</v>
      </c>
      <c r="L1034" s="22" t="str">
        <f>_xlfn.XLOOKUP(tblRequirementMeasureXref[[#This Row],[msr_id]],tblMeasure[msr_id],tblMeasure[src_name])</f>
        <v>State of the ASC sector and workforce</v>
      </c>
    </row>
    <row r="1035" spans="1:12" x14ac:dyDescent="0.15">
      <c r="A1035" s="1" t="str">
        <f>_xlfn.XLOOKUP(tblRequirementMeasureXref[[#This Row],[dm_id]],tblDataRequirement[dm_id],tblDataRequirement[domain_sub_requirement])</f>
        <v>Providers:Workforce:Vacancies</v>
      </c>
      <c r="B1035" s="1" t="str">
        <f>_xlfn.XLOOKUP(tblRequirementMeasureXref[[#This Row],[dm_id]],tblDataRequirement[dm_id],tblDataRequirement[dm_phase])</f>
        <v>supply</v>
      </c>
      <c r="C1035" s="1">
        <v>11</v>
      </c>
      <c r="D1035" s="1">
        <v>276</v>
      </c>
      <c r="G1035" s="1"/>
      <c r="H1035" s="62" t="str">
        <f>_xlfn.XLOOKUP(tblRequirementMeasureXref[[#This Row],[msr_id]],tblMeasure[msr_id],tblMeasure[msr_table])</f>
        <v>Table 4.13</v>
      </c>
      <c r="I1035" s="22" t="str">
        <f>_xlfn.XLOOKUP(tblRequirementMeasureXref[[#This Row],[msr_id]],tblMeasure[msr_id],tblMeasure[msr_name])</f>
        <v>Estimated number of vacancies in the adult social care sector</v>
      </c>
      <c r="J1035" s="22" t="str">
        <f>_xlfn.XLOOKUP(tblRequirementMeasureXref[[#This Row],[msr_id]],tblMeasure[msr_id],tblMeasure[primary_dimensions])</f>
        <v>vacancy rate trend,role group</v>
      </c>
      <c r="K1035" s="22" t="str">
        <f>_xlfn.XLOOKUP(tblRequirementMeasureXref[[#This Row],[msr_id]],tblMeasure[msr_id],tblMeasure[msr_min_geo_resolution])</f>
        <v>Region</v>
      </c>
      <c r="L1035" s="22" t="str">
        <f>_xlfn.XLOOKUP(tblRequirementMeasureXref[[#This Row],[msr_id]],tblMeasure[msr_id],tblMeasure[src_name])</f>
        <v>State of the ASC sector and workforce</v>
      </c>
    </row>
    <row r="1036" spans="1:12" x14ac:dyDescent="0.15">
      <c r="A1036" s="1" t="str">
        <f>_xlfn.XLOOKUP(tblRequirementMeasureXref[[#This Row],[dm_id]],tblDataRequirement[dm_id],tblDataRequirement[domain_sub_requirement])</f>
        <v>Service:Support setting:Home</v>
      </c>
      <c r="B1036" s="1" t="str">
        <f>_xlfn.XLOOKUP(tblRequirementMeasureXref[[#This Row],[dm_id]],tblDataRequirement[dm_id],tblDataRequirement[dm_phase])</f>
        <v>operate</v>
      </c>
      <c r="C1036" s="1">
        <v>40</v>
      </c>
      <c r="D1036" s="1">
        <v>276</v>
      </c>
      <c r="G1036" s="1"/>
      <c r="H1036" s="62" t="str">
        <f>_xlfn.XLOOKUP(tblRequirementMeasureXref[[#This Row],[msr_id]],tblMeasure[msr_id],tblMeasure[msr_table])</f>
        <v>Table 4.13</v>
      </c>
      <c r="I1036" s="22" t="str">
        <f>_xlfn.XLOOKUP(tblRequirementMeasureXref[[#This Row],[msr_id]],tblMeasure[msr_id],tblMeasure[msr_name])</f>
        <v>Estimated number of vacancies in the adult social care sector</v>
      </c>
      <c r="J1036" s="22" t="str">
        <f>_xlfn.XLOOKUP(tblRequirementMeasureXref[[#This Row],[msr_id]],tblMeasure[msr_id],tblMeasure[primary_dimensions])</f>
        <v>vacancy rate trend,role group</v>
      </c>
      <c r="K1036" s="22" t="str">
        <f>_xlfn.XLOOKUP(tblRequirementMeasureXref[[#This Row],[msr_id]],tblMeasure[msr_id],tblMeasure[msr_min_geo_resolution])</f>
        <v>Region</v>
      </c>
      <c r="L1036" s="22" t="str">
        <f>_xlfn.XLOOKUP(tblRequirementMeasureXref[[#This Row],[msr_id]],tblMeasure[msr_id],tblMeasure[src_name])</f>
        <v>State of the ASC sector and workforce</v>
      </c>
    </row>
    <row r="1037" spans="1:12" x14ac:dyDescent="0.15">
      <c r="A1037" s="1" t="str">
        <f>_xlfn.XLOOKUP(tblRequirementMeasureXref[[#This Row],[dm_id]],tblDataRequirement[dm_id],tblDataRequirement[domain_sub_requirement])</f>
        <v>Service:Support setting:Residential care home</v>
      </c>
      <c r="B1037" s="1" t="str">
        <f>_xlfn.XLOOKUP(tblRequirementMeasureXref[[#This Row],[dm_id]],tblDataRequirement[dm_id],tblDataRequirement[dm_phase])</f>
        <v>operate</v>
      </c>
      <c r="C1037" s="1">
        <v>41</v>
      </c>
      <c r="D1037" s="1">
        <v>276</v>
      </c>
      <c r="G1037" s="1"/>
      <c r="H1037" s="62" t="str">
        <f>_xlfn.XLOOKUP(tblRequirementMeasureXref[[#This Row],[msr_id]],tblMeasure[msr_id],tblMeasure[msr_table])</f>
        <v>Table 4.13</v>
      </c>
      <c r="I1037" s="22" t="str">
        <f>_xlfn.XLOOKUP(tblRequirementMeasureXref[[#This Row],[msr_id]],tblMeasure[msr_id],tblMeasure[msr_name])</f>
        <v>Estimated number of vacancies in the adult social care sector</v>
      </c>
      <c r="J1037" s="22" t="str">
        <f>_xlfn.XLOOKUP(tblRequirementMeasureXref[[#This Row],[msr_id]],tblMeasure[msr_id],tblMeasure[primary_dimensions])</f>
        <v>vacancy rate trend,role group</v>
      </c>
      <c r="K1037" s="22" t="str">
        <f>_xlfn.XLOOKUP(tblRequirementMeasureXref[[#This Row],[msr_id]],tblMeasure[msr_id],tblMeasure[msr_min_geo_resolution])</f>
        <v>Region</v>
      </c>
      <c r="L1037" s="22" t="str">
        <f>_xlfn.XLOOKUP(tblRequirementMeasureXref[[#This Row],[msr_id]],tblMeasure[msr_id],tblMeasure[src_name])</f>
        <v>State of the ASC sector and workforce</v>
      </c>
    </row>
    <row r="1038" spans="1:12" x14ac:dyDescent="0.15">
      <c r="A1038" s="1" t="str">
        <f>_xlfn.XLOOKUP(tblRequirementMeasureXref[[#This Row],[dm_id]],tblDataRequirement[dm_id],tblDataRequirement[domain_sub_requirement])</f>
        <v>Service:Support setting:Nursing home</v>
      </c>
      <c r="B1038" s="1" t="str">
        <f>_xlfn.XLOOKUP(tblRequirementMeasureXref[[#This Row],[dm_id]],tblDataRequirement[dm_id],tblDataRequirement[dm_phase])</f>
        <v>operate</v>
      </c>
      <c r="C1038" s="1">
        <v>42</v>
      </c>
      <c r="D1038" s="1">
        <v>276</v>
      </c>
      <c r="G1038" s="1"/>
      <c r="H1038" s="62" t="str">
        <f>_xlfn.XLOOKUP(tblRequirementMeasureXref[[#This Row],[msr_id]],tblMeasure[msr_id],tblMeasure[msr_table])</f>
        <v>Table 4.13</v>
      </c>
      <c r="I1038" s="22" t="str">
        <f>_xlfn.XLOOKUP(tblRequirementMeasureXref[[#This Row],[msr_id]],tblMeasure[msr_id],tblMeasure[msr_name])</f>
        <v>Estimated number of vacancies in the adult social care sector</v>
      </c>
      <c r="J1038" s="22" t="str">
        <f>_xlfn.XLOOKUP(tblRequirementMeasureXref[[#This Row],[msr_id]],tblMeasure[msr_id],tblMeasure[primary_dimensions])</f>
        <v>vacancy rate trend,role group</v>
      </c>
      <c r="K1038" s="22" t="str">
        <f>_xlfn.XLOOKUP(tblRequirementMeasureXref[[#This Row],[msr_id]],tblMeasure[msr_id],tblMeasure[msr_min_geo_resolution])</f>
        <v>Region</v>
      </c>
      <c r="L1038" s="22" t="str">
        <f>_xlfn.XLOOKUP(tblRequirementMeasureXref[[#This Row],[msr_id]],tblMeasure[msr_id],tblMeasure[src_name])</f>
        <v>State of the ASC sector and workforce</v>
      </c>
    </row>
    <row r="1039" spans="1:12" x14ac:dyDescent="0.15">
      <c r="A1039" s="1" t="str">
        <f>_xlfn.XLOOKUP(tblRequirementMeasureXref[[#This Row],[dm_id]],tblDataRequirement[dm_id],tblDataRequirement[domain_sub_requirement])</f>
        <v>Service:Support setting:Community</v>
      </c>
      <c r="B1039" s="1" t="str">
        <f>_xlfn.XLOOKUP(tblRequirementMeasureXref[[#This Row],[dm_id]],tblDataRequirement[dm_id],tblDataRequirement[dm_phase])</f>
        <v>operate</v>
      </c>
      <c r="C1039" s="1">
        <v>43</v>
      </c>
      <c r="D1039" s="1">
        <v>276</v>
      </c>
      <c r="G1039" s="1"/>
      <c r="H1039" s="62" t="str">
        <f>_xlfn.XLOOKUP(tblRequirementMeasureXref[[#This Row],[msr_id]],tblMeasure[msr_id],tblMeasure[msr_table])</f>
        <v>Table 4.13</v>
      </c>
      <c r="I1039" s="22" t="str">
        <f>_xlfn.XLOOKUP(tblRequirementMeasureXref[[#This Row],[msr_id]],tblMeasure[msr_id],tblMeasure[msr_name])</f>
        <v>Estimated number of vacancies in the adult social care sector</v>
      </c>
      <c r="J1039" s="22" t="str">
        <f>_xlfn.XLOOKUP(tblRequirementMeasureXref[[#This Row],[msr_id]],tblMeasure[msr_id],tblMeasure[primary_dimensions])</f>
        <v>vacancy rate trend,role group</v>
      </c>
      <c r="K1039" s="22" t="str">
        <f>_xlfn.XLOOKUP(tblRequirementMeasureXref[[#This Row],[msr_id]],tblMeasure[msr_id],tblMeasure[msr_min_geo_resolution])</f>
        <v>Region</v>
      </c>
      <c r="L1039" s="22" t="str">
        <f>_xlfn.XLOOKUP(tblRequirementMeasureXref[[#This Row],[msr_id]],tblMeasure[msr_id],tblMeasure[src_name])</f>
        <v>State of the ASC sector and workforce</v>
      </c>
    </row>
    <row r="1040" spans="1:12" x14ac:dyDescent="0.15">
      <c r="A1040" s="1" t="str">
        <f>_xlfn.XLOOKUP(tblRequirementMeasureXref[[#This Row],[dm_id]],tblDataRequirement[dm_id],tblDataRequirement[domain_sub_requirement])</f>
        <v>Providers:Type:Organisations</v>
      </c>
      <c r="B1040" s="1" t="str">
        <f>_xlfn.XLOOKUP(tblRequirementMeasureXref[[#This Row],[dm_id]],tblDataRequirement[dm_id],tblDataRequirement[dm_phase])</f>
        <v>operate</v>
      </c>
      <c r="C1040" s="1">
        <v>60</v>
      </c>
      <c r="D1040" s="1">
        <v>276</v>
      </c>
      <c r="G1040" s="1"/>
      <c r="H1040" s="62" t="str">
        <f>_xlfn.XLOOKUP(tblRequirementMeasureXref[[#This Row],[msr_id]],tblMeasure[msr_id],tblMeasure[msr_table])</f>
        <v>Table 4.13</v>
      </c>
      <c r="I1040" s="22" t="str">
        <f>_xlfn.XLOOKUP(tblRequirementMeasureXref[[#This Row],[msr_id]],tblMeasure[msr_id],tblMeasure[msr_name])</f>
        <v>Estimated number of vacancies in the adult social care sector</v>
      </c>
      <c r="J1040" s="22" t="str">
        <f>_xlfn.XLOOKUP(tblRequirementMeasureXref[[#This Row],[msr_id]],tblMeasure[msr_id],tblMeasure[primary_dimensions])</f>
        <v>vacancy rate trend,role group</v>
      </c>
      <c r="K1040" s="22" t="str">
        <f>_xlfn.XLOOKUP(tblRequirementMeasureXref[[#This Row],[msr_id]],tblMeasure[msr_id],tblMeasure[msr_min_geo_resolution])</f>
        <v>Region</v>
      </c>
      <c r="L1040" s="22" t="str">
        <f>_xlfn.XLOOKUP(tblRequirementMeasureXref[[#This Row],[msr_id]],tblMeasure[msr_id],tblMeasure[src_name])</f>
        <v>State of the ASC sector and workforce</v>
      </c>
    </row>
    <row r="1041" spans="1:12" x14ac:dyDescent="0.15">
      <c r="A1041" s="1" t="str">
        <f>_xlfn.XLOOKUP(tblRequirementMeasureXref[[#This Row],[dm_id]],tblDataRequirement[dm_id],tblDataRequirement[domain_sub_requirement])</f>
        <v>Users:Income:Direct payments</v>
      </c>
      <c r="B1041" s="1" t="str">
        <f>_xlfn.XLOOKUP(tblRequirementMeasureXref[[#This Row],[dm_id]],tblDataRequirement[dm_id],tblDataRequirement[dm_phase])</f>
        <v>supply</v>
      </c>
      <c r="C1041" s="1">
        <v>71</v>
      </c>
      <c r="D1041" s="1">
        <v>276</v>
      </c>
      <c r="G1041" s="1"/>
      <c r="H1041" s="62" t="str">
        <f>_xlfn.XLOOKUP(tblRequirementMeasureXref[[#This Row],[msr_id]],tblMeasure[msr_id],tblMeasure[msr_table])</f>
        <v>Table 4.13</v>
      </c>
      <c r="I1041" s="22" t="str">
        <f>_xlfn.XLOOKUP(tblRequirementMeasureXref[[#This Row],[msr_id]],tblMeasure[msr_id],tblMeasure[msr_name])</f>
        <v>Estimated number of vacancies in the adult social care sector</v>
      </c>
      <c r="J1041" s="22" t="str">
        <f>_xlfn.XLOOKUP(tblRequirementMeasureXref[[#This Row],[msr_id]],tblMeasure[msr_id],tblMeasure[primary_dimensions])</f>
        <v>vacancy rate trend,role group</v>
      </c>
      <c r="K1041" s="22" t="str">
        <f>_xlfn.XLOOKUP(tblRequirementMeasureXref[[#This Row],[msr_id]],tblMeasure[msr_id],tblMeasure[msr_min_geo_resolution])</f>
        <v>Region</v>
      </c>
      <c r="L1041" s="22" t="str">
        <f>_xlfn.XLOOKUP(tblRequirementMeasureXref[[#This Row],[msr_id]],tblMeasure[msr_id],tblMeasure[src_name])</f>
        <v>State of the ASC sector and workforce</v>
      </c>
    </row>
    <row r="1042" spans="1:12" x14ac:dyDescent="0.15">
      <c r="A1042" s="1" t="str">
        <f>_xlfn.XLOOKUP(tblRequirementMeasureXref[[#This Row],[dm_id]],tblDataRequirement[dm_id],tblDataRequirement[domain_sub_requirement])</f>
        <v>Providers:Workforce:Filled jobs</v>
      </c>
      <c r="B1042" s="1" t="str">
        <f>_xlfn.XLOOKUP(tblRequirementMeasureXref[[#This Row],[dm_id]],tblDataRequirement[dm_id],tblDataRequirement[dm_phase])</f>
        <v>supply</v>
      </c>
      <c r="C1042" s="1">
        <v>10</v>
      </c>
      <c r="D1042" s="1">
        <v>278</v>
      </c>
      <c r="G1042" s="1"/>
      <c r="H1042" s="62" t="str">
        <f>_xlfn.XLOOKUP(tblRequirementMeasureXref[[#This Row],[msr_id]],tblMeasure[msr_id],tblMeasure[msr_table])</f>
        <v>Table 4.15</v>
      </c>
      <c r="I1042" s="22" t="str">
        <f>_xlfn.XLOOKUP(tblRequirementMeasureXref[[#This Row],[msr_id]],tblMeasure[msr_id],tblMeasure[msr_name])</f>
        <v>Sickness rates and mean sickness days</v>
      </c>
      <c r="J1042" s="22" t="str">
        <f>_xlfn.XLOOKUP(tblRequirementMeasureXref[[#This Row],[msr_id]],tblMeasure[msr_id],tblMeasure[primary_dimensions])</f>
        <v>sickness rate</v>
      </c>
      <c r="K1042" s="22" t="str">
        <f>_xlfn.XLOOKUP(tblRequirementMeasureXref[[#This Row],[msr_id]],tblMeasure[msr_id],tblMeasure[msr_min_geo_resolution])</f>
        <v>Region</v>
      </c>
      <c r="L1042" s="22" t="str">
        <f>_xlfn.XLOOKUP(tblRequirementMeasureXref[[#This Row],[msr_id]],tblMeasure[msr_id],tblMeasure[src_name])</f>
        <v>State of the ASC sector and workforce</v>
      </c>
    </row>
    <row r="1043" spans="1:12" x14ac:dyDescent="0.15">
      <c r="A1043" s="1" t="str">
        <f>_xlfn.XLOOKUP(tblRequirementMeasureXref[[#This Row],[dm_id]],tblDataRequirement[dm_id],tblDataRequirement[domain_sub_requirement])</f>
        <v>Providers:Type:Capacity</v>
      </c>
      <c r="B1043" s="1" t="str">
        <f>_xlfn.XLOOKUP(tblRequirementMeasureXref[[#This Row],[dm_id]],tblDataRequirement[dm_id],tblDataRequirement[dm_phase])</f>
        <v>supply</v>
      </c>
      <c r="C1043" s="1">
        <v>96</v>
      </c>
      <c r="D1043" s="1">
        <v>278</v>
      </c>
      <c r="G1043" s="1"/>
      <c r="H1043" s="62" t="str">
        <f>_xlfn.XLOOKUP(tblRequirementMeasureXref[[#This Row],[msr_id]],tblMeasure[msr_id],tblMeasure[msr_table])</f>
        <v>Table 4.15</v>
      </c>
      <c r="I1043" s="22" t="str">
        <f>_xlfn.XLOOKUP(tblRequirementMeasureXref[[#This Row],[msr_id]],tblMeasure[msr_id],tblMeasure[msr_name])</f>
        <v>Sickness rates and mean sickness days</v>
      </c>
      <c r="J1043" s="22" t="str">
        <f>_xlfn.XLOOKUP(tblRequirementMeasureXref[[#This Row],[msr_id]],tblMeasure[msr_id],tblMeasure[primary_dimensions])</f>
        <v>sickness rate</v>
      </c>
      <c r="K1043" s="22" t="str">
        <f>_xlfn.XLOOKUP(tblRequirementMeasureXref[[#This Row],[msr_id]],tblMeasure[msr_id],tblMeasure[msr_min_geo_resolution])</f>
        <v>Region</v>
      </c>
      <c r="L1043" s="22" t="str">
        <f>_xlfn.XLOOKUP(tblRequirementMeasureXref[[#This Row],[msr_id]],tblMeasure[msr_id],tblMeasure[src_name])</f>
        <v>State of the ASC sector and workforce</v>
      </c>
    </row>
    <row r="1044" spans="1:12" x14ac:dyDescent="0.15">
      <c r="A1044" s="1" t="str">
        <f>_xlfn.XLOOKUP(tblRequirementMeasureXref[[#This Row],[dm_id]],tblDataRequirement[dm_id],tblDataRequirement[domain_sub_requirement])</f>
        <v>Service:Support setting:Home</v>
      </c>
      <c r="B1044" s="1" t="str">
        <f>_xlfn.XLOOKUP(tblRequirementMeasureXref[[#This Row],[dm_id]],tblDataRequirement[dm_id],tblDataRequirement[dm_phase])</f>
        <v>operate</v>
      </c>
      <c r="C1044" s="1">
        <v>40</v>
      </c>
      <c r="D1044" s="1">
        <v>278</v>
      </c>
      <c r="G1044" s="1"/>
      <c r="H1044" s="62" t="str">
        <f>_xlfn.XLOOKUP(tblRequirementMeasureXref[[#This Row],[msr_id]],tblMeasure[msr_id],tblMeasure[msr_table])</f>
        <v>Table 4.15</v>
      </c>
      <c r="I1044" s="22" t="str">
        <f>_xlfn.XLOOKUP(tblRequirementMeasureXref[[#This Row],[msr_id]],tblMeasure[msr_id],tblMeasure[msr_name])</f>
        <v>Sickness rates and mean sickness days</v>
      </c>
      <c r="J1044" s="22" t="str">
        <f>_xlfn.XLOOKUP(tblRequirementMeasureXref[[#This Row],[msr_id]],tblMeasure[msr_id],tblMeasure[primary_dimensions])</f>
        <v>sickness rate</v>
      </c>
      <c r="K1044" s="22" t="str">
        <f>_xlfn.XLOOKUP(tblRequirementMeasureXref[[#This Row],[msr_id]],tblMeasure[msr_id],tblMeasure[msr_min_geo_resolution])</f>
        <v>Region</v>
      </c>
      <c r="L1044" s="22" t="str">
        <f>_xlfn.XLOOKUP(tblRequirementMeasureXref[[#This Row],[msr_id]],tblMeasure[msr_id],tblMeasure[src_name])</f>
        <v>State of the ASC sector and workforce</v>
      </c>
    </row>
    <row r="1045" spans="1:12" x14ac:dyDescent="0.15">
      <c r="A1045" s="1" t="str">
        <f>_xlfn.XLOOKUP(tblRequirementMeasureXref[[#This Row],[dm_id]],tblDataRequirement[dm_id],tblDataRequirement[domain_sub_requirement])</f>
        <v>Service:Support setting:Residential care home</v>
      </c>
      <c r="B1045" s="1" t="str">
        <f>_xlfn.XLOOKUP(tblRequirementMeasureXref[[#This Row],[dm_id]],tblDataRequirement[dm_id],tblDataRequirement[dm_phase])</f>
        <v>operate</v>
      </c>
      <c r="C1045" s="1">
        <v>41</v>
      </c>
      <c r="D1045" s="1">
        <v>278</v>
      </c>
      <c r="G1045" s="1"/>
      <c r="H1045" s="62" t="str">
        <f>_xlfn.XLOOKUP(tblRequirementMeasureXref[[#This Row],[msr_id]],tblMeasure[msr_id],tblMeasure[msr_table])</f>
        <v>Table 4.15</v>
      </c>
      <c r="I1045" s="22" t="str">
        <f>_xlfn.XLOOKUP(tblRequirementMeasureXref[[#This Row],[msr_id]],tblMeasure[msr_id],tblMeasure[msr_name])</f>
        <v>Sickness rates and mean sickness days</v>
      </c>
      <c r="J1045" s="22" t="str">
        <f>_xlfn.XLOOKUP(tblRequirementMeasureXref[[#This Row],[msr_id]],tblMeasure[msr_id],tblMeasure[primary_dimensions])</f>
        <v>sickness rate</v>
      </c>
      <c r="K1045" s="22" t="str">
        <f>_xlfn.XLOOKUP(tblRequirementMeasureXref[[#This Row],[msr_id]],tblMeasure[msr_id],tblMeasure[msr_min_geo_resolution])</f>
        <v>Region</v>
      </c>
      <c r="L1045" s="22" t="str">
        <f>_xlfn.XLOOKUP(tblRequirementMeasureXref[[#This Row],[msr_id]],tblMeasure[msr_id],tblMeasure[src_name])</f>
        <v>State of the ASC sector and workforce</v>
      </c>
    </row>
    <row r="1046" spans="1:12" x14ac:dyDescent="0.15">
      <c r="A1046" s="1" t="str">
        <f>_xlfn.XLOOKUP(tblRequirementMeasureXref[[#This Row],[dm_id]],tblDataRequirement[dm_id],tblDataRequirement[domain_sub_requirement])</f>
        <v>Service:Support setting:Nursing home</v>
      </c>
      <c r="B1046" s="1" t="str">
        <f>_xlfn.XLOOKUP(tblRequirementMeasureXref[[#This Row],[dm_id]],tblDataRequirement[dm_id],tblDataRequirement[dm_phase])</f>
        <v>operate</v>
      </c>
      <c r="C1046" s="1">
        <v>42</v>
      </c>
      <c r="D1046" s="1">
        <v>278</v>
      </c>
      <c r="G1046" s="1"/>
      <c r="H1046" s="62" t="str">
        <f>_xlfn.XLOOKUP(tblRequirementMeasureXref[[#This Row],[msr_id]],tblMeasure[msr_id],tblMeasure[msr_table])</f>
        <v>Table 4.15</v>
      </c>
      <c r="I1046" s="22" t="str">
        <f>_xlfn.XLOOKUP(tblRequirementMeasureXref[[#This Row],[msr_id]],tblMeasure[msr_id],tblMeasure[msr_name])</f>
        <v>Sickness rates and mean sickness days</v>
      </c>
      <c r="J1046" s="22" t="str">
        <f>_xlfn.XLOOKUP(tblRequirementMeasureXref[[#This Row],[msr_id]],tblMeasure[msr_id],tblMeasure[primary_dimensions])</f>
        <v>sickness rate</v>
      </c>
      <c r="K1046" s="22" t="str">
        <f>_xlfn.XLOOKUP(tblRequirementMeasureXref[[#This Row],[msr_id]],tblMeasure[msr_id],tblMeasure[msr_min_geo_resolution])</f>
        <v>Region</v>
      </c>
      <c r="L1046" s="22" t="str">
        <f>_xlfn.XLOOKUP(tblRequirementMeasureXref[[#This Row],[msr_id]],tblMeasure[msr_id],tblMeasure[src_name])</f>
        <v>State of the ASC sector and workforce</v>
      </c>
    </row>
    <row r="1047" spans="1:12" x14ac:dyDescent="0.15">
      <c r="A1047" s="1" t="str">
        <f>_xlfn.XLOOKUP(tblRequirementMeasureXref[[#This Row],[dm_id]],tblDataRequirement[dm_id],tblDataRequirement[domain_sub_requirement])</f>
        <v>Service:Support setting:Community</v>
      </c>
      <c r="B1047" s="1" t="str">
        <f>_xlfn.XLOOKUP(tblRequirementMeasureXref[[#This Row],[dm_id]],tblDataRequirement[dm_id],tblDataRequirement[dm_phase])</f>
        <v>operate</v>
      </c>
      <c r="C1047" s="1">
        <v>43</v>
      </c>
      <c r="D1047" s="1">
        <v>278</v>
      </c>
      <c r="G1047" s="1"/>
      <c r="H1047" s="62" t="str">
        <f>_xlfn.XLOOKUP(tblRequirementMeasureXref[[#This Row],[msr_id]],tblMeasure[msr_id],tblMeasure[msr_table])</f>
        <v>Table 4.15</v>
      </c>
      <c r="I1047" s="22" t="str">
        <f>_xlfn.XLOOKUP(tblRequirementMeasureXref[[#This Row],[msr_id]],tblMeasure[msr_id],tblMeasure[msr_name])</f>
        <v>Sickness rates and mean sickness days</v>
      </c>
      <c r="J1047" s="22" t="str">
        <f>_xlfn.XLOOKUP(tblRequirementMeasureXref[[#This Row],[msr_id]],tblMeasure[msr_id],tblMeasure[primary_dimensions])</f>
        <v>sickness rate</v>
      </c>
      <c r="K1047" s="22" t="str">
        <f>_xlfn.XLOOKUP(tblRequirementMeasureXref[[#This Row],[msr_id]],tblMeasure[msr_id],tblMeasure[msr_min_geo_resolution])</f>
        <v>Region</v>
      </c>
      <c r="L1047" s="22" t="str">
        <f>_xlfn.XLOOKUP(tblRequirementMeasureXref[[#This Row],[msr_id]],tblMeasure[msr_id],tblMeasure[src_name])</f>
        <v>State of the ASC sector and workforce</v>
      </c>
    </row>
    <row r="1048" spans="1:12" x14ac:dyDescent="0.15">
      <c r="A1048" s="1" t="str">
        <f>_xlfn.XLOOKUP(tblRequirementMeasureXref[[#This Row],[dm_id]],tblDataRequirement[dm_id],tblDataRequirement[domain_sub_requirement])</f>
        <v>Providers:Type:Organisations</v>
      </c>
      <c r="B1048" s="1" t="str">
        <f>_xlfn.XLOOKUP(tblRequirementMeasureXref[[#This Row],[dm_id]],tblDataRequirement[dm_id],tblDataRequirement[dm_phase])</f>
        <v>operate</v>
      </c>
      <c r="C1048" s="1">
        <v>60</v>
      </c>
      <c r="D1048" s="1">
        <v>278</v>
      </c>
      <c r="G1048" s="1"/>
      <c r="H1048" s="62" t="str">
        <f>_xlfn.XLOOKUP(tblRequirementMeasureXref[[#This Row],[msr_id]],tblMeasure[msr_id],tblMeasure[msr_table])</f>
        <v>Table 4.15</v>
      </c>
      <c r="I1048" s="22" t="str">
        <f>_xlfn.XLOOKUP(tblRequirementMeasureXref[[#This Row],[msr_id]],tblMeasure[msr_id],tblMeasure[msr_name])</f>
        <v>Sickness rates and mean sickness days</v>
      </c>
      <c r="J1048" s="22" t="str">
        <f>_xlfn.XLOOKUP(tblRequirementMeasureXref[[#This Row],[msr_id]],tblMeasure[msr_id],tblMeasure[primary_dimensions])</f>
        <v>sickness rate</v>
      </c>
      <c r="K1048" s="22" t="str">
        <f>_xlfn.XLOOKUP(tblRequirementMeasureXref[[#This Row],[msr_id]],tblMeasure[msr_id],tblMeasure[msr_min_geo_resolution])</f>
        <v>Region</v>
      </c>
      <c r="L1048" s="22" t="str">
        <f>_xlfn.XLOOKUP(tblRequirementMeasureXref[[#This Row],[msr_id]],tblMeasure[msr_id],tblMeasure[src_name])</f>
        <v>State of the ASC sector and workforce</v>
      </c>
    </row>
    <row r="1049" spans="1:12" x14ac:dyDescent="0.15">
      <c r="A1049" s="1" t="str">
        <f>_xlfn.XLOOKUP(tblRequirementMeasureXref[[#This Row],[dm_id]],tblDataRequirement[dm_id],tblDataRequirement[domain_sub_requirement])</f>
        <v>Users:Income:Direct payments</v>
      </c>
      <c r="B1049" s="1" t="str">
        <f>_xlfn.XLOOKUP(tblRequirementMeasureXref[[#This Row],[dm_id]],tblDataRequirement[dm_id],tblDataRequirement[dm_phase])</f>
        <v>supply</v>
      </c>
      <c r="C1049" s="1">
        <v>71</v>
      </c>
      <c r="D1049" s="1">
        <v>278</v>
      </c>
      <c r="G1049" s="1"/>
      <c r="H1049" s="62" t="str">
        <f>_xlfn.XLOOKUP(tblRequirementMeasureXref[[#This Row],[msr_id]],tblMeasure[msr_id],tblMeasure[msr_table])</f>
        <v>Table 4.15</v>
      </c>
      <c r="I1049" s="22" t="str">
        <f>_xlfn.XLOOKUP(tblRequirementMeasureXref[[#This Row],[msr_id]],tblMeasure[msr_id],tblMeasure[msr_name])</f>
        <v>Sickness rates and mean sickness days</v>
      </c>
      <c r="J1049" s="22" t="str">
        <f>_xlfn.XLOOKUP(tblRequirementMeasureXref[[#This Row],[msr_id]],tblMeasure[msr_id],tblMeasure[primary_dimensions])</f>
        <v>sickness rate</v>
      </c>
      <c r="K1049" s="22" t="str">
        <f>_xlfn.XLOOKUP(tblRequirementMeasureXref[[#This Row],[msr_id]],tblMeasure[msr_id],tblMeasure[msr_min_geo_resolution])</f>
        <v>Region</v>
      </c>
      <c r="L1049" s="22" t="str">
        <f>_xlfn.XLOOKUP(tblRequirementMeasureXref[[#This Row],[msr_id]],tblMeasure[msr_id],tblMeasure[src_name])</f>
        <v>State of the ASC sector and workforce</v>
      </c>
    </row>
    <row r="1050" spans="1:12" x14ac:dyDescent="0.15">
      <c r="A1050" s="1" t="str">
        <f>_xlfn.XLOOKUP(tblRequirementMeasureXref[[#This Row],[dm_id]],tblDataRequirement[dm_id],tblDataRequirement[domain_sub_requirement])</f>
        <v>Providers:Workforce:Filled jobs</v>
      </c>
      <c r="B1050" s="1" t="str">
        <f>_xlfn.XLOOKUP(tblRequirementMeasureXref[[#This Row],[dm_id]],tblDataRequirement[dm_id],tblDataRequirement[dm_phase])</f>
        <v>supply</v>
      </c>
      <c r="C1050" s="1">
        <v>10</v>
      </c>
      <c r="D1050" s="1">
        <v>279</v>
      </c>
      <c r="G1050" s="1"/>
      <c r="H1050" s="62" t="str">
        <f>_xlfn.XLOOKUP(tblRequirementMeasureXref[[#This Row],[msr_id]],tblMeasure[msr_id],tblMeasure[msr_table])</f>
        <v>Table 5.1</v>
      </c>
      <c r="I1050" s="22" t="str">
        <f>_xlfn.XLOOKUP(tblRequirementMeasureXref[[#This Row],[msr_id]],tblMeasure[msr_id],tblMeasure[msr_name])</f>
        <v>Gender within the adult social care workforce</v>
      </c>
      <c r="J1050" s="22" t="str">
        <f>_xlfn.XLOOKUP(tblRequirementMeasureXref[[#This Row],[msr_id]],tblMeasure[msr_id],tblMeasure[primary_dimensions])</f>
        <v>jobs by gender, role</v>
      </c>
      <c r="K1050" s="22" t="str">
        <f>_xlfn.XLOOKUP(tblRequirementMeasureXref[[#This Row],[msr_id]],tblMeasure[msr_id],tblMeasure[msr_min_geo_resolution])</f>
        <v>Region</v>
      </c>
      <c r="L1050" s="22" t="str">
        <f>_xlfn.XLOOKUP(tblRequirementMeasureXref[[#This Row],[msr_id]],tblMeasure[msr_id],tblMeasure[src_name])</f>
        <v>State of the ASC sector and workforce</v>
      </c>
    </row>
    <row r="1051" spans="1:12" x14ac:dyDescent="0.15">
      <c r="A1051" s="1" t="str">
        <f>_xlfn.XLOOKUP(tblRequirementMeasureXref[[#This Row],[dm_id]],tblDataRequirement[dm_id],tblDataRequirement[domain_sub_requirement])</f>
        <v>Service:Support setting:Home</v>
      </c>
      <c r="B1051" s="1" t="str">
        <f>_xlfn.XLOOKUP(tblRequirementMeasureXref[[#This Row],[dm_id]],tblDataRequirement[dm_id],tblDataRequirement[dm_phase])</f>
        <v>operate</v>
      </c>
      <c r="C1051" s="1">
        <v>40</v>
      </c>
      <c r="D1051" s="1">
        <v>279</v>
      </c>
      <c r="G1051" s="1"/>
      <c r="H1051" s="62" t="str">
        <f>_xlfn.XLOOKUP(tblRequirementMeasureXref[[#This Row],[msr_id]],tblMeasure[msr_id],tblMeasure[msr_table])</f>
        <v>Table 5.1</v>
      </c>
      <c r="I1051" s="22" t="str">
        <f>_xlfn.XLOOKUP(tblRequirementMeasureXref[[#This Row],[msr_id]],tblMeasure[msr_id],tblMeasure[msr_name])</f>
        <v>Gender within the adult social care workforce</v>
      </c>
      <c r="J1051" s="22" t="str">
        <f>_xlfn.XLOOKUP(tblRequirementMeasureXref[[#This Row],[msr_id]],tblMeasure[msr_id],tblMeasure[primary_dimensions])</f>
        <v>jobs by gender, role</v>
      </c>
      <c r="K1051" s="22" t="str">
        <f>_xlfn.XLOOKUP(tblRequirementMeasureXref[[#This Row],[msr_id]],tblMeasure[msr_id],tblMeasure[msr_min_geo_resolution])</f>
        <v>Region</v>
      </c>
      <c r="L1051" s="22" t="str">
        <f>_xlfn.XLOOKUP(tblRequirementMeasureXref[[#This Row],[msr_id]],tblMeasure[msr_id],tblMeasure[src_name])</f>
        <v>State of the ASC sector and workforce</v>
      </c>
    </row>
    <row r="1052" spans="1:12" x14ac:dyDescent="0.15">
      <c r="A1052" s="1" t="str">
        <f>_xlfn.XLOOKUP(tblRequirementMeasureXref[[#This Row],[dm_id]],tblDataRequirement[dm_id],tblDataRequirement[domain_sub_requirement])</f>
        <v>Service:Support setting:Residential care home</v>
      </c>
      <c r="B1052" s="1" t="str">
        <f>_xlfn.XLOOKUP(tblRequirementMeasureXref[[#This Row],[dm_id]],tblDataRequirement[dm_id],tblDataRequirement[dm_phase])</f>
        <v>operate</v>
      </c>
      <c r="C1052" s="1">
        <v>41</v>
      </c>
      <c r="D1052" s="1">
        <v>279</v>
      </c>
      <c r="G1052" s="1"/>
      <c r="H1052" s="62" t="str">
        <f>_xlfn.XLOOKUP(tblRequirementMeasureXref[[#This Row],[msr_id]],tblMeasure[msr_id],tblMeasure[msr_table])</f>
        <v>Table 5.1</v>
      </c>
      <c r="I1052" s="22" t="str">
        <f>_xlfn.XLOOKUP(tblRequirementMeasureXref[[#This Row],[msr_id]],tblMeasure[msr_id],tblMeasure[msr_name])</f>
        <v>Gender within the adult social care workforce</v>
      </c>
      <c r="J1052" s="22" t="str">
        <f>_xlfn.XLOOKUP(tblRequirementMeasureXref[[#This Row],[msr_id]],tblMeasure[msr_id],tblMeasure[primary_dimensions])</f>
        <v>jobs by gender, role</v>
      </c>
      <c r="K1052" s="22" t="str">
        <f>_xlfn.XLOOKUP(tblRequirementMeasureXref[[#This Row],[msr_id]],tblMeasure[msr_id],tblMeasure[msr_min_geo_resolution])</f>
        <v>Region</v>
      </c>
      <c r="L1052" s="22" t="str">
        <f>_xlfn.XLOOKUP(tblRequirementMeasureXref[[#This Row],[msr_id]],tblMeasure[msr_id],tblMeasure[src_name])</f>
        <v>State of the ASC sector and workforce</v>
      </c>
    </row>
    <row r="1053" spans="1:12" x14ac:dyDescent="0.15">
      <c r="A1053" s="1" t="str">
        <f>_xlfn.XLOOKUP(tblRequirementMeasureXref[[#This Row],[dm_id]],tblDataRequirement[dm_id],tblDataRequirement[domain_sub_requirement])</f>
        <v>Service:Support setting:Nursing home</v>
      </c>
      <c r="B1053" s="1" t="str">
        <f>_xlfn.XLOOKUP(tblRequirementMeasureXref[[#This Row],[dm_id]],tblDataRequirement[dm_id],tblDataRequirement[dm_phase])</f>
        <v>operate</v>
      </c>
      <c r="C1053" s="1">
        <v>42</v>
      </c>
      <c r="D1053" s="1">
        <v>279</v>
      </c>
      <c r="G1053" s="1"/>
      <c r="H1053" s="62" t="str">
        <f>_xlfn.XLOOKUP(tblRequirementMeasureXref[[#This Row],[msr_id]],tblMeasure[msr_id],tblMeasure[msr_table])</f>
        <v>Table 5.1</v>
      </c>
      <c r="I1053" s="22" t="str">
        <f>_xlfn.XLOOKUP(tblRequirementMeasureXref[[#This Row],[msr_id]],tblMeasure[msr_id],tblMeasure[msr_name])</f>
        <v>Gender within the adult social care workforce</v>
      </c>
      <c r="J1053" s="22" t="str">
        <f>_xlfn.XLOOKUP(tblRequirementMeasureXref[[#This Row],[msr_id]],tblMeasure[msr_id],tblMeasure[primary_dimensions])</f>
        <v>jobs by gender, role</v>
      </c>
      <c r="K1053" s="22" t="str">
        <f>_xlfn.XLOOKUP(tblRequirementMeasureXref[[#This Row],[msr_id]],tblMeasure[msr_id],tblMeasure[msr_min_geo_resolution])</f>
        <v>Region</v>
      </c>
      <c r="L1053" s="22" t="str">
        <f>_xlfn.XLOOKUP(tblRequirementMeasureXref[[#This Row],[msr_id]],tblMeasure[msr_id],tblMeasure[src_name])</f>
        <v>State of the ASC sector and workforce</v>
      </c>
    </row>
    <row r="1054" spans="1:12" x14ac:dyDescent="0.15">
      <c r="A1054" s="1" t="str">
        <f>_xlfn.XLOOKUP(tblRequirementMeasureXref[[#This Row],[dm_id]],tblDataRequirement[dm_id],tblDataRequirement[domain_sub_requirement])</f>
        <v>Service:Support setting:Community</v>
      </c>
      <c r="B1054" s="1" t="str">
        <f>_xlfn.XLOOKUP(tblRequirementMeasureXref[[#This Row],[dm_id]],tblDataRequirement[dm_id],tblDataRequirement[dm_phase])</f>
        <v>operate</v>
      </c>
      <c r="C1054" s="1">
        <v>43</v>
      </c>
      <c r="D1054" s="1">
        <v>279</v>
      </c>
      <c r="G1054" s="1"/>
      <c r="H1054" s="62" t="str">
        <f>_xlfn.XLOOKUP(tblRequirementMeasureXref[[#This Row],[msr_id]],tblMeasure[msr_id],tblMeasure[msr_table])</f>
        <v>Table 5.1</v>
      </c>
      <c r="I1054" s="22" t="str">
        <f>_xlfn.XLOOKUP(tblRequirementMeasureXref[[#This Row],[msr_id]],tblMeasure[msr_id],tblMeasure[msr_name])</f>
        <v>Gender within the adult social care workforce</v>
      </c>
      <c r="J1054" s="22" t="str">
        <f>_xlfn.XLOOKUP(tblRequirementMeasureXref[[#This Row],[msr_id]],tblMeasure[msr_id],tblMeasure[primary_dimensions])</f>
        <v>jobs by gender, role</v>
      </c>
      <c r="K1054" s="22" t="str">
        <f>_xlfn.XLOOKUP(tblRequirementMeasureXref[[#This Row],[msr_id]],tblMeasure[msr_id],tblMeasure[msr_min_geo_resolution])</f>
        <v>Region</v>
      </c>
      <c r="L1054" s="22" t="str">
        <f>_xlfn.XLOOKUP(tblRequirementMeasureXref[[#This Row],[msr_id]],tblMeasure[msr_id],tblMeasure[src_name])</f>
        <v>State of the ASC sector and workforce</v>
      </c>
    </row>
    <row r="1055" spans="1:12" x14ac:dyDescent="0.15">
      <c r="A1055" s="1" t="str">
        <f>_xlfn.XLOOKUP(tblRequirementMeasureXref[[#This Row],[dm_id]],tblDataRequirement[dm_id],tblDataRequirement[domain_sub_requirement])</f>
        <v>Providers:Type:Organisations</v>
      </c>
      <c r="B1055" s="1" t="str">
        <f>_xlfn.XLOOKUP(tblRequirementMeasureXref[[#This Row],[dm_id]],tblDataRequirement[dm_id],tblDataRequirement[dm_phase])</f>
        <v>operate</v>
      </c>
      <c r="C1055" s="1">
        <v>60</v>
      </c>
      <c r="D1055" s="1">
        <v>279</v>
      </c>
      <c r="G1055" s="1"/>
      <c r="H1055" s="62" t="str">
        <f>_xlfn.XLOOKUP(tblRequirementMeasureXref[[#This Row],[msr_id]],tblMeasure[msr_id],tblMeasure[msr_table])</f>
        <v>Table 5.1</v>
      </c>
      <c r="I1055" s="22" t="str">
        <f>_xlfn.XLOOKUP(tblRequirementMeasureXref[[#This Row],[msr_id]],tblMeasure[msr_id],tblMeasure[msr_name])</f>
        <v>Gender within the adult social care workforce</v>
      </c>
      <c r="J1055" s="22" t="str">
        <f>_xlfn.XLOOKUP(tblRequirementMeasureXref[[#This Row],[msr_id]],tblMeasure[msr_id],tblMeasure[primary_dimensions])</f>
        <v>jobs by gender, role</v>
      </c>
      <c r="K1055" s="22" t="str">
        <f>_xlfn.XLOOKUP(tblRequirementMeasureXref[[#This Row],[msr_id]],tblMeasure[msr_id],tblMeasure[msr_min_geo_resolution])</f>
        <v>Region</v>
      </c>
      <c r="L1055" s="22" t="str">
        <f>_xlfn.XLOOKUP(tblRequirementMeasureXref[[#This Row],[msr_id]],tblMeasure[msr_id],tblMeasure[src_name])</f>
        <v>State of the ASC sector and workforce</v>
      </c>
    </row>
    <row r="1056" spans="1:12" x14ac:dyDescent="0.15">
      <c r="A1056" s="1" t="str">
        <f>_xlfn.XLOOKUP(tblRequirementMeasureXref[[#This Row],[dm_id]],tblDataRequirement[dm_id],tblDataRequirement[domain_sub_requirement])</f>
        <v>Users:Income:Direct payments</v>
      </c>
      <c r="B1056" s="1" t="str">
        <f>_xlfn.XLOOKUP(tblRequirementMeasureXref[[#This Row],[dm_id]],tblDataRequirement[dm_id],tblDataRequirement[dm_phase])</f>
        <v>supply</v>
      </c>
      <c r="C1056" s="1">
        <v>71</v>
      </c>
      <c r="D1056" s="1">
        <v>279</v>
      </c>
      <c r="G1056" s="1"/>
      <c r="H1056" s="62" t="str">
        <f>_xlfn.XLOOKUP(tblRequirementMeasureXref[[#This Row],[msr_id]],tblMeasure[msr_id],tblMeasure[msr_table])</f>
        <v>Table 5.1</v>
      </c>
      <c r="I1056" s="22" t="str">
        <f>_xlfn.XLOOKUP(tblRequirementMeasureXref[[#This Row],[msr_id]],tblMeasure[msr_id],tblMeasure[msr_name])</f>
        <v>Gender within the adult social care workforce</v>
      </c>
      <c r="J1056" s="22" t="str">
        <f>_xlfn.XLOOKUP(tblRequirementMeasureXref[[#This Row],[msr_id]],tblMeasure[msr_id],tblMeasure[primary_dimensions])</f>
        <v>jobs by gender, role</v>
      </c>
      <c r="K1056" s="22" t="str">
        <f>_xlfn.XLOOKUP(tblRequirementMeasureXref[[#This Row],[msr_id]],tblMeasure[msr_id],tblMeasure[msr_min_geo_resolution])</f>
        <v>Region</v>
      </c>
      <c r="L1056" s="22" t="str">
        <f>_xlfn.XLOOKUP(tblRequirementMeasureXref[[#This Row],[msr_id]],tblMeasure[msr_id],tblMeasure[src_name])</f>
        <v>State of the ASC sector and workforce</v>
      </c>
    </row>
    <row r="1057" spans="1:12" x14ac:dyDescent="0.15">
      <c r="A1057" s="1" t="str">
        <f>_xlfn.XLOOKUP(tblRequirementMeasureXref[[#This Row],[dm_id]],tblDataRequirement[dm_id],tblDataRequirement[domain_sub_requirement])</f>
        <v>Workforce:Demographics:Gender</v>
      </c>
      <c r="B1057" s="1" t="str">
        <f>_xlfn.XLOOKUP(tblRequirementMeasureXref[[#This Row],[dm_id]],tblDataRequirement[dm_id],tblDataRequirement[dm_phase])</f>
        <v>supply</v>
      </c>
      <c r="C1057" s="1">
        <v>65</v>
      </c>
      <c r="D1057" s="1">
        <v>279</v>
      </c>
      <c r="G1057" s="1"/>
      <c r="H1057" s="62" t="str">
        <f>_xlfn.XLOOKUP(tblRequirementMeasureXref[[#This Row],[msr_id]],tblMeasure[msr_id],tblMeasure[msr_table])</f>
        <v>Table 5.1</v>
      </c>
      <c r="I1057" s="22" t="str">
        <f>_xlfn.XLOOKUP(tblRequirementMeasureXref[[#This Row],[msr_id]],tblMeasure[msr_id],tblMeasure[msr_name])</f>
        <v>Gender within the adult social care workforce</v>
      </c>
      <c r="J1057" s="22" t="str">
        <f>_xlfn.XLOOKUP(tblRequirementMeasureXref[[#This Row],[msr_id]],tblMeasure[msr_id],tblMeasure[primary_dimensions])</f>
        <v>jobs by gender, role</v>
      </c>
      <c r="K1057" s="22" t="str">
        <f>_xlfn.XLOOKUP(tblRequirementMeasureXref[[#This Row],[msr_id]],tblMeasure[msr_id],tblMeasure[msr_min_geo_resolution])</f>
        <v>Region</v>
      </c>
      <c r="L1057" s="22" t="str">
        <f>_xlfn.XLOOKUP(tblRequirementMeasureXref[[#This Row],[msr_id]],tblMeasure[msr_id],tblMeasure[src_name])</f>
        <v>State of the ASC sector and workforce</v>
      </c>
    </row>
    <row r="1058" spans="1:12" x14ac:dyDescent="0.15">
      <c r="A1058" s="1" t="str">
        <f>_xlfn.XLOOKUP(tblRequirementMeasureXref[[#This Row],[dm_id]],tblDataRequirement[dm_id],tblDataRequirement[domain_sub_requirement])</f>
        <v>Providers:Workforce:Filled jobs</v>
      </c>
      <c r="B1058" s="1" t="str">
        <f>_xlfn.XLOOKUP(tblRequirementMeasureXref[[#This Row],[dm_id]],tblDataRequirement[dm_id],tblDataRequirement[dm_phase])</f>
        <v>supply</v>
      </c>
      <c r="C1058" s="1">
        <v>10</v>
      </c>
      <c r="D1058" s="1">
        <v>280</v>
      </c>
      <c r="G1058" s="1"/>
      <c r="H1058" s="62" t="str">
        <f>_xlfn.XLOOKUP(tblRequirementMeasureXref[[#This Row],[msr_id]],tblMeasure[msr_id],tblMeasure[msr_table])</f>
        <v>Table 5.2</v>
      </c>
      <c r="I1058" s="22" t="str">
        <f>_xlfn.XLOOKUP(tblRequirementMeasureXref[[#This Row],[msr_id]],tblMeasure[msr_id],tblMeasure[msr_name])</f>
        <v>Age within the adult social care workforce</v>
      </c>
      <c r="J1058" s="22" t="str">
        <f>_xlfn.XLOOKUP(tblRequirementMeasureXref[[#This Row],[msr_id]],tblMeasure[msr_id],tblMeasure[primary_dimensions])</f>
        <v>jobs by age group, role</v>
      </c>
      <c r="K1058" s="22" t="str">
        <f>_xlfn.XLOOKUP(tblRequirementMeasureXref[[#This Row],[msr_id]],tblMeasure[msr_id],tblMeasure[msr_min_geo_resolution])</f>
        <v>Region</v>
      </c>
      <c r="L1058" s="22" t="str">
        <f>_xlfn.XLOOKUP(tblRequirementMeasureXref[[#This Row],[msr_id]],tblMeasure[msr_id],tblMeasure[src_name])</f>
        <v>State of the ASC sector and workforce</v>
      </c>
    </row>
    <row r="1059" spans="1:12" x14ac:dyDescent="0.15">
      <c r="A1059" s="1" t="str">
        <f>_xlfn.XLOOKUP(tblRequirementMeasureXref[[#This Row],[dm_id]],tblDataRequirement[dm_id],tblDataRequirement[domain_sub_requirement])</f>
        <v>Service:Support setting:Home</v>
      </c>
      <c r="B1059" s="1" t="str">
        <f>_xlfn.XLOOKUP(tblRequirementMeasureXref[[#This Row],[dm_id]],tblDataRequirement[dm_id],tblDataRequirement[dm_phase])</f>
        <v>operate</v>
      </c>
      <c r="C1059" s="1">
        <v>40</v>
      </c>
      <c r="D1059" s="1">
        <v>280</v>
      </c>
      <c r="G1059" s="1"/>
      <c r="H1059" s="62" t="str">
        <f>_xlfn.XLOOKUP(tblRequirementMeasureXref[[#This Row],[msr_id]],tblMeasure[msr_id],tblMeasure[msr_table])</f>
        <v>Table 5.2</v>
      </c>
      <c r="I1059" s="22" t="str">
        <f>_xlfn.XLOOKUP(tblRequirementMeasureXref[[#This Row],[msr_id]],tblMeasure[msr_id],tblMeasure[msr_name])</f>
        <v>Age within the adult social care workforce</v>
      </c>
      <c r="J1059" s="22" t="str">
        <f>_xlfn.XLOOKUP(tblRequirementMeasureXref[[#This Row],[msr_id]],tblMeasure[msr_id],tblMeasure[primary_dimensions])</f>
        <v>jobs by age group, role</v>
      </c>
      <c r="K1059" s="22" t="str">
        <f>_xlfn.XLOOKUP(tblRequirementMeasureXref[[#This Row],[msr_id]],tblMeasure[msr_id],tblMeasure[msr_min_geo_resolution])</f>
        <v>Region</v>
      </c>
      <c r="L1059" s="22" t="str">
        <f>_xlfn.XLOOKUP(tblRequirementMeasureXref[[#This Row],[msr_id]],tblMeasure[msr_id],tblMeasure[src_name])</f>
        <v>State of the ASC sector and workforce</v>
      </c>
    </row>
    <row r="1060" spans="1:12" x14ac:dyDescent="0.15">
      <c r="A1060" s="1" t="str">
        <f>_xlfn.XLOOKUP(tblRequirementMeasureXref[[#This Row],[dm_id]],tblDataRequirement[dm_id],tblDataRequirement[domain_sub_requirement])</f>
        <v>Service:Support setting:Residential care home</v>
      </c>
      <c r="B1060" s="1" t="str">
        <f>_xlfn.XLOOKUP(tblRequirementMeasureXref[[#This Row],[dm_id]],tblDataRequirement[dm_id],tblDataRequirement[dm_phase])</f>
        <v>operate</v>
      </c>
      <c r="C1060" s="1">
        <v>41</v>
      </c>
      <c r="D1060" s="1">
        <v>280</v>
      </c>
      <c r="G1060" s="1"/>
      <c r="H1060" s="62" t="str">
        <f>_xlfn.XLOOKUP(tblRequirementMeasureXref[[#This Row],[msr_id]],tblMeasure[msr_id],tblMeasure[msr_table])</f>
        <v>Table 5.2</v>
      </c>
      <c r="I1060" s="22" t="str">
        <f>_xlfn.XLOOKUP(tblRequirementMeasureXref[[#This Row],[msr_id]],tblMeasure[msr_id],tblMeasure[msr_name])</f>
        <v>Age within the adult social care workforce</v>
      </c>
      <c r="J1060" s="22" t="str">
        <f>_xlfn.XLOOKUP(tblRequirementMeasureXref[[#This Row],[msr_id]],tblMeasure[msr_id],tblMeasure[primary_dimensions])</f>
        <v>jobs by age group, role</v>
      </c>
      <c r="K1060" s="22" t="str">
        <f>_xlfn.XLOOKUP(tblRequirementMeasureXref[[#This Row],[msr_id]],tblMeasure[msr_id],tblMeasure[msr_min_geo_resolution])</f>
        <v>Region</v>
      </c>
      <c r="L1060" s="22" t="str">
        <f>_xlfn.XLOOKUP(tblRequirementMeasureXref[[#This Row],[msr_id]],tblMeasure[msr_id],tblMeasure[src_name])</f>
        <v>State of the ASC sector and workforce</v>
      </c>
    </row>
    <row r="1061" spans="1:12" x14ac:dyDescent="0.15">
      <c r="A1061" s="1" t="str">
        <f>_xlfn.XLOOKUP(tblRequirementMeasureXref[[#This Row],[dm_id]],tblDataRequirement[dm_id],tblDataRequirement[domain_sub_requirement])</f>
        <v>Service:Support setting:Nursing home</v>
      </c>
      <c r="B1061" s="1" t="str">
        <f>_xlfn.XLOOKUP(tblRequirementMeasureXref[[#This Row],[dm_id]],tblDataRequirement[dm_id],tblDataRequirement[dm_phase])</f>
        <v>operate</v>
      </c>
      <c r="C1061" s="1">
        <v>42</v>
      </c>
      <c r="D1061" s="1">
        <v>280</v>
      </c>
      <c r="G1061" s="1"/>
      <c r="H1061" s="62" t="str">
        <f>_xlfn.XLOOKUP(tblRequirementMeasureXref[[#This Row],[msr_id]],tblMeasure[msr_id],tblMeasure[msr_table])</f>
        <v>Table 5.2</v>
      </c>
      <c r="I1061" s="22" t="str">
        <f>_xlfn.XLOOKUP(tblRequirementMeasureXref[[#This Row],[msr_id]],tblMeasure[msr_id],tblMeasure[msr_name])</f>
        <v>Age within the adult social care workforce</v>
      </c>
      <c r="J1061" s="22" t="str">
        <f>_xlfn.XLOOKUP(tblRequirementMeasureXref[[#This Row],[msr_id]],tblMeasure[msr_id],tblMeasure[primary_dimensions])</f>
        <v>jobs by age group, role</v>
      </c>
      <c r="K1061" s="22" t="str">
        <f>_xlfn.XLOOKUP(tblRequirementMeasureXref[[#This Row],[msr_id]],tblMeasure[msr_id],tblMeasure[msr_min_geo_resolution])</f>
        <v>Region</v>
      </c>
      <c r="L1061" s="22" t="str">
        <f>_xlfn.XLOOKUP(tblRequirementMeasureXref[[#This Row],[msr_id]],tblMeasure[msr_id],tblMeasure[src_name])</f>
        <v>State of the ASC sector and workforce</v>
      </c>
    </row>
    <row r="1062" spans="1:12" x14ac:dyDescent="0.15">
      <c r="A1062" s="1" t="str">
        <f>_xlfn.XLOOKUP(tblRequirementMeasureXref[[#This Row],[dm_id]],tblDataRequirement[dm_id],tblDataRequirement[domain_sub_requirement])</f>
        <v>Service:Support setting:Community</v>
      </c>
      <c r="B1062" s="1" t="str">
        <f>_xlfn.XLOOKUP(tblRequirementMeasureXref[[#This Row],[dm_id]],tblDataRequirement[dm_id],tblDataRequirement[dm_phase])</f>
        <v>operate</v>
      </c>
      <c r="C1062" s="1">
        <v>43</v>
      </c>
      <c r="D1062" s="1">
        <v>280</v>
      </c>
      <c r="G1062" s="1"/>
      <c r="H1062" s="62" t="str">
        <f>_xlfn.XLOOKUP(tblRequirementMeasureXref[[#This Row],[msr_id]],tblMeasure[msr_id],tblMeasure[msr_table])</f>
        <v>Table 5.2</v>
      </c>
      <c r="I1062" s="22" t="str">
        <f>_xlfn.XLOOKUP(tblRequirementMeasureXref[[#This Row],[msr_id]],tblMeasure[msr_id],tblMeasure[msr_name])</f>
        <v>Age within the adult social care workforce</v>
      </c>
      <c r="J1062" s="22" t="str">
        <f>_xlfn.XLOOKUP(tblRequirementMeasureXref[[#This Row],[msr_id]],tblMeasure[msr_id],tblMeasure[primary_dimensions])</f>
        <v>jobs by age group, role</v>
      </c>
      <c r="K1062" s="22" t="str">
        <f>_xlfn.XLOOKUP(tblRequirementMeasureXref[[#This Row],[msr_id]],tblMeasure[msr_id],tblMeasure[msr_min_geo_resolution])</f>
        <v>Region</v>
      </c>
      <c r="L1062" s="22" t="str">
        <f>_xlfn.XLOOKUP(tblRequirementMeasureXref[[#This Row],[msr_id]],tblMeasure[msr_id],tblMeasure[src_name])</f>
        <v>State of the ASC sector and workforce</v>
      </c>
    </row>
    <row r="1063" spans="1:12" x14ac:dyDescent="0.15">
      <c r="A1063" s="1" t="str">
        <f>_xlfn.XLOOKUP(tblRequirementMeasureXref[[#This Row],[dm_id]],tblDataRequirement[dm_id],tblDataRequirement[domain_sub_requirement])</f>
        <v>Providers:Type:Organisations</v>
      </c>
      <c r="B1063" s="1" t="str">
        <f>_xlfn.XLOOKUP(tblRequirementMeasureXref[[#This Row],[dm_id]],tblDataRequirement[dm_id],tblDataRequirement[dm_phase])</f>
        <v>operate</v>
      </c>
      <c r="C1063" s="1">
        <v>60</v>
      </c>
      <c r="D1063" s="1">
        <v>280</v>
      </c>
      <c r="G1063" s="1"/>
      <c r="H1063" s="62" t="str">
        <f>_xlfn.XLOOKUP(tblRequirementMeasureXref[[#This Row],[msr_id]],tblMeasure[msr_id],tblMeasure[msr_table])</f>
        <v>Table 5.2</v>
      </c>
      <c r="I1063" s="22" t="str">
        <f>_xlfn.XLOOKUP(tblRequirementMeasureXref[[#This Row],[msr_id]],tblMeasure[msr_id],tblMeasure[msr_name])</f>
        <v>Age within the adult social care workforce</v>
      </c>
      <c r="J1063" s="22" t="str">
        <f>_xlfn.XLOOKUP(tblRequirementMeasureXref[[#This Row],[msr_id]],tblMeasure[msr_id],tblMeasure[primary_dimensions])</f>
        <v>jobs by age group, role</v>
      </c>
      <c r="K1063" s="22" t="str">
        <f>_xlfn.XLOOKUP(tblRequirementMeasureXref[[#This Row],[msr_id]],tblMeasure[msr_id],tblMeasure[msr_min_geo_resolution])</f>
        <v>Region</v>
      </c>
      <c r="L1063" s="22" t="str">
        <f>_xlfn.XLOOKUP(tblRequirementMeasureXref[[#This Row],[msr_id]],tblMeasure[msr_id],tblMeasure[src_name])</f>
        <v>State of the ASC sector and workforce</v>
      </c>
    </row>
    <row r="1064" spans="1:12" x14ac:dyDescent="0.15">
      <c r="A1064" s="1" t="str">
        <f>_xlfn.XLOOKUP(tblRequirementMeasureXref[[#This Row],[dm_id]],tblDataRequirement[dm_id],tblDataRequirement[domain_sub_requirement])</f>
        <v>Users:Income:Direct payments</v>
      </c>
      <c r="B1064" s="1" t="str">
        <f>_xlfn.XLOOKUP(tblRequirementMeasureXref[[#This Row],[dm_id]],tblDataRequirement[dm_id],tblDataRequirement[dm_phase])</f>
        <v>supply</v>
      </c>
      <c r="C1064" s="1">
        <v>71</v>
      </c>
      <c r="D1064" s="1">
        <v>280</v>
      </c>
      <c r="G1064" s="1"/>
      <c r="H1064" s="62" t="str">
        <f>_xlfn.XLOOKUP(tblRequirementMeasureXref[[#This Row],[msr_id]],tblMeasure[msr_id],tblMeasure[msr_table])</f>
        <v>Table 5.2</v>
      </c>
      <c r="I1064" s="22" t="str">
        <f>_xlfn.XLOOKUP(tblRequirementMeasureXref[[#This Row],[msr_id]],tblMeasure[msr_id],tblMeasure[msr_name])</f>
        <v>Age within the adult social care workforce</v>
      </c>
      <c r="J1064" s="22" t="str">
        <f>_xlfn.XLOOKUP(tblRequirementMeasureXref[[#This Row],[msr_id]],tblMeasure[msr_id],tblMeasure[primary_dimensions])</f>
        <v>jobs by age group, role</v>
      </c>
      <c r="K1064" s="22" t="str">
        <f>_xlfn.XLOOKUP(tblRequirementMeasureXref[[#This Row],[msr_id]],tblMeasure[msr_id],tblMeasure[msr_min_geo_resolution])</f>
        <v>Region</v>
      </c>
      <c r="L1064" s="22" t="str">
        <f>_xlfn.XLOOKUP(tblRequirementMeasureXref[[#This Row],[msr_id]],tblMeasure[msr_id],tblMeasure[src_name])</f>
        <v>State of the ASC sector and workforce</v>
      </c>
    </row>
    <row r="1065" spans="1:12" x14ac:dyDescent="0.15">
      <c r="A1065" s="1" t="str">
        <f>_xlfn.XLOOKUP(tblRequirementMeasureXref[[#This Row],[dm_id]],tblDataRequirement[dm_id],tblDataRequirement[domain_sub_requirement])</f>
        <v>Workforce:Demographics:Age</v>
      </c>
      <c r="B1065" s="1" t="str">
        <f>_xlfn.XLOOKUP(tblRequirementMeasureXref[[#This Row],[dm_id]],tblDataRequirement[dm_id],tblDataRequirement[dm_phase])</f>
        <v>supply</v>
      </c>
      <c r="C1065" s="1">
        <v>17</v>
      </c>
      <c r="D1065" s="1">
        <v>280</v>
      </c>
      <c r="G1065" s="1"/>
      <c r="H1065" s="62" t="str">
        <f>_xlfn.XLOOKUP(tblRequirementMeasureXref[[#This Row],[msr_id]],tblMeasure[msr_id],tblMeasure[msr_table])</f>
        <v>Table 5.2</v>
      </c>
      <c r="I1065" s="22" t="str">
        <f>_xlfn.XLOOKUP(tblRequirementMeasureXref[[#This Row],[msr_id]],tblMeasure[msr_id],tblMeasure[msr_name])</f>
        <v>Age within the adult social care workforce</v>
      </c>
      <c r="J1065" s="22" t="str">
        <f>_xlfn.XLOOKUP(tblRequirementMeasureXref[[#This Row],[msr_id]],tblMeasure[msr_id],tblMeasure[primary_dimensions])</f>
        <v>jobs by age group, role</v>
      </c>
      <c r="K1065" s="22" t="str">
        <f>_xlfn.XLOOKUP(tblRequirementMeasureXref[[#This Row],[msr_id]],tblMeasure[msr_id],tblMeasure[msr_min_geo_resolution])</f>
        <v>Region</v>
      </c>
      <c r="L1065" s="22" t="str">
        <f>_xlfn.XLOOKUP(tblRequirementMeasureXref[[#This Row],[msr_id]],tblMeasure[msr_id],tblMeasure[src_name])</f>
        <v>State of the ASC sector and workforce</v>
      </c>
    </row>
    <row r="1066" spans="1:12" x14ac:dyDescent="0.15">
      <c r="A1066" s="1" t="str">
        <f>_xlfn.XLOOKUP(tblRequirementMeasureXref[[#This Row],[dm_id]],tblDataRequirement[dm_id],tblDataRequirement[domain_sub_requirement])</f>
        <v>Providers:Workforce:Filled jobs</v>
      </c>
      <c r="B1066" s="1" t="str">
        <f>_xlfn.XLOOKUP(tblRequirementMeasureXref[[#This Row],[dm_id]],tblDataRequirement[dm_id],tblDataRequirement[dm_phase])</f>
        <v>supply</v>
      </c>
      <c r="C1066" s="1">
        <v>10</v>
      </c>
      <c r="D1066" s="1">
        <v>282</v>
      </c>
      <c r="G1066" s="1"/>
      <c r="H1066" s="62" t="str">
        <f>_xlfn.XLOOKUP(tblRequirementMeasureXref[[#This Row],[msr_id]],tblMeasure[msr_id],tblMeasure[msr_table])</f>
        <v>Table 5.4</v>
      </c>
      <c r="I1066" s="22" t="str">
        <f>_xlfn.XLOOKUP(tblRequirementMeasureXref[[#This Row],[msr_id]],tblMeasure[msr_id],tblMeasure[msr_name])</f>
        <v>Disability within the adult social care workforce</v>
      </c>
      <c r="J1066" s="22" t="str">
        <f>_xlfn.XLOOKUP(tblRequirementMeasureXref[[#This Row],[msr_id]],tblMeasure[msr_id],tblMeasure[primary_dimensions])</f>
        <v>jobs by disability</v>
      </c>
      <c r="K1066" s="22" t="str">
        <f>_xlfn.XLOOKUP(tblRequirementMeasureXref[[#This Row],[msr_id]],tblMeasure[msr_id],tblMeasure[msr_min_geo_resolution])</f>
        <v>Region</v>
      </c>
      <c r="L1066" s="22" t="str">
        <f>_xlfn.XLOOKUP(tblRequirementMeasureXref[[#This Row],[msr_id]],tblMeasure[msr_id],tblMeasure[src_name])</f>
        <v>State of the ASC sector and workforce</v>
      </c>
    </row>
    <row r="1067" spans="1:12" x14ac:dyDescent="0.15">
      <c r="A1067" s="1" t="str">
        <f>_xlfn.XLOOKUP(tblRequirementMeasureXref[[#This Row],[dm_id]],tblDataRequirement[dm_id],tblDataRequirement[domain_sub_requirement])</f>
        <v>Service:Support setting:Home</v>
      </c>
      <c r="B1067" s="1" t="str">
        <f>_xlfn.XLOOKUP(tblRequirementMeasureXref[[#This Row],[dm_id]],tblDataRequirement[dm_id],tblDataRequirement[dm_phase])</f>
        <v>operate</v>
      </c>
      <c r="C1067" s="1">
        <v>40</v>
      </c>
      <c r="D1067" s="1">
        <v>282</v>
      </c>
      <c r="G1067" s="1"/>
      <c r="H1067" s="62" t="str">
        <f>_xlfn.XLOOKUP(tblRequirementMeasureXref[[#This Row],[msr_id]],tblMeasure[msr_id],tblMeasure[msr_table])</f>
        <v>Table 5.4</v>
      </c>
      <c r="I1067" s="22" t="str">
        <f>_xlfn.XLOOKUP(tblRequirementMeasureXref[[#This Row],[msr_id]],tblMeasure[msr_id],tblMeasure[msr_name])</f>
        <v>Disability within the adult social care workforce</v>
      </c>
      <c r="J1067" s="22" t="str">
        <f>_xlfn.XLOOKUP(tblRequirementMeasureXref[[#This Row],[msr_id]],tblMeasure[msr_id],tblMeasure[primary_dimensions])</f>
        <v>jobs by disability</v>
      </c>
      <c r="K1067" s="22" t="str">
        <f>_xlfn.XLOOKUP(tblRequirementMeasureXref[[#This Row],[msr_id]],tblMeasure[msr_id],tblMeasure[msr_min_geo_resolution])</f>
        <v>Region</v>
      </c>
      <c r="L1067" s="22" t="str">
        <f>_xlfn.XLOOKUP(tblRequirementMeasureXref[[#This Row],[msr_id]],tblMeasure[msr_id],tblMeasure[src_name])</f>
        <v>State of the ASC sector and workforce</v>
      </c>
    </row>
    <row r="1068" spans="1:12" x14ac:dyDescent="0.15">
      <c r="A1068" s="1" t="str">
        <f>_xlfn.XLOOKUP(tblRequirementMeasureXref[[#This Row],[dm_id]],tblDataRequirement[dm_id],tblDataRequirement[domain_sub_requirement])</f>
        <v>Service:Support setting:Residential care home</v>
      </c>
      <c r="B1068" s="1" t="str">
        <f>_xlfn.XLOOKUP(tblRequirementMeasureXref[[#This Row],[dm_id]],tblDataRequirement[dm_id],tblDataRequirement[dm_phase])</f>
        <v>operate</v>
      </c>
      <c r="C1068" s="1">
        <v>41</v>
      </c>
      <c r="D1068" s="1">
        <v>282</v>
      </c>
      <c r="G1068" s="1"/>
      <c r="H1068" s="62" t="str">
        <f>_xlfn.XLOOKUP(tblRequirementMeasureXref[[#This Row],[msr_id]],tblMeasure[msr_id],tblMeasure[msr_table])</f>
        <v>Table 5.4</v>
      </c>
      <c r="I1068" s="22" t="str">
        <f>_xlfn.XLOOKUP(tblRequirementMeasureXref[[#This Row],[msr_id]],tblMeasure[msr_id],tblMeasure[msr_name])</f>
        <v>Disability within the adult social care workforce</v>
      </c>
      <c r="J1068" s="22" t="str">
        <f>_xlfn.XLOOKUP(tblRequirementMeasureXref[[#This Row],[msr_id]],tblMeasure[msr_id],tblMeasure[primary_dimensions])</f>
        <v>jobs by disability</v>
      </c>
      <c r="K1068" s="22" t="str">
        <f>_xlfn.XLOOKUP(tblRequirementMeasureXref[[#This Row],[msr_id]],tblMeasure[msr_id],tblMeasure[msr_min_geo_resolution])</f>
        <v>Region</v>
      </c>
      <c r="L1068" s="22" t="str">
        <f>_xlfn.XLOOKUP(tblRequirementMeasureXref[[#This Row],[msr_id]],tblMeasure[msr_id],tblMeasure[src_name])</f>
        <v>State of the ASC sector and workforce</v>
      </c>
    </row>
    <row r="1069" spans="1:12" x14ac:dyDescent="0.15">
      <c r="A1069" s="1" t="str">
        <f>_xlfn.XLOOKUP(tblRequirementMeasureXref[[#This Row],[dm_id]],tblDataRequirement[dm_id],tblDataRequirement[domain_sub_requirement])</f>
        <v>Service:Support setting:Nursing home</v>
      </c>
      <c r="B1069" s="1" t="str">
        <f>_xlfn.XLOOKUP(tblRequirementMeasureXref[[#This Row],[dm_id]],tblDataRequirement[dm_id],tblDataRequirement[dm_phase])</f>
        <v>operate</v>
      </c>
      <c r="C1069" s="1">
        <v>42</v>
      </c>
      <c r="D1069" s="1">
        <v>282</v>
      </c>
      <c r="G1069" s="1"/>
      <c r="H1069" s="62" t="str">
        <f>_xlfn.XLOOKUP(tblRequirementMeasureXref[[#This Row],[msr_id]],tblMeasure[msr_id],tblMeasure[msr_table])</f>
        <v>Table 5.4</v>
      </c>
      <c r="I1069" s="22" t="str">
        <f>_xlfn.XLOOKUP(tblRequirementMeasureXref[[#This Row],[msr_id]],tblMeasure[msr_id],tblMeasure[msr_name])</f>
        <v>Disability within the adult social care workforce</v>
      </c>
      <c r="J1069" s="22" t="str">
        <f>_xlfn.XLOOKUP(tblRequirementMeasureXref[[#This Row],[msr_id]],tblMeasure[msr_id],tblMeasure[primary_dimensions])</f>
        <v>jobs by disability</v>
      </c>
      <c r="K1069" s="22" t="str">
        <f>_xlfn.XLOOKUP(tblRequirementMeasureXref[[#This Row],[msr_id]],tblMeasure[msr_id],tblMeasure[msr_min_geo_resolution])</f>
        <v>Region</v>
      </c>
      <c r="L1069" s="22" t="str">
        <f>_xlfn.XLOOKUP(tblRequirementMeasureXref[[#This Row],[msr_id]],tblMeasure[msr_id],tblMeasure[src_name])</f>
        <v>State of the ASC sector and workforce</v>
      </c>
    </row>
    <row r="1070" spans="1:12" x14ac:dyDescent="0.15">
      <c r="A1070" s="1" t="str">
        <f>_xlfn.XLOOKUP(tblRequirementMeasureXref[[#This Row],[dm_id]],tblDataRequirement[dm_id],tblDataRequirement[domain_sub_requirement])</f>
        <v>Service:Support setting:Community</v>
      </c>
      <c r="B1070" s="1" t="str">
        <f>_xlfn.XLOOKUP(tblRequirementMeasureXref[[#This Row],[dm_id]],tblDataRequirement[dm_id],tblDataRequirement[dm_phase])</f>
        <v>operate</v>
      </c>
      <c r="C1070" s="1">
        <v>43</v>
      </c>
      <c r="D1070" s="1">
        <v>282</v>
      </c>
      <c r="G1070" s="1"/>
      <c r="H1070" s="62" t="str">
        <f>_xlfn.XLOOKUP(tblRequirementMeasureXref[[#This Row],[msr_id]],tblMeasure[msr_id],tblMeasure[msr_table])</f>
        <v>Table 5.4</v>
      </c>
      <c r="I1070" s="22" t="str">
        <f>_xlfn.XLOOKUP(tblRequirementMeasureXref[[#This Row],[msr_id]],tblMeasure[msr_id],tblMeasure[msr_name])</f>
        <v>Disability within the adult social care workforce</v>
      </c>
      <c r="J1070" s="22" t="str">
        <f>_xlfn.XLOOKUP(tblRequirementMeasureXref[[#This Row],[msr_id]],tblMeasure[msr_id],tblMeasure[primary_dimensions])</f>
        <v>jobs by disability</v>
      </c>
      <c r="K1070" s="22" t="str">
        <f>_xlfn.XLOOKUP(tblRequirementMeasureXref[[#This Row],[msr_id]],tblMeasure[msr_id],tblMeasure[msr_min_geo_resolution])</f>
        <v>Region</v>
      </c>
      <c r="L1070" s="22" t="str">
        <f>_xlfn.XLOOKUP(tblRequirementMeasureXref[[#This Row],[msr_id]],tblMeasure[msr_id],tblMeasure[src_name])</f>
        <v>State of the ASC sector and workforce</v>
      </c>
    </row>
    <row r="1071" spans="1:12" x14ac:dyDescent="0.15">
      <c r="A1071" s="1" t="str">
        <f>_xlfn.XLOOKUP(tblRequirementMeasureXref[[#This Row],[dm_id]],tblDataRequirement[dm_id],tblDataRequirement[domain_sub_requirement])</f>
        <v>Providers:Type:Organisations</v>
      </c>
      <c r="B1071" s="1" t="str">
        <f>_xlfn.XLOOKUP(tblRequirementMeasureXref[[#This Row],[dm_id]],tblDataRequirement[dm_id],tblDataRequirement[dm_phase])</f>
        <v>operate</v>
      </c>
      <c r="C1071" s="1">
        <v>60</v>
      </c>
      <c r="D1071" s="1">
        <v>282</v>
      </c>
      <c r="G1071" s="1"/>
      <c r="H1071" s="62" t="str">
        <f>_xlfn.XLOOKUP(tblRequirementMeasureXref[[#This Row],[msr_id]],tblMeasure[msr_id],tblMeasure[msr_table])</f>
        <v>Table 5.4</v>
      </c>
      <c r="I1071" s="22" t="str">
        <f>_xlfn.XLOOKUP(tblRequirementMeasureXref[[#This Row],[msr_id]],tblMeasure[msr_id],tblMeasure[msr_name])</f>
        <v>Disability within the adult social care workforce</v>
      </c>
      <c r="J1071" s="22" t="str">
        <f>_xlfn.XLOOKUP(tblRequirementMeasureXref[[#This Row],[msr_id]],tblMeasure[msr_id],tblMeasure[primary_dimensions])</f>
        <v>jobs by disability</v>
      </c>
      <c r="K1071" s="22" t="str">
        <f>_xlfn.XLOOKUP(tblRequirementMeasureXref[[#This Row],[msr_id]],tblMeasure[msr_id],tblMeasure[msr_min_geo_resolution])</f>
        <v>Region</v>
      </c>
      <c r="L1071" s="22" t="str">
        <f>_xlfn.XLOOKUP(tblRequirementMeasureXref[[#This Row],[msr_id]],tblMeasure[msr_id],tblMeasure[src_name])</f>
        <v>State of the ASC sector and workforce</v>
      </c>
    </row>
    <row r="1072" spans="1:12" x14ac:dyDescent="0.15">
      <c r="A1072" s="1" t="str">
        <f>_xlfn.XLOOKUP(tblRequirementMeasureXref[[#This Row],[dm_id]],tblDataRequirement[dm_id],tblDataRequirement[domain_sub_requirement])</f>
        <v>Users:Income:Direct payments</v>
      </c>
      <c r="B1072" s="1" t="str">
        <f>_xlfn.XLOOKUP(tblRequirementMeasureXref[[#This Row],[dm_id]],tblDataRequirement[dm_id],tblDataRequirement[dm_phase])</f>
        <v>supply</v>
      </c>
      <c r="C1072" s="1">
        <v>71</v>
      </c>
      <c r="D1072" s="1">
        <v>282</v>
      </c>
      <c r="G1072" s="1"/>
      <c r="H1072" s="62" t="str">
        <f>_xlfn.XLOOKUP(tblRequirementMeasureXref[[#This Row],[msr_id]],tblMeasure[msr_id],tblMeasure[msr_table])</f>
        <v>Table 5.4</v>
      </c>
      <c r="I1072" s="22" t="str">
        <f>_xlfn.XLOOKUP(tblRequirementMeasureXref[[#This Row],[msr_id]],tblMeasure[msr_id],tblMeasure[msr_name])</f>
        <v>Disability within the adult social care workforce</v>
      </c>
      <c r="J1072" s="22" t="str">
        <f>_xlfn.XLOOKUP(tblRequirementMeasureXref[[#This Row],[msr_id]],tblMeasure[msr_id],tblMeasure[primary_dimensions])</f>
        <v>jobs by disability</v>
      </c>
      <c r="K1072" s="22" t="str">
        <f>_xlfn.XLOOKUP(tblRequirementMeasureXref[[#This Row],[msr_id]],tblMeasure[msr_id],tblMeasure[msr_min_geo_resolution])</f>
        <v>Region</v>
      </c>
      <c r="L1072" s="22" t="str">
        <f>_xlfn.XLOOKUP(tblRequirementMeasureXref[[#This Row],[msr_id]],tblMeasure[msr_id],tblMeasure[src_name])</f>
        <v>State of the ASC sector and workforce</v>
      </c>
    </row>
    <row r="1073" spans="1:12" x14ac:dyDescent="0.15">
      <c r="A1073" s="1" t="str">
        <f>_xlfn.XLOOKUP(tblRequirementMeasureXref[[#This Row],[dm_id]],tblDataRequirement[dm_id],tblDataRequirement[domain_sub_requirement])</f>
        <v>Workforce:Demographics:Disability</v>
      </c>
      <c r="B1073" s="1" t="str">
        <f>_xlfn.XLOOKUP(tblRequirementMeasureXref[[#This Row],[dm_id]],tblDataRequirement[dm_id],tblDataRequirement[dm_phase])</f>
        <v>supply</v>
      </c>
      <c r="C1073" s="1">
        <v>98</v>
      </c>
      <c r="D1073" s="1">
        <v>282</v>
      </c>
      <c r="G1073" s="1"/>
      <c r="H1073" s="62" t="str">
        <f>_xlfn.XLOOKUP(tblRequirementMeasureXref[[#This Row],[msr_id]],tblMeasure[msr_id],tblMeasure[msr_table])</f>
        <v>Table 5.4</v>
      </c>
      <c r="I1073" s="22" t="str">
        <f>_xlfn.XLOOKUP(tblRequirementMeasureXref[[#This Row],[msr_id]],tblMeasure[msr_id],tblMeasure[msr_name])</f>
        <v>Disability within the adult social care workforce</v>
      </c>
      <c r="J1073" s="22" t="str">
        <f>_xlfn.XLOOKUP(tblRequirementMeasureXref[[#This Row],[msr_id]],tblMeasure[msr_id],tblMeasure[primary_dimensions])</f>
        <v>jobs by disability</v>
      </c>
      <c r="K1073" s="22" t="str">
        <f>_xlfn.XLOOKUP(tblRequirementMeasureXref[[#This Row],[msr_id]],tblMeasure[msr_id],tblMeasure[msr_min_geo_resolution])</f>
        <v>Region</v>
      </c>
      <c r="L1073" s="22" t="str">
        <f>_xlfn.XLOOKUP(tblRequirementMeasureXref[[#This Row],[msr_id]],tblMeasure[msr_id],tblMeasure[src_name])</f>
        <v>State of the ASC sector and workforce</v>
      </c>
    </row>
    <row r="1074" spans="1:12" x14ac:dyDescent="0.15">
      <c r="A1074" s="1" t="str">
        <f>_xlfn.XLOOKUP(tblRequirementMeasureXref[[#This Row],[dm_id]],tblDataRequirement[dm_id],tblDataRequirement[domain_sub_requirement])</f>
        <v>Providers:Workforce:Filled jobs</v>
      </c>
      <c r="B1074" s="1" t="str">
        <f>_xlfn.XLOOKUP(tblRequirementMeasureXref[[#This Row],[dm_id]],tblDataRequirement[dm_id],tblDataRequirement[dm_phase])</f>
        <v>supply</v>
      </c>
      <c r="C1074" s="1">
        <v>10</v>
      </c>
      <c r="D1074" s="1">
        <v>283</v>
      </c>
      <c r="G1074" s="1"/>
      <c r="H1074" s="62" t="str">
        <f>_xlfn.XLOOKUP(tblRequirementMeasureXref[[#This Row],[msr_id]],tblMeasure[msr_id],tblMeasure[msr_table])</f>
        <v>Table 5.5</v>
      </c>
      <c r="I1074" s="22" t="str">
        <f>_xlfn.XLOOKUP(tblRequirementMeasureXref[[#This Row],[msr_id]],tblMeasure[msr_id],tblMeasure[msr_name])</f>
        <v>Ethnicity within the adult social care workforce</v>
      </c>
      <c r="J1074" s="22" t="str">
        <f>_xlfn.XLOOKUP(tblRequirementMeasureXref[[#This Row],[msr_id]],tblMeasure[msr_id],tblMeasure[primary_dimensions])</f>
        <v>jobs by ethnicity group, role</v>
      </c>
      <c r="K1074" s="22" t="str">
        <f>_xlfn.XLOOKUP(tblRequirementMeasureXref[[#This Row],[msr_id]],tblMeasure[msr_id],tblMeasure[msr_min_geo_resolution])</f>
        <v>Region</v>
      </c>
      <c r="L1074" s="22" t="str">
        <f>_xlfn.XLOOKUP(tblRequirementMeasureXref[[#This Row],[msr_id]],tblMeasure[msr_id],tblMeasure[src_name])</f>
        <v>State of the ASC sector and workforce</v>
      </c>
    </row>
    <row r="1075" spans="1:12" x14ac:dyDescent="0.15">
      <c r="A1075" s="1" t="str">
        <f>_xlfn.XLOOKUP(tblRequirementMeasureXref[[#This Row],[dm_id]],tblDataRequirement[dm_id],tblDataRequirement[domain_sub_requirement])</f>
        <v>Service:Support setting:Home</v>
      </c>
      <c r="B1075" s="1" t="str">
        <f>_xlfn.XLOOKUP(tblRequirementMeasureXref[[#This Row],[dm_id]],tblDataRequirement[dm_id],tblDataRequirement[dm_phase])</f>
        <v>operate</v>
      </c>
      <c r="C1075" s="1">
        <v>40</v>
      </c>
      <c r="D1075" s="1">
        <v>283</v>
      </c>
      <c r="G1075" s="1"/>
      <c r="H1075" s="62" t="str">
        <f>_xlfn.XLOOKUP(tblRequirementMeasureXref[[#This Row],[msr_id]],tblMeasure[msr_id],tblMeasure[msr_table])</f>
        <v>Table 5.5</v>
      </c>
      <c r="I1075" s="22" t="str">
        <f>_xlfn.XLOOKUP(tblRequirementMeasureXref[[#This Row],[msr_id]],tblMeasure[msr_id],tblMeasure[msr_name])</f>
        <v>Ethnicity within the adult social care workforce</v>
      </c>
      <c r="J1075" s="22" t="str">
        <f>_xlfn.XLOOKUP(tblRequirementMeasureXref[[#This Row],[msr_id]],tblMeasure[msr_id],tblMeasure[primary_dimensions])</f>
        <v>jobs by ethnicity group, role</v>
      </c>
      <c r="K1075" s="22" t="str">
        <f>_xlfn.XLOOKUP(tblRequirementMeasureXref[[#This Row],[msr_id]],tblMeasure[msr_id],tblMeasure[msr_min_geo_resolution])</f>
        <v>Region</v>
      </c>
      <c r="L1075" s="22" t="str">
        <f>_xlfn.XLOOKUP(tblRequirementMeasureXref[[#This Row],[msr_id]],tblMeasure[msr_id],tblMeasure[src_name])</f>
        <v>State of the ASC sector and workforce</v>
      </c>
    </row>
    <row r="1076" spans="1:12" x14ac:dyDescent="0.15">
      <c r="A1076" s="1" t="str">
        <f>_xlfn.XLOOKUP(tblRequirementMeasureXref[[#This Row],[dm_id]],tblDataRequirement[dm_id],tblDataRequirement[domain_sub_requirement])</f>
        <v>Service:Support setting:Residential care home</v>
      </c>
      <c r="B1076" s="1" t="str">
        <f>_xlfn.XLOOKUP(tblRequirementMeasureXref[[#This Row],[dm_id]],tblDataRequirement[dm_id],tblDataRequirement[dm_phase])</f>
        <v>operate</v>
      </c>
      <c r="C1076" s="1">
        <v>41</v>
      </c>
      <c r="D1076" s="1">
        <v>283</v>
      </c>
      <c r="G1076" s="1"/>
      <c r="H1076" s="62" t="str">
        <f>_xlfn.XLOOKUP(tblRequirementMeasureXref[[#This Row],[msr_id]],tblMeasure[msr_id],tblMeasure[msr_table])</f>
        <v>Table 5.5</v>
      </c>
      <c r="I1076" s="22" t="str">
        <f>_xlfn.XLOOKUP(tblRequirementMeasureXref[[#This Row],[msr_id]],tblMeasure[msr_id],tblMeasure[msr_name])</f>
        <v>Ethnicity within the adult social care workforce</v>
      </c>
      <c r="J1076" s="22" t="str">
        <f>_xlfn.XLOOKUP(tblRequirementMeasureXref[[#This Row],[msr_id]],tblMeasure[msr_id],tblMeasure[primary_dimensions])</f>
        <v>jobs by ethnicity group, role</v>
      </c>
      <c r="K1076" s="22" t="str">
        <f>_xlfn.XLOOKUP(tblRequirementMeasureXref[[#This Row],[msr_id]],tblMeasure[msr_id],tblMeasure[msr_min_geo_resolution])</f>
        <v>Region</v>
      </c>
      <c r="L1076" s="22" t="str">
        <f>_xlfn.XLOOKUP(tblRequirementMeasureXref[[#This Row],[msr_id]],tblMeasure[msr_id],tblMeasure[src_name])</f>
        <v>State of the ASC sector and workforce</v>
      </c>
    </row>
    <row r="1077" spans="1:12" x14ac:dyDescent="0.15">
      <c r="A1077" s="1" t="str">
        <f>_xlfn.XLOOKUP(tblRequirementMeasureXref[[#This Row],[dm_id]],tblDataRequirement[dm_id],tblDataRequirement[domain_sub_requirement])</f>
        <v>Service:Support setting:Nursing home</v>
      </c>
      <c r="B1077" s="1" t="str">
        <f>_xlfn.XLOOKUP(tblRequirementMeasureXref[[#This Row],[dm_id]],tblDataRequirement[dm_id],tblDataRequirement[dm_phase])</f>
        <v>operate</v>
      </c>
      <c r="C1077" s="1">
        <v>42</v>
      </c>
      <c r="D1077" s="1">
        <v>283</v>
      </c>
      <c r="G1077" s="1"/>
      <c r="H1077" s="62" t="str">
        <f>_xlfn.XLOOKUP(tblRequirementMeasureXref[[#This Row],[msr_id]],tblMeasure[msr_id],tblMeasure[msr_table])</f>
        <v>Table 5.5</v>
      </c>
      <c r="I1077" s="22" t="str">
        <f>_xlfn.XLOOKUP(tblRequirementMeasureXref[[#This Row],[msr_id]],tblMeasure[msr_id],tblMeasure[msr_name])</f>
        <v>Ethnicity within the adult social care workforce</v>
      </c>
      <c r="J1077" s="22" t="str">
        <f>_xlfn.XLOOKUP(tblRequirementMeasureXref[[#This Row],[msr_id]],tblMeasure[msr_id],tblMeasure[primary_dimensions])</f>
        <v>jobs by ethnicity group, role</v>
      </c>
      <c r="K1077" s="22" t="str">
        <f>_xlfn.XLOOKUP(tblRequirementMeasureXref[[#This Row],[msr_id]],tblMeasure[msr_id],tblMeasure[msr_min_geo_resolution])</f>
        <v>Region</v>
      </c>
      <c r="L1077" s="22" t="str">
        <f>_xlfn.XLOOKUP(tblRequirementMeasureXref[[#This Row],[msr_id]],tblMeasure[msr_id],tblMeasure[src_name])</f>
        <v>State of the ASC sector and workforce</v>
      </c>
    </row>
    <row r="1078" spans="1:12" x14ac:dyDescent="0.15">
      <c r="A1078" s="1" t="str">
        <f>_xlfn.XLOOKUP(tblRequirementMeasureXref[[#This Row],[dm_id]],tblDataRequirement[dm_id],tblDataRequirement[domain_sub_requirement])</f>
        <v>Service:Support setting:Community</v>
      </c>
      <c r="B1078" s="1" t="str">
        <f>_xlfn.XLOOKUP(tblRequirementMeasureXref[[#This Row],[dm_id]],tblDataRequirement[dm_id],tblDataRequirement[dm_phase])</f>
        <v>operate</v>
      </c>
      <c r="C1078" s="1">
        <v>43</v>
      </c>
      <c r="D1078" s="1">
        <v>283</v>
      </c>
      <c r="G1078" s="1"/>
      <c r="H1078" s="62" t="str">
        <f>_xlfn.XLOOKUP(tblRequirementMeasureXref[[#This Row],[msr_id]],tblMeasure[msr_id],tblMeasure[msr_table])</f>
        <v>Table 5.5</v>
      </c>
      <c r="I1078" s="22" t="str">
        <f>_xlfn.XLOOKUP(tblRequirementMeasureXref[[#This Row],[msr_id]],tblMeasure[msr_id],tblMeasure[msr_name])</f>
        <v>Ethnicity within the adult social care workforce</v>
      </c>
      <c r="J1078" s="22" t="str">
        <f>_xlfn.XLOOKUP(tblRequirementMeasureXref[[#This Row],[msr_id]],tblMeasure[msr_id],tblMeasure[primary_dimensions])</f>
        <v>jobs by ethnicity group, role</v>
      </c>
      <c r="K1078" s="22" t="str">
        <f>_xlfn.XLOOKUP(tblRequirementMeasureXref[[#This Row],[msr_id]],tblMeasure[msr_id],tblMeasure[msr_min_geo_resolution])</f>
        <v>Region</v>
      </c>
      <c r="L1078" s="22" t="str">
        <f>_xlfn.XLOOKUP(tblRequirementMeasureXref[[#This Row],[msr_id]],tblMeasure[msr_id],tblMeasure[src_name])</f>
        <v>State of the ASC sector and workforce</v>
      </c>
    </row>
    <row r="1079" spans="1:12" x14ac:dyDescent="0.15">
      <c r="A1079" s="1" t="str">
        <f>_xlfn.XLOOKUP(tblRequirementMeasureXref[[#This Row],[dm_id]],tblDataRequirement[dm_id],tblDataRequirement[domain_sub_requirement])</f>
        <v>Providers:Type:Organisations</v>
      </c>
      <c r="B1079" s="1" t="str">
        <f>_xlfn.XLOOKUP(tblRequirementMeasureXref[[#This Row],[dm_id]],tblDataRequirement[dm_id],tblDataRequirement[dm_phase])</f>
        <v>operate</v>
      </c>
      <c r="C1079" s="1">
        <v>60</v>
      </c>
      <c r="D1079" s="1">
        <v>283</v>
      </c>
      <c r="G1079" s="1"/>
      <c r="H1079" s="62" t="str">
        <f>_xlfn.XLOOKUP(tblRequirementMeasureXref[[#This Row],[msr_id]],tblMeasure[msr_id],tblMeasure[msr_table])</f>
        <v>Table 5.5</v>
      </c>
      <c r="I1079" s="22" t="str">
        <f>_xlfn.XLOOKUP(tblRequirementMeasureXref[[#This Row],[msr_id]],tblMeasure[msr_id],tblMeasure[msr_name])</f>
        <v>Ethnicity within the adult social care workforce</v>
      </c>
      <c r="J1079" s="22" t="str">
        <f>_xlfn.XLOOKUP(tblRequirementMeasureXref[[#This Row],[msr_id]],tblMeasure[msr_id],tblMeasure[primary_dimensions])</f>
        <v>jobs by ethnicity group, role</v>
      </c>
      <c r="K1079" s="22" t="str">
        <f>_xlfn.XLOOKUP(tblRequirementMeasureXref[[#This Row],[msr_id]],tblMeasure[msr_id],tblMeasure[msr_min_geo_resolution])</f>
        <v>Region</v>
      </c>
      <c r="L1079" s="22" t="str">
        <f>_xlfn.XLOOKUP(tblRequirementMeasureXref[[#This Row],[msr_id]],tblMeasure[msr_id],tblMeasure[src_name])</f>
        <v>State of the ASC sector and workforce</v>
      </c>
    </row>
    <row r="1080" spans="1:12" x14ac:dyDescent="0.15">
      <c r="A1080" s="1" t="str">
        <f>_xlfn.XLOOKUP(tblRequirementMeasureXref[[#This Row],[dm_id]],tblDataRequirement[dm_id],tblDataRequirement[domain_sub_requirement])</f>
        <v>Users:Income:Direct payments</v>
      </c>
      <c r="B1080" s="1" t="str">
        <f>_xlfn.XLOOKUP(tblRequirementMeasureXref[[#This Row],[dm_id]],tblDataRequirement[dm_id],tblDataRequirement[dm_phase])</f>
        <v>supply</v>
      </c>
      <c r="C1080" s="1">
        <v>71</v>
      </c>
      <c r="D1080" s="1">
        <v>283</v>
      </c>
      <c r="G1080" s="1"/>
      <c r="H1080" s="62" t="str">
        <f>_xlfn.XLOOKUP(tblRequirementMeasureXref[[#This Row],[msr_id]],tblMeasure[msr_id],tblMeasure[msr_table])</f>
        <v>Table 5.5</v>
      </c>
      <c r="I1080" s="22" t="str">
        <f>_xlfn.XLOOKUP(tblRequirementMeasureXref[[#This Row],[msr_id]],tblMeasure[msr_id],tblMeasure[msr_name])</f>
        <v>Ethnicity within the adult social care workforce</v>
      </c>
      <c r="J1080" s="22" t="str">
        <f>_xlfn.XLOOKUP(tblRequirementMeasureXref[[#This Row],[msr_id]],tblMeasure[msr_id],tblMeasure[primary_dimensions])</f>
        <v>jobs by ethnicity group, role</v>
      </c>
      <c r="K1080" s="22" t="str">
        <f>_xlfn.XLOOKUP(tblRequirementMeasureXref[[#This Row],[msr_id]],tblMeasure[msr_id],tblMeasure[msr_min_geo_resolution])</f>
        <v>Region</v>
      </c>
      <c r="L1080" s="22" t="str">
        <f>_xlfn.XLOOKUP(tblRequirementMeasureXref[[#This Row],[msr_id]],tblMeasure[msr_id],tblMeasure[src_name])</f>
        <v>State of the ASC sector and workforce</v>
      </c>
    </row>
    <row r="1081" spans="1:12" x14ac:dyDescent="0.15">
      <c r="A1081" s="1" t="str">
        <f>_xlfn.XLOOKUP(tblRequirementMeasureXref[[#This Row],[dm_id]],tblDataRequirement[dm_id],tblDataRequirement[domain_sub_requirement])</f>
        <v>Workforce:Demographics:Ethnicity</v>
      </c>
      <c r="B1081" s="1" t="str">
        <f>_xlfn.XLOOKUP(tblRequirementMeasureXref[[#This Row],[dm_id]],tblDataRequirement[dm_id],tblDataRequirement[dm_phase])</f>
        <v>supply</v>
      </c>
      <c r="C1081" s="1">
        <v>97</v>
      </c>
      <c r="D1081" s="1">
        <v>283</v>
      </c>
      <c r="G1081" s="1"/>
      <c r="H1081" s="62" t="str">
        <f>_xlfn.XLOOKUP(tblRequirementMeasureXref[[#This Row],[msr_id]],tblMeasure[msr_id],tblMeasure[msr_table])</f>
        <v>Table 5.5</v>
      </c>
      <c r="I1081" s="22" t="str">
        <f>_xlfn.XLOOKUP(tblRequirementMeasureXref[[#This Row],[msr_id]],tblMeasure[msr_id],tblMeasure[msr_name])</f>
        <v>Ethnicity within the adult social care workforce</v>
      </c>
      <c r="J1081" s="22" t="str">
        <f>_xlfn.XLOOKUP(tblRequirementMeasureXref[[#This Row],[msr_id]],tblMeasure[msr_id],tblMeasure[primary_dimensions])</f>
        <v>jobs by ethnicity group, role</v>
      </c>
      <c r="K1081" s="22" t="str">
        <f>_xlfn.XLOOKUP(tblRequirementMeasureXref[[#This Row],[msr_id]],tblMeasure[msr_id],tblMeasure[msr_min_geo_resolution])</f>
        <v>Region</v>
      </c>
      <c r="L1081" s="22" t="str">
        <f>_xlfn.XLOOKUP(tblRequirementMeasureXref[[#This Row],[msr_id]],tblMeasure[msr_id],tblMeasure[src_name])</f>
        <v>State of the ASC sector and workforce</v>
      </c>
    </row>
    <row r="1082" spans="1:12" x14ac:dyDescent="0.15">
      <c r="A1082" s="1" t="str">
        <f>_xlfn.XLOOKUP(tblRequirementMeasureXref[[#This Row],[dm_id]],tblDataRequirement[dm_id],tblDataRequirement[domain_sub_requirement])</f>
        <v>Providers:Workforce:Filled jobs</v>
      </c>
      <c r="B1082" s="1" t="str">
        <f>_xlfn.XLOOKUP(tblRequirementMeasureXref[[#This Row],[dm_id]],tblDataRequirement[dm_id],tblDataRequirement[dm_phase])</f>
        <v>supply</v>
      </c>
      <c r="C1082" s="1">
        <v>10</v>
      </c>
      <c r="D1082" s="1">
        <v>284</v>
      </c>
      <c r="G1082" s="1"/>
      <c r="H1082" s="62" t="str">
        <f>_xlfn.XLOOKUP(tblRequirementMeasureXref[[#This Row],[msr_id]],tblMeasure[msr_id],tblMeasure[msr_table])</f>
        <v>Table 5.6</v>
      </c>
      <c r="I1082" s="22" t="str">
        <f>_xlfn.XLOOKUP(tblRequirementMeasureXref[[#This Row],[msr_id]],tblMeasure[msr_id],tblMeasure[msr_name])</f>
        <v>Nationality within the adult social care workforce</v>
      </c>
      <c r="J1082" s="22" t="str">
        <f>_xlfn.XLOOKUP(tblRequirementMeasureXref[[#This Row],[msr_id]],tblMeasure[msr_id],tblMeasure[primary_dimensions])</f>
        <v>jobs by nationality group, role</v>
      </c>
      <c r="K1082" s="22" t="str">
        <f>_xlfn.XLOOKUP(tblRequirementMeasureXref[[#This Row],[msr_id]],tblMeasure[msr_id],tblMeasure[msr_min_geo_resolution])</f>
        <v>Region</v>
      </c>
      <c r="L1082" s="22" t="str">
        <f>_xlfn.XLOOKUP(tblRequirementMeasureXref[[#This Row],[msr_id]],tblMeasure[msr_id],tblMeasure[src_name])</f>
        <v>State of the ASC sector and workforce</v>
      </c>
    </row>
    <row r="1083" spans="1:12" x14ac:dyDescent="0.15">
      <c r="A1083" s="1" t="str">
        <f>_xlfn.XLOOKUP(tblRequirementMeasureXref[[#This Row],[dm_id]],tblDataRequirement[dm_id],tblDataRequirement[domain_sub_requirement])</f>
        <v>Service:Support setting:Home</v>
      </c>
      <c r="B1083" s="1" t="str">
        <f>_xlfn.XLOOKUP(tblRequirementMeasureXref[[#This Row],[dm_id]],tblDataRequirement[dm_id],tblDataRequirement[dm_phase])</f>
        <v>operate</v>
      </c>
      <c r="C1083" s="1">
        <v>40</v>
      </c>
      <c r="D1083" s="1">
        <v>284</v>
      </c>
      <c r="G1083" s="1"/>
      <c r="H1083" s="62" t="str">
        <f>_xlfn.XLOOKUP(tblRequirementMeasureXref[[#This Row],[msr_id]],tblMeasure[msr_id],tblMeasure[msr_table])</f>
        <v>Table 5.6</v>
      </c>
      <c r="I1083" s="22" t="str">
        <f>_xlfn.XLOOKUP(tblRequirementMeasureXref[[#This Row],[msr_id]],tblMeasure[msr_id],tblMeasure[msr_name])</f>
        <v>Nationality within the adult social care workforce</v>
      </c>
      <c r="J1083" s="22" t="str">
        <f>_xlfn.XLOOKUP(tblRequirementMeasureXref[[#This Row],[msr_id]],tblMeasure[msr_id],tblMeasure[primary_dimensions])</f>
        <v>jobs by nationality group, role</v>
      </c>
      <c r="K1083" s="22" t="str">
        <f>_xlfn.XLOOKUP(tblRequirementMeasureXref[[#This Row],[msr_id]],tblMeasure[msr_id],tblMeasure[msr_min_geo_resolution])</f>
        <v>Region</v>
      </c>
      <c r="L1083" s="22" t="str">
        <f>_xlfn.XLOOKUP(tblRequirementMeasureXref[[#This Row],[msr_id]],tblMeasure[msr_id],tblMeasure[src_name])</f>
        <v>State of the ASC sector and workforce</v>
      </c>
    </row>
    <row r="1084" spans="1:12" x14ac:dyDescent="0.15">
      <c r="A1084" s="1" t="str">
        <f>_xlfn.XLOOKUP(tblRequirementMeasureXref[[#This Row],[dm_id]],tblDataRequirement[dm_id],tblDataRequirement[domain_sub_requirement])</f>
        <v>Service:Support setting:Residential care home</v>
      </c>
      <c r="B1084" s="1" t="str">
        <f>_xlfn.XLOOKUP(tblRequirementMeasureXref[[#This Row],[dm_id]],tblDataRequirement[dm_id],tblDataRequirement[dm_phase])</f>
        <v>operate</v>
      </c>
      <c r="C1084" s="1">
        <v>41</v>
      </c>
      <c r="D1084" s="1">
        <v>284</v>
      </c>
      <c r="G1084" s="1"/>
      <c r="H1084" s="62" t="str">
        <f>_xlfn.XLOOKUP(tblRequirementMeasureXref[[#This Row],[msr_id]],tblMeasure[msr_id],tblMeasure[msr_table])</f>
        <v>Table 5.6</v>
      </c>
      <c r="I1084" s="22" t="str">
        <f>_xlfn.XLOOKUP(tblRequirementMeasureXref[[#This Row],[msr_id]],tblMeasure[msr_id],tblMeasure[msr_name])</f>
        <v>Nationality within the adult social care workforce</v>
      </c>
      <c r="J1084" s="22" t="str">
        <f>_xlfn.XLOOKUP(tblRequirementMeasureXref[[#This Row],[msr_id]],tblMeasure[msr_id],tblMeasure[primary_dimensions])</f>
        <v>jobs by nationality group, role</v>
      </c>
      <c r="K1084" s="22" t="str">
        <f>_xlfn.XLOOKUP(tblRequirementMeasureXref[[#This Row],[msr_id]],tblMeasure[msr_id],tblMeasure[msr_min_geo_resolution])</f>
        <v>Region</v>
      </c>
      <c r="L1084" s="22" t="str">
        <f>_xlfn.XLOOKUP(tblRequirementMeasureXref[[#This Row],[msr_id]],tblMeasure[msr_id],tblMeasure[src_name])</f>
        <v>State of the ASC sector and workforce</v>
      </c>
    </row>
    <row r="1085" spans="1:12" x14ac:dyDescent="0.15">
      <c r="A1085" s="1" t="str">
        <f>_xlfn.XLOOKUP(tblRequirementMeasureXref[[#This Row],[dm_id]],tblDataRequirement[dm_id],tblDataRequirement[domain_sub_requirement])</f>
        <v>Service:Support setting:Nursing home</v>
      </c>
      <c r="B1085" s="1" t="str">
        <f>_xlfn.XLOOKUP(tblRequirementMeasureXref[[#This Row],[dm_id]],tblDataRequirement[dm_id],tblDataRequirement[dm_phase])</f>
        <v>operate</v>
      </c>
      <c r="C1085" s="1">
        <v>42</v>
      </c>
      <c r="D1085" s="1">
        <v>284</v>
      </c>
      <c r="G1085" s="1"/>
      <c r="H1085" s="62" t="str">
        <f>_xlfn.XLOOKUP(tblRequirementMeasureXref[[#This Row],[msr_id]],tblMeasure[msr_id],tblMeasure[msr_table])</f>
        <v>Table 5.6</v>
      </c>
      <c r="I1085" s="22" t="str">
        <f>_xlfn.XLOOKUP(tblRequirementMeasureXref[[#This Row],[msr_id]],tblMeasure[msr_id],tblMeasure[msr_name])</f>
        <v>Nationality within the adult social care workforce</v>
      </c>
      <c r="J1085" s="22" t="str">
        <f>_xlfn.XLOOKUP(tblRequirementMeasureXref[[#This Row],[msr_id]],tblMeasure[msr_id],tblMeasure[primary_dimensions])</f>
        <v>jobs by nationality group, role</v>
      </c>
      <c r="K1085" s="22" t="str">
        <f>_xlfn.XLOOKUP(tblRequirementMeasureXref[[#This Row],[msr_id]],tblMeasure[msr_id],tblMeasure[msr_min_geo_resolution])</f>
        <v>Region</v>
      </c>
      <c r="L1085" s="22" t="str">
        <f>_xlfn.XLOOKUP(tblRequirementMeasureXref[[#This Row],[msr_id]],tblMeasure[msr_id],tblMeasure[src_name])</f>
        <v>State of the ASC sector and workforce</v>
      </c>
    </row>
    <row r="1086" spans="1:12" x14ac:dyDescent="0.15">
      <c r="A1086" s="1" t="str">
        <f>_xlfn.XLOOKUP(tblRequirementMeasureXref[[#This Row],[dm_id]],tblDataRequirement[dm_id],tblDataRequirement[domain_sub_requirement])</f>
        <v>Service:Support setting:Community</v>
      </c>
      <c r="B1086" s="1" t="str">
        <f>_xlfn.XLOOKUP(tblRequirementMeasureXref[[#This Row],[dm_id]],tblDataRequirement[dm_id],tblDataRequirement[dm_phase])</f>
        <v>operate</v>
      </c>
      <c r="C1086" s="1">
        <v>43</v>
      </c>
      <c r="D1086" s="1">
        <v>284</v>
      </c>
      <c r="G1086" s="1"/>
      <c r="H1086" s="62" t="str">
        <f>_xlfn.XLOOKUP(tblRequirementMeasureXref[[#This Row],[msr_id]],tblMeasure[msr_id],tblMeasure[msr_table])</f>
        <v>Table 5.6</v>
      </c>
      <c r="I1086" s="22" t="str">
        <f>_xlfn.XLOOKUP(tblRequirementMeasureXref[[#This Row],[msr_id]],tblMeasure[msr_id],tblMeasure[msr_name])</f>
        <v>Nationality within the adult social care workforce</v>
      </c>
      <c r="J1086" s="22" t="str">
        <f>_xlfn.XLOOKUP(tblRequirementMeasureXref[[#This Row],[msr_id]],tblMeasure[msr_id],tblMeasure[primary_dimensions])</f>
        <v>jobs by nationality group, role</v>
      </c>
      <c r="K1086" s="22" t="str">
        <f>_xlfn.XLOOKUP(tblRequirementMeasureXref[[#This Row],[msr_id]],tblMeasure[msr_id],tblMeasure[msr_min_geo_resolution])</f>
        <v>Region</v>
      </c>
      <c r="L1086" s="22" t="str">
        <f>_xlfn.XLOOKUP(tblRequirementMeasureXref[[#This Row],[msr_id]],tblMeasure[msr_id],tblMeasure[src_name])</f>
        <v>State of the ASC sector and workforce</v>
      </c>
    </row>
    <row r="1087" spans="1:12" x14ac:dyDescent="0.15">
      <c r="A1087" s="1" t="str">
        <f>_xlfn.XLOOKUP(tblRequirementMeasureXref[[#This Row],[dm_id]],tblDataRequirement[dm_id],tblDataRequirement[domain_sub_requirement])</f>
        <v>Providers:Type:Organisations</v>
      </c>
      <c r="B1087" s="1" t="str">
        <f>_xlfn.XLOOKUP(tblRequirementMeasureXref[[#This Row],[dm_id]],tblDataRequirement[dm_id],tblDataRequirement[dm_phase])</f>
        <v>operate</v>
      </c>
      <c r="C1087" s="1">
        <v>60</v>
      </c>
      <c r="D1087" s="1">
        <v>284</v>
      </c>
      <c r="G1087" s="1"/>
      <c r="H1087" s="62" t="str">
        <f>_xlfn.XLOOKUP(tblRequirementMeasureXref[[#This Row],[msr_id]],tblMeasure[msr_id],tblMeasure[msr_table])</f>
        <v>Table 5.6</v>
      </c>
      <c r="I1087" s="22" t="str">
        <f>_xlfn.XLOOKUP(tblRequirementMeasureXref[[#This Row],[msr_id]],tblMeasure[msr_id],tblMeasure[msr_name])</f>
        <v>Nationality within the adult social care workforce</v>
      </c>
      <c r="J1087" s="22" t="str">
        <f>_xlfn.XLOOKUP(tblRequirementMeasureXref[[#This Row],[msr_id]],tblMeasure[msr_id],tblMeasure[primary_dimensions])</f>
        <v>jobs by nationality group, role</v>
      </c>
      <c r="K1087" s="22" t="str">
        <f>_xlfn.XLOOKUP(tblRequirementMeasureXref[[#This Row],[msr_id]],tblMeasure[msr_id],tblMeasure[msr_min_geo_resolution])</f>
        <v>Region</v>
      </c>
      <c r="L1087" s="22" t="str">
        <f>_xlfn.XLOOKUP(tblRequirementMeasureXref[[#This Row],[msr_id]],tblMeasure[msr_id],tblMeasure[src_name])</f>
        <v>State of the ASC sector and workforce</v>
      </c>
    </row>
    <row r="1088" spans="1:12" x14ac:dyDescent="0.15">
      <c r="A1088" s="1" t="str">
        <f>_xlfn.XLOOKUP(tblRequirementMeasureXref[[#This Row],[dm_id]],tblDataRequirement[dm_id],tblDataRequirement[domain_sub_requirement])</f>
        <v>Users:Income:Direct payments</v>
      </c>
      <c r="B1088" s="1" t="str">
        <f>_xlfn.XLOOKUP(tblRequirementMeasureXref[[#This Row],[dm_id]],tblDataRequirement[dm_id],tblDataRequirement[dm_phase])</f>
        <v>supply</v>
      </c>
      <c r="C1088" s="1">
        <v>71</v>
      </c>
      <c r="D1088" s="1">
        <v>284</v>
      </c>
      <c r="G1088" s="1"/>
      <c r="H1088" s="62" t="str">
        <f>_xlfn.XLOOKUP(tblRequirementMeasureXref[[#This Row],[msr_id]],tblMeasure[msr_id],tblMeasure[msr_table])</f>
        <v>Table 5.6</v>
      </c>
      <c r="I1088" s="22" t="str">
        <f>_xlfn.XLOOKUP(tblRequirementMeasureXref[[#This Row],[msr_id]],tblMeasure[msr_id],tblMeasure[msr_name])</f>
        <v>Nationality within the adult social care workforce</v>
      </c>
      <c r="J1088" s="22" t="str">
        <f>_xlfn.XLOOKUP(tblRequirementMeasureXref[[#This Row],[msr_id]],tblMeasure[msr_id],tblMeasure[primary_dimensions])</f>
        <v>jobs by nationality group, role</v>
      </c>
      <c r="K1088" s="22" t="str">
        <f>_xlfn.XLOOKUP(tblRequirementMeasureXref[[#This Row],[msr_id]],tblMeasure[msr_id],tblMeasure[msr_min_geo_resolution])</f>
        <v>Region</v>
      </c>
      <c r="L1088" s="22" t="str">
        <f>_xlfn.XLOOKUP(tblRequirementMeasureXref[[#This Row],[msr_id]],tblMeasure[msr_id],tblMeasure[src_name])</f>
        <v>State of the ASC sector and workforce</v>
      </c>
    </row>
    <row r="1089" spans="1:12" x14ac:dyDescent="0.15">
      <c r="A1089" s="1" t="str">
        <f>_xlfn.XLOOKUP(tblRequirementMeasureXref[[#This Row],[dm_id]],tblDataRequirement[dm_id],tblDataRequirement[domain_sub_requirement])</f>
        <v>Workforce:Demographics:Nationality/Birth/Migration</v>
      </c>
      <c r="B1089" s="1" t="str">
        <f>_xlfn.XLOOKUP(tblRequirementMeasureXref[[#This Row],[dm_id]],tblDataRequirement[dm_id],tblDataRequirement[dm_phase])</f>
        <v>supply</v>
      </c>
      <c r="C1089" s="1">
        <v>99</v>
      </c>
      <c r="D1089" s="1">
        <v>284</v>
      </c>
      <c r="G1089" s="1"/>
      <c r="H1089" s="62" t="str">
        <f>_xlfn.XLOOKUP(tblRequirementMeasureXref[[#This Row],[msr_id]],tblMeasure[msr_id],tblMeasure[msr_table])</f>
        <v>Table 5.6</v>
      </c>
      <c r="I1089" s="22" t="str">
        <f>_xlfn.XLOOKUP(tblRequirementMeasureXref[[#This Row],[msr_id]],tblMeasure[msr_id],tblMeasure[msr_name])</f>
        <v>Nationality within the adult social care workforce</v>
      </c>
      <c r="J1089" s="22" t="str">
        <f>_xlfn.XLOOKUP(tblRequirementMeasureXref[[#This Row],[msr_id]],tblMeasure[msr_id],tblMeasure[primary_dimensions])</f>
        <v>jobs by nationality group, role</v>
      </c>
      <c r="K1089" s="22" t="str">
        <f>_xlfn.XLOOKUP(tblRequirementMeasureXref[[#This Row],[msr_id]],tblMeasure[msr_id],tblMeasure[msr_min_geo_resolution])</f>
        <v>Region</v>
      </c>
      <c r="L1089" s="22" t="str">
        <f>_xlfn.XLOOKUP(tblRequirementMeasureXref[[#This Row],[msr_id]],tblMeasure[msr_id],tblMeasure[src_name])</f>
        <v>State of the ASC sector and workforce</v>
      </c>
    </row>
    <row r="1090" spans="1:12" x14ac:dyDescent="0.15">
      <c r="A1090" s="1" t="str">
        <f>_xlfn.XLOOKUP(tblRequirementMeasureXref[[#This Row],[dm_id]],tblDataRequirement[dm_id],tblDataRequirement[domain_sub_requirement])</f>
        <v>Providers:Workforce:Filled jobs</v>
      </c>
      <c r="B1090" s="1" t="str">
        <f>_xlfn.XLOOKUP(tblRequirementMeasureXref[[#This Row],[dm_id]],tblDataRequirement[dm_id],tblDataRequirement[dm_phase])</f>
        <v>supply</v>
      </c>
      <c r="C1090" s="1">
        <v>10</v>
      </c>
      <c r="D1090" s="1">
        <v>286</v>
      </c>
      <c r="G1090" s="1"/>
      <c r="H1090" s="62" t="str">
        <f>_xlfn.XLOOKUP(tblRequirementMeasureXref[[#This Row],[msr_id]],tblMeasure[msr_id],tblMeasure[msr_table])</f>
        <v>Table 5.8</v>
      </c>
      <c r="I1090" s="22" t="str">
        <f>_xlfn.XLOOKUP(tblRequirementMeasureXref[[#This Row],[msr_id]],tblMeasure[msr_id],tblMeasure[msr_name])</f>
        <v>Top 5 Nationalities</v>
      </c>
      <c r="J1090" s="22" t="str">
        <f>_xlfn.XLOOKUP(tblRequirementMeasureXref[[#This Row],[msr_id]],tblMeasure[msr_id],tblMeasure[primary_dimensions])</f>
        <v>jobs by top nationality, role</v>
      </c>
      <c r="K1090" s="22" t="str">
        <f>_xlfn.XLOOKUP(tblRequirementMeasureXref[[#This Row],[msr_id]],tblMeasure[msr_id],tblMeasure[msr_min_geo_resolution])</f>
        <v>Region</v>
      </c>
      <c r="L1090" s="22" t="str">
        <f>_xlfn.XLOOKUP(tblRequirementMeasureXref[[#This Row],[msr_id]],tblMeasure[msr_id],tblMeasure[src_name])</f>
        <v>State of the ASC sector and workforce</v>
      </c>
    </row>
    <row r="1091" spans="1:12" x14ac:dyDescent="0.15">
      <c r="A1091" s="1" t="str">
        <f>_xlfn.XLOOKUP(tblRequirementMeasureXref[[#This Row],[dm_id]],tblDataRequirement[dm_id],tblDataRequirement[domain_sub_requirement])</f>
        <v>Service:Support setting:Home</v>
      </c>
      <c r="B1091" s="1" t="str">
        <f>_xlfn.XLOOKUP(tblRequirementMeasureXref[[#This Row],[dm_id]],tblDataRequirement[dm_id],tblDataRequirement[dm_phase])</f>
        <v>operate</v>
      </c>
      <c r="C1091" s="1">
        <v>40</v>
      </c>
      <c r="D1091" s="1">
        <v>286</v>
      </c>
      <c r="G1091" s="1"/>
      <c r="H1091" s="62" t="str">
        <f>_xlfn.XLOOKUP(tblRequirementMeasureXref[[#This Row],[msr_id]],tblMeasure[msr_id],tblMeasure[msr_table])</f>
        <v>Table 5.8</v>
      </c>
      <c r="I1091" s="22" t="str">
        <f>_xlfn.XLOOKUP(tblRequirementMeasureXref[[#This Row],[msr_id]],tblMeasure[msr_id],tblMeasure[msr_name])</f>
        <v>Top 5 Nationalities</v>
      </c>
      <c r="J1091" s="22" t="str">
        <f>_xlfn.XLOOKUP(tblRequirementMeasureXref[[#This Row],[msr_id]],tblMeasure[msr_id],tblMeasure[primary_dimensions])</f>
        <v>jobs by top nationality, role</v>
      </c>
      <c r="K1091" s="22" t="str">
        <f>_xlfn.XLOOKUP(tblRequirementMeasureXref[[#This Row],[msr_id]],tblMeasure[msr_id],tblMeasure[msr_min_geo_resolution])</f>
        <v>Region</v>
      </c>
      <c r="L1091" s="22" t="str">
        <f>_xlfn.XLOOKUP(tblRequirementMeasureXref[[#This Row],[msr_id]],tblMeasure[msr_id],tblMeasure[src_name])</f>
        <v>State of the ASC sector and workforce</v>
      </c>
    </row>
    <row r="1092" spans="1:12" x14ac:dyDescent="0.15">
      <c r="A1092" s="1" t="str">
        <f>_xlfn.XLOOKUP(tblRequirementMeasureXref[[#This Row],[dm_id]],tblDataRequirement[dm_id],tblDataRequirement[domain_sub_requirement])</f>
        <v>Service:Support setting:Residential care home</v>
      </c>
      <c r="B1092" s="1" t="str">
        <f>_xlfn.XLOOKUP(tblRequirementMeasureXref[[#This Row],[dm_id]],tblDataRequirement[dm_id],tblDataRequirement[dm_phase])</f>
        <v>operate</v>
      </c>
      <c r="C1092" s="1">
        <v>41</v>
      </c>
      <c r="D1092" s="1">
        <v>286</v>
      </c>
      <c r="G1092" s="1"/>
      <c r="H1092" s="62" t="str">
        <f>_xlfn.XLOOKUP(tblRequirementMeasureXref[[#This Row],[msr_id]],tblMeasure[msr_id],tblMeasure[msr_table])</f>
        <v>Table 5.8</v>
      </c>
      <c r="I1092" s="22" t="str">
        <f>_xlfn.XLOOKUP(tblRequirementMeasureXref[[#This Row],[msr_id]],tblMeasure[msr_id],tblMeasure[msr_name])</f>
        <v>Top 5 Nationalities</v>
      </c>
      <c r="J1092" s="22" t="str">
        <f>_xlfn.XLOOKUP(tblRequirementMeasureXref[[#This Row],[msr_id]],tblMeasure[msr_id],tblMeasure[primary_dimensions])</f>
        <v>jobs by top nationality, role</v>
      </c>
      <c r="K1092" s="22" t="str">
        <f>_xlfn.XLOOKUP(tblRequirementMeasureXref[[#This Row],[msr_id]],tblMeasure[msr_id],tblMeasure[msr_min_geo_resolution])</f>
        <v>Region</v>
      </c>
      <c r="L1092" s="22" t="str">
        <f>_xlfn.XLOOKUP(tblRequirementMeasureXref[[#This Row],[msr_id]],tblMeasure[msr_id],tblMeasure[src_name])</f>
        <v>State of the ASC sector and workforce</v>
      </c>
    </row>
    <row r="1093" spans="1:12" x14ac:dyDescent="0.15">
      <c r="A1093" s="1" t="str">
        <f>_xlfn.XLOOKUP(tblRequirementMeasureXref[[#This Row],[dm_id]],tblDataRequirement[dm_id],tblDataRequirement[domain_sub_requirement])</f>
        <v>Service:Support setting:Nursing home</v>
      </c>
      <c r="B1093" s="1" t="str">
        <f>_xlfn.XLOOKUP(tblRequirementMeasureXref[[#This Row],[dm_id]],tblDataRequirement[dm_id],tblDataRequirement[dm_phase])</f>
        <v>operate</v>
      </c>
      <c r="C1093" s="1">
        <v>42</v>
      </c>
      <c r="D1093" s="1">
        <v>286</v>
      </c>
      <c r="G1093" s="1"/>
      <c r="H1093" s="62" t="str">
        <f>_xlfn.XLOOKUP(tblRequirementMeasureXref[[#This Row],[msr_id]],tblMeasure[msr_id],tblMeasure[msr_table])</f>
        <v>Table 5.8</v>
      </c>
      <c r="I1093" s="22" t="str">
        <f>_xlfn.XLOOKUP(tblRequirementMeasureXref[[#This Row],[msr_id]],tblMeasure[msr_id],tblMeasure[msr_name])</f>
        <v>Top 5 Nationalities</v>
      </c>
      <c r="J1093" s="22" t="str">
        <f>_xlfn.XLOOKUP(tblRequirementMeasureXref[[#This Row],[msr_id]],tblMeasure[msr_id],tblMeasure[primary_dimensions])</f>
        <v>jobs by top nationality, role</v>
      </c>
      <c r="K1093" s="22" t="str">
        <f>_xlfn.XLOOKUP(tblRequirementMeasureXref[[#This Row],[msr_id]],tblMeasure[msr_id],tblMeasure[msr_min_geo_resolution])</f>
        <v>Region</v>
      </c>
      <c r="L1093" s="22" t="str">
        <f>_xlfn.XLOOKUP(tblRequirementMeasureXref[[#This Row],[msr_id]],tblMeasure[msr_id],tblMeasure[src_name])</f>
        <v>State of the ASC sector and workforce</v>
      </c>
    </row>
    <row r="1094" spans="1:12" x14ac:dyDescent="0.15">
      <c r="A1094" s="1" t="str">
        <f>_xlfn.XLOOKUP(tblRequirementMeasureXref[[#This Row],[dm_id]],tblDataRequirement[dm_id],tblDataRequirement[domain_sub_requirement])</f>
        <v>Service:Support setting:Community</v>
      </c>
      <c r="B1094" s="1" t="str">
        <f>_xlfn.XLOOKUP(tblRequirementMeasureXref[[#This Row],[dm_id]],tblDataRequirement[dm_id],tblDataRequirement[dm_phase])</f>
        <v>operate</v>
      </c>
      <c r="C1094" s="1">
        <v>43</v>
      </c>
      <c r="D1094" s="1">
        <v>286</v>
      </c>
      <c r="G1094" s="1"/>
      <c r="H1094" s="62" t="str">
        <f>_xlfn.XLOOKUP(tblRequirementMeasureXref[[#This Row],[msr_id]],tblMeasure[msr_id],tblMeasure[msr_table])</f>
        <v>Table 5.8</v>
      </c>
      <c r="I1094" s="22" t="str">
        <f>_xlfn.XLOOKUP(tblRequirementMeasureXref[[#This Row],[msr_id]],tblMeasure[msr_id],tblMeasure[msr_name])</f>
        <v>Top 5 Nationalities</v>
      </c>
      <c r="J1094" s="22" t="str">
        <f>_xlfn.XLOOKUP(tblRequirementMeasureXref[[#This Row],[msr_id]],tblMeasure[msr_id],tblMeasure[primary_dimensions])</f>
        <v>jobs by top nationality, role</v>
      </c>
      <c r="K1094" s="22" t="str">
        <f>_xlfn.XLOOKUP(tblRequirementMeasureXref[[#This Row],[msr_id]],tblMeasure[msr_id],tblMeasure[msr_min_geo_resolution])</f>
        <v>Region</v>
      </c>
      <c r="L1094" s="22" t="str">
        <f>_xlfn.XLOOKUP(tblRequirementMeasureXref[[#This Row],[msr_id]],tblMeasure[msr_id],tblMeasure[src_name])</f>
        <v>State of the ASC sector and workforce</v>
      </c>
    </row>
    <row r="1095" spans="1:12" x14ac:dyDescent="0.15">
      <c r="A1095" s="1" t="str">
        <f>_xlfn.XLOOKUP(tblRequirementMeasureXref[[#This Row],[dm_id]],tblDataRequirement[dm_id],tblDataRequirement[domain_sub_requirement])</f>
        <v>Providers:Type:Organisations</v>
      </c>
      <c r="B1095" s="1" t="str">
        <f>_xlfn.XLOOKUP(tblRequirementMeasureXref[[#This Row],[dm_id]],tblDataRequirement[dm_id],tblDataRequirement[dm_phase])</f>
        <v>operate</v>
      </c>
      <c r="C1095" s="1">
        <v>60</v>
      </c>
      <c r="D1095" s="1">
        <v>286</v>
      </c>
      <c r="G1095" s="1"/>
      <c r="H1095" s="62" t="str">
        <f>_xlfn.XLOOKUP(tblRequirementMeasureXref[[#This Row],[msr_id]],tblMeasure[msr_id],tblMeasure[msr_table])</f>
        <v>Table 5.8</v>
      </c>
      <c r="I1095" s="22" t="str">
        <f>_xlfn.XLOOKUP(tblRequirementMeasureXref[[#This Row],[msr_id]],tblMeasure[msr_id],tblMeasure[msr_name])</f>
        <v>Top 5 Nationalities</v>
      </c>
      <c r="J1095" s="22" t="str">
        <f>_xlfn.XLOOKUP(tblRequirementMeasureXref[[#This Row],[msr_id]],tblMeasure[msr_id],tblMeasure[primary_dimensions])</f>
        <v>jobs by top nationality, role</v>
      </c>
      <c r="K1095" s="22" t="str">
        <f>_xlfn.XLOOKUP(tblRequirementMeasureXref[[#This Row],[msr_id]],tblMeasure[msr_id],tblMeasure[msr_min_geo_resolution])</f>
        <v>Region</v>
      </c>
      <c r="L1095" s="22" t="str">
        <f>_xlfn.XLOOKUP(tblRequirementMeasureXref[[#This Row],[msr_id]],tblMeasure[msr_id],tblMeasure[src_name])</f>
        <v>State of the ASC sector and workforce</v>
      </c>
    </row>
    <row r="1096" spans="1:12" x14ac:dyDescent="0.15">
      <c r="A1096" s="1" t="str">
        <f>_xlfn.XLOOKUP(tblRequirementMeasureXref[[#This Row],[dm_id]],tblDataRequirement[dm_id],tblDataRequirement[domain_sub_requirement])</f>
        <v>Users:Income:Direct payments</v>
      </c>
      <c r="B1096" s="1" t="str">
        <f>_xlfn.XLOOKUP(tblRequirementMeasureXref[[#This Row],[dm_id]],tblDataRequirement[dm_id],tblDataRequirement[dm_phase])</f>
        <v>supply</v>
      </c>
      <c r="C1096" s="1">
        <v>71</v>
      </c>
      <c r="D1096" s="1">
        <v>286</v>
      </c>
      <c r="G1096" s="1"/>
      <c r="H1096" s="62" t="str">
        <f>_xlfn.XLOOKUP(tblRequirementMeasureXref[[#This Row],[msr_id]],tblMeasure[msr_id],tblMeasure[msr_table])</f>
        <v>Table 5.8</v>
      </c>
      <c r="I1096" s="22" t="str">
        <f>_xlfn.XLOOKUP(tblRequirementMeasureXref[[#This Row],[msr_id]],tblMeasure[msr_id],tblMeasure[msr_name])</f>
        <v>Top 5 Nationalities</v>
      </c>
      <c r="J1096" s="22" t="str">
        <f>_xlfn.XLOOKUP(tblRequirementMeasureXref[[#This Row],[msr_id]],tblMeasure[msr_id],tblMeasure[primary_dimensions])</f>
        <v>jobs by top nationality, role</v>
      </c>
      <c r="K1096" s="22" t="str">
        <f>_xlfn.XLOOKUP(tblRequirementMeasureXref[[#This Row],[msr_id]],tblMeasure[msr_id],tblMeasure[msr_min_geo_resolution])</f>
        <v>Region</v>
      </c>
      <c r="L1096" s="22" t="str">
        <f>_xlfn.XLOOKUP(tblRequirementMeasureXref[[#This Row],[msr_id]],tblMeasure[msr_id],tblMeasure[src_name])</f>
        <v>State of the ASC sector and workforce</v>
      </c>
    </row>
    <row r="1097" spans="1:12" x14ac:dyDescent="0.15">
      <c r="A1097" s="1" t="str">
        <f>_xlfn.XLOOKUP(tblRequirementMeasureXref[[#This Row],[dm_id]],tblDataRequirement[dm_id],tblDataRequirement[domain_sub_requirement])</f>
        <v>Workforce:Demographics:Nationality/Birth/Migration</v>
      </c>
      <c r="B1097" s="1" t="str">
        <f>_xlfn.XLOOKUP(tblRequirementMeasureXref[[#This Row],[dm_id]],tblDataRequirement[dm_id],tblDataRequirement[dm_phase])</f>
        <v>supply</v>
      </c>
      <c r="C1097" s="1">
        <v>99</v>
      </c>
      <c r="D1097" s="1">
        <v>286</v>
      </c>
      <c r="G1097" s="1"/>
      <c r="H1097" s="62" t="str">
        <f>_xlfn.XLOOKUP(tblRequirementMeasureXref[[#This Row],[msr_id]],tblMeasure[msr_id],tblMeasure[msr_table])</f>
        <v>Table 5.8</v>
      </c>
      <c r="I1097" s="22" t="str">
        <f>_xlfn.XLOOKUP(tblRequirementMeasureXref[[#This Row],[msr_id]],tblMeasure[msr_id],tblMeasure[msr_name])</f>
        <v>Top 5 Nationalities</v>
      </c>
      <c r="J1097" s="22" t="str">
        <f>_xlfn.XLOOKUP(tblRequirementMeasureXref[[#This Row],[msr_id]],tblMeasure[msr_id],tblMeasure[primary_dimensions])</f>
        <v>jobs by top nationality, role</v>
      </c>
      <c r="K1097" s="22" t="str">
        <f>_xlfn.XLOOKUP(tblRequirementMeasureXref[[#This Row],[msr_id]],tblMeasure[msr_id],tblMeasure[msr_min_geo_resolution])</f>
        <v>Region</v>
      </c>
      <c r="L1097" s="22" t="str">
        <f>_xlfn.XLOOKUP(tblRequirementMeasureXref[[#This Row],[msr_id]],tblMeasure[msr_id],tblMeasure[src_name])</f>
        <v>State of the ASC sector and workforce</v>
      </c>
    </row>
    <row r="1098" spans="1:12" x14ac:dyDescent="0.15">
      <c r="A1098" s="1" t="str">
        <f>_xlfn.XLOOKUP(tblRequirementMeasureXref[[#This Row],[dm_id]],tblDataRequirement[dm_id],tblDataRequirement[domain_sub_requirement])</f>
        <v>Providers:Workforce:Filled jobs</v>
      </c>
      <c r="B1098" s="1" t="str">
        <f>_xlfn.XLOOKUP(tblRequirementMeasureXref[[#This Row],[dm_id]],tblDataRequirement[dm_id],tblDataRequirement[dm_phase])</f>
        <v>supply</v>
      </c>
      <c r="C1098" s="1">
        <v>10</v>
      </c>
      <c r="D1098" s="1">
        <v>287</v>
      </c>
      <c r="G1098" s="1"/>
      <c r="H1098" s="62" t="str">
        <f>_xlfn.XLOOKUP(tblRequirementMeasureXref[[#This Row],[msr_id]],tblMeasure[msr_id],tblMeasure[msr_table])</f>
        <v>Table 5.9</v>
      </c>
      <c r="I1098" s="22" t="str">
        <f>_xlfn.XLOOKUP(tblRequirementMeasureXref[[#This Row],[msr_id]],tblMeasure[msr_id],tblMeasure[msr_name])</f>
        <v>County of birth within the adult social care workforce</v>
      </c>
      <c r="J1098" s="22" t="str">
        <f>_xlfn.XLOOKUP(tblRequirementMeasureXref[[#This Row],[msr_id]],tblMeasure[msr_id],tblMeasure[primary_dimensions])</f>
        <v>jobs by country of birth,role</v>
      </c>
      <c r="K1098" s="22" t="str">
        <f>_xlfn.XLOOKUP(tblRequirementMeasureXref[[#This Row],[msr_id]],tblMeasure[msr_id],tblMeasure[msr_min_geo_resolution])</f>
        <v>Region</v>
      </c>
      <c r="L1098" s="22" t="str">
        <f>_xlfn.XLOOKUP(tblRequirementMeasureXref[[#This Row],[msr_id]],tblMeasure[msr_id],tblMeasure[src_name])</f>
        <v>State of the ASC sector and workforce</v>
      </c>
    </row>
    <row r="1099" spans="1:12" x14ac:dyDescent="0.15">
      <c r="A1099" s="1" t="str">
        <f>_xlfn.XLOOKUP(tblRequirementMeasureXref[[#This Row],[dm_id]],tblDataRequirement[dm_id],tblDataRequirement[domain_sub_requirement])</f>
        <v>Service:Support setting:Home</v>
      </c>
      <c r="B1099" s="1" t="str">
        <f>_xlfn.XLOOKUP(tblRequirementMeasureXref[[#This Row],[dm_id]],tblDataRequirement[dm_id],tblDataRequirement[dm_phase])</f>
        <v>operate</v>
      </c>
      <c r="C1099" s="1">
        <v>40</v>
      </c>
      <c r="D1099" s="1">
        <v>287</v>
      </c>
      <c r="G1099" s="1"/>
      <c r="H1099" s="62" t="str">
        <f>_xlfn.XLOOKUP(tblRequirementMeasureXref[[#This Row],[msr_id]],tblMeasure[msr_id],tblMeasure[msr_table])</f>
        <v>Table 5.9</v>
      </c>
      <c r="I1099" s="22" t="str">
        <f>_xlfn.XLOOKUP(tblRequirementMeasureXref[[#This Row],[msr_id]],tblMeasure[msr_id],tblMeasure[msr_name])</f>
        <v>County of birth within the adult social care workforce</v>
      </c>
      <c r="J1099" s="22" t="str">
        <f>_xlfn.XLOOKUP(tblRequirementMeasureXref[[#This Row],[msr_id]],tblMeasure[msr_id],tblMeasure[primary_dimensions])</f>
        <v>jobs by country of birth,role</v>
      </c>
      <c r="K1099" s="22" t="str">
        <f>_xlfn.XLOOKUP(tblRequirementMeasureXref[[#This Row],[msr_id]],tblMeasure[msr_id],tblMeasure[msr_min_geo_resolution])</f>
        <v>Region</v>
      </c>
      <c r="L1099" s="22" t="str">
        <f>_xlfn.XLOOKUP(tblRequirementMeasureXref[[#This Row],[msr_id]],tblMeasure[msr_id],tblMeasure[src_name])</f>
        <v>State of the ASC sector and workforce</v>
      </c>
    </row>
    <row r="1100" spans="1:12" x14ac:dyDescent="0.15">
      <c r="A1100" s="1" t="str">
        <f>_xlfn.XLOOKUP(tblRequirementMeasureXref[[#This Row],[dm_id]],tblDataRequirement[dm_id],tblDataRequirement[domain_sub_requirement])</f>
        <v>Service:Support setting:Residential care home</v>
      </c>
      <c r="B1100" s="1" t="str">
        <f>_xlfn.XLOOKUP(tblRequirementMeasureXref[[#This Row],[dm_id]],tblDataRequirement[dm_id],tblDataRequirement[dm_phase])</f>
        <v>operate</v>
      </c>
      <c r="C1100" s="1">
        <v>41</v>
      </c>
      <c r="D1100" s="1">
        <v>287</v>
      </c>
      <c r="G1100" s="1"/>
      <c r="H1100" s="62" t="str">
        <f>_xlfn.XLOOKUP(tblRequirementMeasureXref[[#This Row],[msr_id]],tblMeasure[msr_id],tblMeasure[msr_table])</f>
        <v>Table 5.9</v>
      </c>
      <c r="I1100" s="22" t="str">
        <f>_xlfn.XLOOKUP(tblRequirementMeasureXref[[#This Row],[msr_id]],tblMeasure[msr_id],tblMeasure[msr_name])</f>
        <v>County of birth within the adult social care workforce</v>
      </c>
      <c r="J1100" s="22" t="str">
        <f>_xlfn.XLOOKUP(tblRequirementMeasureXref[[#This Row],[msr_id]],tblMeasure[msr_id],tblMeasure[primary_dimensions])</f>
        <v>jobs by country of birth,role</v>
      </c>
      <c r="K1100" s="22" t="str">
        <f>_xlfn.XLOOKUP(tblRequirementMeasureXref[[#This Row],[msr_id]],tblMeasure[msr_id],tblMeasure[msr_min_geo_resolution])</f>
        <v>Region</v>
      </c>
      <c r="L1100" s="22" t="str">
        <f>_xlfn.XLOOKUP(tblRequirementMeasureXref[[#This Row],[msr_id]],tblMeasure[msr_id],tblMeasure[src_name])</f>
        <v>State of the ASC sector and workforce</v>
      </c>
    </row>
    <row r="1101" spans="1:12" x14ac:dyDescent="0.15">
      <c r="A1101" s="1" t="str">
        <f>_xlfn.XLOOKUP(tblRequirementMeasureXref[[#This Row],[dm_id]],tblDataRequirement[dm_id],tblDataRequirement[domain_sub_requirement])</f>
        <v>Service:Support setting:Nursing home</v>
      </c>
      <c r="B1101" s="1" t="str">
        <f>_xlfn.XLOOKUP(tblRequirementMeasureXref[[#This Row],[dm_id]],tblDataRequirement[dm_id],tblDataRequirement[dm_phase])</f>
        <v>operate</v>
      </c>
      <c r="C1101" s="1">
        <v>42</v>
      </c>
      <c r="D1101" s="1">
        <v>287</v>
      </c>
      <c r="G1101" s="1"/>
      <c r="H1101" s="62" t="str">
        <f>_xlfn.XLOOKUP(tblRequirementMeasureXref[[#This Row],[msr_id]],tblMeasure[msr_id],tblMeasure[msr_table])</f>
        <v>Table 5.9</v>
      </c>
      <c r="I1101" s="22" t="str">
        <f>_xlfn.XLOOKUP(tblRequirementMeasureXref[[#This Row],[msr_id]],tblMeasure[msr_id],tblMeasure[msr_name])</f>
        <v>County of birth within the adult social care workforce</v>
      </c>
      <c r="J1101" s="22" t="str">
        <f>_xlfn.XLOOKUP(tblRequirementMeasureXref[[#This Row],[msr_id]],tblMeasure[msr_id],tblMeasure[primary_dimensions])</f>
        <v>jobs by country of birth,role</v>
      </c>
      <c r="K1101" s="22" t="str">
        <f>_xlfn.XLOOKUP(tblRequirementMeasureXref[[#This Row],[msr_id]],tblMeasure[msr_id],tblMeasure[msr_min_geo_resolution])</f>
        <v>Region</v>
      </c>
      <c r="L1101" s="22" t="str">
        <f>_xlfn.XLOOKUP(tblRequirementMeasureXref[[#This Row],[msr_id]],tblMeasure[msr_id],tblMeasure[src_name])</f>
        <v>State of the ASC sector and workforce</v>
      </c>
    </row>
    <row r="1102" spans="1:12" x14ac:dyDescent="0.15">
      <c r="A1102" s="1" t="str">
        <f>_xlfn.XLOOKUP(tblRequirementMeasureXref[[#This Row],[dm_id]],tblDataRequirement[dm_id],tblDataRequirement[domain_sub_requirement])</f>
        <v>Service:Support setting:Community</v>
      </c>
      <c r="B1102" s="1" t="str">
        <f>_xlfn.XLOOKUP(tblRequirementMeasureXref[[#This Row],[dm_id]],tblDataRequirement[dm_id],tblDataRequirement[dm_phase])</f>
        <v>operate</v>
      </c>
      <c r="C1102" s="1">
        <v>43</v>
      </c>
      <c r="D1102" s="1">
        <v>287</v>
      </c>
      <c r="G1102" s="1"/>
      <c r="H1102" s="62" t="str">
        <f>_xlfn.XLOOKUP(tblRequirementMeasureXref[[#This Row],[msr_id]],tblMeasure[msr_id],tblMeasure[msr_table])</f>
        <v>Table 5.9</v>
      </c>
      <c r="I1102" s="22" t="str">
        <f>_xlfn.XLOOKUP(tblRequirementMeasureXref[[#This Row],[msr_id]],tblMeasure[msr_id],tblMeasure[msr_name])</f>
        <v>County of birth within the adult social care workforce</v>
      </c>
      <c r="J1102" s="22" t="str">
        <f>_xlfn.XLOOKUP(tblRequirementMeasureXref[[#This Row],[msr_id]],tblMeasure[msr_id],tblMeasure[primary_dimensions])</f>
        <v>jobs by country of birth,role</v>
      </c>
      <c r="K1102" s="22" t="str">
        <f>_xlfn.XLOOKUP(tblRequirementMeasureXref[[#This Row],[msr_id]],tblMeasure[msr_id],tblMeasure[msr_min_geo_resolution])</f>
        <v>Region</v>
      </c>
      <c r="L1102" s="22" t="str">
        <f>_xlfn.XLOOKUP(tblRequirementMeasureXref[[#This Row],[msr_id]],tblMeasure[msr_id],tblMeasure[src_name])</f>
        <v>State of the ASC sector and workforce</v>
      </c>
    </row>
    <row r="1103" spans="1:12" x14ac:dyDescent="0.15">
      <c r="A1103" s="1" t="str">
        <f>_xlfn.XLOOKUP(tblRequirementMeasureXref[[#This Row],[dm_id]],tblDataRequirement[dm_id],tblDataRequirement[domain_sub_requirement])</f>
        <v>Providers:Type:Organisations</v>
      </c>
      <c r="B1103" s="1" t="str">
        <f>_xlfn.XLOOKUP(tblRequirementMeasureXref[[#This Row],[dm_id]],tblDataRequirement[dm_id],tblDataRequirement[dm_phase])</f>
        <v>operate</v>
      </c>
      <c r="C1103" s="1">
        <v>60</v>
      </c>
      <c r="D1103" s="1">
        <v>287</v>
      </c>
      <c r="G1103" s="1"/>
      <c r="H1103" s="62" t="str">
        <f>_xlfn.XLOOKUP(tblRequirementMeasureXref[[#This Row],[msr_id]],tblMeasure[msr_id],tblMeasure[msr_table])</f>
        <v>Table 5.9</v>
      </c>
      <c r="I1103" s="22" t="str">
        <f>_xlfn.XLOOKUP(tblRequirementMeasureXref[[#This Row],[msr_id]],tblMeasure[msr_id],tblMeasure[msr_name])</f>
        <v>County of birth within the adult social care workforce</v>
      </c>
      <c r="J1103" s="22" t="str">
        <f>_xlfn.XLOOKUP(tblRequirementMeasureXref[[#This Row],[msr_id]],tblMeasure[msr_id],tblMeasure[primary_dimensions])</f>
        <v>jobs by country of birth,role</v>
      </c>
      <c r="K1103" s="22" t="str">
        <f>_xlfn.XLOOKUP(tblRequirementMeasureXref[[#This Row],[msr_id]],tblMeasure[msr_id],tblMeasure[msr_min_geo_resolution])</f>
        <v>Region</v>
      </c>
      <c r="L1103" s="22" t="str">
        <f>_xlfn.XLOOKUP(tblRequirementMeasureXref[[#This Row],[msr_id]],tblMeasure[msr_id],tblMeasure[src_name])</f>
        <v>State of the ASC sector and workforce</v>
      </c>
    </row>
    <row r="1104" spans="1:12" x14ac:dyDescent="0.15">
      <c r="A1104" s="1" t="str">
        <f>_xlfn.XLOOKUP(tblRequirementMeasureXref[[#This Row],[dm_id]],tblDataRequirement[dm_id],tblDataRequirement[domain_sub_requirement])</f>
        <v>Users:Income:Direct payments</v>
      </c>
      <c r="B1104" s="1" t="str">
        <f>_xlfn.XLOOKUP(tblRequirementMeasureXref[[#This Row],[dm_id]],tblDataRequirement[dm_id],tblDataRequirement[dm_phase])</f>
        <v>supply</v>
      </c>
      <c r="C1104" s="1">
        <v>71</v>
      </c>
      <c r="D1104" s="1">
        <v>287</v>
      </c>
      <c r="G1104" s="1"/>
      <c r="H1104" s="62" t="str">
        <f>_xlfn.XLOOKUP(tblRequirementMeasureXref[[#This Row],[msr_id]],tblMeasure[msr_id],tblMeasure[msr_table])</f>
        <v>Table 5.9</v>
      </c>
      <c r="I1104" s="22" t="str">
        <f>_xlfn.XLOOKUP(tblRequirementMeasureXref[[#This Row],[msr_id]],tblMeasure[msr_id],tblMeasure[msr_name])</f>
        <v>County of birth within the adult social care workforce</v>
      </c>
      <c r="J1104" s="22" t="str">
        <f>_xlfn.XLOOKUP(tblRequirementMeasureXref[[#This Row],[msr_id]],tblMeasure[msr_id],tblMeasure[primary_dimensions])</f>
        <v>jobs by country of birth,role</v>
      </c>
      <c r="K1104" s="22" t="str">
        <f>_xlfn.XLOOKUP(tblRequirementMeasureXref[[#This Row],[msr_id]],tblMeasure[msr_id],tblMeasure[msr_min_geo_resolution])</f>
        <v>Region</v>
      </c>
      <c r="L1104" s="22" t="str">
        <f>_xlfn.XLOOKUP(tblRequirementMeasureXref[[#This Row],[msr_id]],tblMeasure[msr_id],tblMeasure[src_name])</f>
        <v>State of the ASC sector and workforce</v>
      </c>
    </row>
    <row r="1105" spans="1:12" x14ac:dyDescent="0.15">
      <c r="A1105" s="1" t="str">
        <f>_xlfn.XLOOKUP(tblRequirementMeasureXref[[#This Row],[dm_id]],tblDataRequirement[dm_id],tblDataRequirement[domain_sub_requirement])</f>
        <v>Workforce:Demographics:Nationality/Birth/Migration</v>
      </c>
      <c r="B1105" s="1" t="str">
        <f>_xlfn.XLOOKUP(tblRequirementMeasureXref[[#This Row],[dm_id]],tblDataRequirement[dm_id],tblDataRequirement[dm_phase])</f>
        <v>supply</v>
      </c>
      <c r="C1105" s="1">
        <v>99</v>
      </c>
      <c r="D1105" s="1">
        <v>287</v>
      </c>
      <c r="G1105" s="1"/>
      <c r="H1105" s="62" t="str">
        <f>_xlfn.XLOOKUP(tblRequirementMeasureXref[[#This Row],[msr_id]],tblMeasure[msr_id],tblMeasure[msr_table])</f>
        <v>Table 5.9</v>
      </c>
      <c r="I1105" s="22" t="str">
        <f>_xlfn.XLOOKUP(tblRequirementMeasureXref[[#This Row],[msr_id]],tblMeasure[msr_id],tblMeasure[msr_name])</f>
        <v>County of birth within the adult social care workforce</v>
      </c>
      <c r="J1105" s="22" t="str">
        <f>_xlfn.XLOOKUP(tblRequirementMeasureXref[[#This Row],[msr_id]],tblMeasure[msr_id],tblMeasure[primary_dimensions])</f>
        <v>jobs by country of birth,role</v>
      </c>
      <c r="K1105" s="22" t="str">
        <f>_xlfn.XLOOKUP(tblRequirementMeasureXref[[#This Row],[msr_id]],tblMeasure[msr_id],tblMeasure[msr_min_geo_resolution])</f>
        <v>Region</v>
      </c>
      <c r="L1105" s="22" t="str">
        <f>_xlfn.XLOOKUP(tblRequirementMeasureXref[[#This Row],[msr_id]],tblMeasure[msr_id],tblMeasure[src_name])</f>
        <v>State of the ASC sector and workforce</v>
      </c>
    </row>
    <row r="1106" spans="1:12" x14ac:dyDescent="0.15">
      <c r="A1106" s="1" t="str">
        <f>_xlfn.XLOOKUP(tblRequirementMeasureXref[[#This Row],[dm_id]],tblDataRequirement[dm_id],tblDataRequirement[domain_sub_requirement])</f>
        <v>Providers:Workforce:Filled jobs</v>
      </c>
      <c r="B1106" s="1" t="str">
        <f>_xlfn.XLOOKUP(tblRequirementMeasureXref[[#This Row],[dm_id]],tblDataRequirement[dm_id],tblDataRequirement[dm_phase])</f>
        <v>supply</v>
      </c>
      <c r="C1106" s="1">
        <v>10</v>
      </c>
      <c r="D1106" s="1">
        <v>288</v>
      </c>
      <c r="G1106" s="1"/>
      <c r="H1106" s="62" t="str">
        <f>_xlfn.XLOOKUP(tblRequirementMeasureXref[[#This Row],[msr_id]],tblMeasure[msr_id],tblMeasure[msr_table])</f>
        <v>Table 5.10</v>
      </c>
      <c r="I1106" s="22" t="str">
        <f>_xlfn.XLOOKUP(tblRequirementMeasureXref[[#This Row],[msr_id]],tblMeasure[msr_id],tblMeasure[msr_name])</f>
        <v>Top 5 Countries of birth</v>
      </c>
      <c r="J1106" s="22" t="str">
        <f>_xlfn.XLOOKUP(tblRequirementMeasureXref[[#This Row],[msr_id]],tblMeasure[msr_id],tblMeasure[primary_dimensions])</f>
        <v>jobs by top country of birth, role</v>
      </c>
      <c r="K1106" s="22" t="str">
        <f>_xlfn.XLOOKUP(tblRequirementMeasureXref[[#This Row],[msr_id]],tblMeasure[msr_id],tblMeasure[msr_min_geo_resolution])</f>
        <v>Region</v>
      </c>
      <c r="L1106" s="22" t="str">
        <f>_xlfn.XLOOKUP(tblRequirementMeasureXref[[#This Row],[msr_id]],tblMeasure[msr_id],tblMeasure[src_name])</f>
        <v>State of the ASC sector and workforce</v>
      </c>
    </row>
    <row r="1107" spans="1:12" x14ac:dyDescent="0.15">
      <c r="A1107" s="1" t="str">
        <f>_xlfn.XLOOKUP(tblRequirementMeasureXref[[#This Row],[dm_id]],tblDataRequirement[dm_id],tblDataRequirement[domain_sub_requirement])</f>
        <v>Service:Support setting:Home</v>
      </c>
      <c r="B1107" s="1" t="str">
        <f>_xlfn.XLOOKUP(tblRequirementMeasureXref[[#This Row],[dm_id]],tblDataRequirement[dm_id],tblDataRequirement[dm_phase])</f>
        <v>operate</v>
      </c>
      <c r="C1107" s="1">
        <v>40</v>
      </c>
      <c r="D1107" s="1">
        <v>288</v>
      </c>
      <c r="G1107" s="1"/>
      <c r="H1107" s="62" t="str">
        <f>_xlfn.XLOOKUP(tblRequirementMeasureXref[[#This Row],[msr_id]],tblMeasure[msr_id],tblMeasure[msr_table])</f>
        <v>Table 5.10</v>
      </c>
      <c r="I1107" s="22" t="str">
        <f>_xlfn.XLOOKUP(tblRequirementMeasureXref[[#This Row],[msr_id]],tblMeasure[msr_id],tblMeasure[msr_name])</f>
        <v>Top 5 Countries of birth</v>
      </c>
      <c r="J1107" s="22" t="str">
        <f>_xlfn.XLOOKUP(tblRequirementMeasureXref[[#This Row],[msr_id]],tblMeasure[msr_id],tblMeasure[primary_dimensions])</f>
        <v>jobs by top country of birth, role</v>
      </c>
      <c r="K1107" s="22" t="str">
        <f>_xlfn.XLOOKUP(tblRequirementMeasureXref[[#This Row],[msr_id]],tblMeasure[msr_id],tblMeasure[msr_min_geo_resolution])</f>
        <v>Region</v>
      </c>
      <c r="L1107" s="22" t="str">
        <f>_xlfn.XLOOKUP(tblRequirementMeasureXref[[#This Row],[msr_id]],tblMeasure[msr_id],tblMeasure[src_name])</f>
        <v>State of the ASC sector and workforce</v>
      </c>
    </row>
    <row r="1108" spans="1:12" x14ac:dyDescent="0.15">
      <c r="A1108" s="1" t="str">
        <f>_xlfn.XLOOKUP(tblRequirementMeasureXref[[#This Row],[dm_id]],tblDataRequirement[dm_id],tblDataRequirement[domain_sub_requirement])</f>
        <v>Service:Support setting:Residential care home</v>
      </c>
      <c r="B1108" s="1" t="str">
        <f>_xlfn.XLOOKUP(tblRequirementMeasureXref[[#This Row],[dm_id]],tblDataRequirement[dm_id],tblDataRequirement[dm_phase])</f>
        <v>operate</v>
      </c>
      <c r="C1108" s="1">
        <v>41</v>
      </c>
      <c r="D1108" s="1">
        <v>288</v>
      </c>
      <c r="G1108" s="1"/>
      <c r="H1108" s="62" t="str">
        <f>_xlfn.XLOOKUP(tblRequirementMeasureXref[[#This Row],[msr_id]],tblMeasure[msr_id],tblMeasure[msr_table])</f>
        <v>Table 5.10</v>
      </c>
      <c r="I1108" s="22" t="str">
        <f>_xlfn.XLOOKUP(tblRequirementMeasureXref[[#This Row],[msr_id]],tblMeasure[msr_id],tblMeasure[msr_name])</f>
        <v>Top 5 Countries of birth</v>
      </c>
      <c r="J1108" s="22" t="str">
        <f>_xlfn.XLOOKUP(tblRequirementMeasureXref[[#This Row],[msr_id]],tblMeasure[msr_id],tblMeasure[primary_dimensions])</f>
        <v>jobs by top country of birth, role</v>
      </c>
      <c r="K1108" s="22" t="str">
        <f>_xlfn.XLOOKUP(tblRequirementMeasureXref[[#This Row],[msr_id]],tblMeasure[msr_id],tblMeasure[msr_min_geo_resolution])</f>
        <v>Region</v>
      </c>
      <c r="L1108" s="22" t="str">
        <f>_xlfn.XLOOKUP(tblRequirementMeasureXref[[#This Row],[msr_id]],tblMeasure[msr_id],tblMeasure[src_name])</f>
        <v>State of the ASC sector and workforce</v>
      </c>
    </row>
    <row r="1109" spans="1:12" x14ac:dyDescent="0.15">
      <c r="A1109" s="1" t="str">
        <f>_xlfn.XLOOKUP(tblRequirementMeasureXref[[#This Row],[dm_id]],tblDataRequirement[dm_id],tblDataRequirement[domain_sub_requirement])</f>
        <v>Service:Support setting:Nursing home</v>
      </c>
      <c r="B1109" s="1" t="str">
        <f>_xlfn.XLOOKUP(tblRequirementMeasureXref[[#This Row],[dm_id]],tblDataRequirement[dm_id],tblDataRequirement[dm_phase])</f>
        <v>operate</v>
      </c>
      <c r="C1109" s="1">
        <v>42</v>
      </c>
      <c r="D1109" s="1">
        <v>288</v>
      </c>
      <c r="G1109" s="1"/>
      <c r="H1109" s="62" t="str">
        <f>_xlfn.XLOOKUP(tblRequirementMeasureXref[[#This Row],[msr_id]],tblMeasure[msr_id],tblMeasure[msr_table])</f>
        <v>Table 5.10</v>
      </c>
      <c r="I1109" s="22" t="str">
        <f>_xlfn.XLOOKUP(tblRequirementMeasureXref[[#This Row],[msr_id]],tblMeasure[msr_id],tblMeasure[msr_name])</f>
        <v>Top 5 Countries of birth</v>
      </c>
      <c r="J1109" s="22" t="str">
        <f>_xlfn.XLOOKUP(tblRequirementMeasureXref[[#This Row],[msr_id]],tblMeasure[msr_id],tblMeasure[primary_dimensions])</f>
        <v>jobs by top country of birth, role</v>
      </c>
      <c r="K1109" s="22" t="str">
        <f>_xlfn.XLOOKUP(tblRequirementMeasureXref[[#This Row],[msr_id]],tblMeasure[msr_id],tblMeasure[msr_min_geo_resolution])</f>
        <v>Region</v>
      </c>
      <c r="L1109" s="22" t="str">
        <f>_xlfn.XLOOKUP(tblRequirementMeasureXref[[#This Row],[msr_id]],tblMeasure[msr_id],tblMeasure[src_name])</f>
        <v>State of the ASC sector and workforce</v>
      </c>
    </row>
    <row r="1110" spans="1:12" x14ac:dyDescent="0.15">
      <c r="A1110" s="1" t="str">
        <f>_xlfn.XLOOKUP(tblRequirementMeasureXref[[#This Row],[dm_id]],tblDataRequirement[dm_id],tblDataRequirement[domain_sub_requirement])</f>
        <v>Service:Support setting:Community</v>
      </c>
      <c r="B1110" s="1" t="str">
        <f>_xlfn.XLOOKUP(tblRequirementMeasureXref[[#This Row],[dm_id]],tblDataRequirement[dm_id],tblDataRequirement[dm_phase])</f>
        <v>operate</v>
      </c>
      <c r="C1110" s="1">
        <v>43</v>
      </c>
      <c r="D1110" s="1">
        <v>288</v>
      </c>
      <c r="G1110" s="1"/>
      <c r="H1110" s="62" t="str">
        <f>_xlfn.XLOOKUP(tblRequirementMeasureXref[[#This Row],[msr_id]],tblMeasure[msr_id],tblMeasure[msr_table])</f>
        <v>Table 5.10</v>
      </c>
      <c r="I1110" s="22" t="str">
        <f>_xlfn.XLOOKUP(tblRequirementMeasureXref[[#This Row],[msr_id]],tblMeasure[msr_id],tblMeasure[msr_name])</f>
        <v>Top 5 Countries of birth</v>
      </c>
      <c r="J1110" s="22" t="str">
        <f>_xlfn.XLOOKUP(tblRequirementMeasureXref[[#This Row],[msr_id]],tblMeasure[msr_id],tblMeasure[primary_dimensions])</f>
        <v>jobs by top country of birth, role</v>
      </c>
      <c r="K1110" s="22" t="str">
        <f>_xlfn.XLOOKUP(tblRequirementMeasureXref[[#This Row],[msr_id]],tblMeasure[msr_id],tblMeasure[msr_min_geo_resolution])</f>
        <v>Region</v>
      </c>
      <c r="L1110" s="22" t="str">
        <f>_xlfn.XLOOKUP(tblRequirementMeasureXref[[#This Row],[msr_id]],tblMeasure[msr_id],tblMeasure[src_name])</f>
        <v>State of the ASC sector and workforce</v>
      </c>
    </row>
    <row r="1111" spans="1:12" x14ac:dyDescent="0.15">
      <c r="A1111" s="1" t="str">
        <f>_xlfn.XLOOKUP(tblRequirementMeasureXref[[#This Row],[dm_id]],tblDataRequirement[dm_id],tblDataRequirement[domain_sub_requirement])</f>
        <v>Providers:Type:Organisations</v>
      </c>
      <c r="B1111" s="1" t="str">
        <f>_xlfn.XLOOKUP(tblRequirementMeasureXref[[#This Row],[dm_id]],tblDataRequirement[dm_id],tblDataRequirement[dm_phase])</f>
        <v>operate</v>
      </c>
      <c r="C1111" s="1">
        <v>60</v>
      </c>
      <c r="D1111" s="1">
        <v>288</v>
      </c>
      <c r="G1111" s="1"/>
      <c r="H1111" s="62" t="str">
        <f>_xlfn.XLOOKUP(tblRequirementMeasureXref[[#This Row],[msr_id]],tblMeasure[msr_id],tblMeasure[msr_table])</f>
        <v>Table 5.10</v>
      </c>
      <c r="I1111" s="22" t="str">
        <f>_xlfn.XLOOKUP(tblRequirementMeasureXref[[#This Row],[msr_id]],tblMeasure[msr_id],tblMeasure[msr_name])</f>
        <v>Top 5 Countries of birth</v>
      </c>
      <c r="J1111" s="22" t="str">
        <f>_xlfn.XLOOKUP(tblRequirementMeasureXref[[#This Row],[msr_id]],tblMeasure[msr_id],tblMeasure[primary_dimensions])</f>
        <v>jobs by top country of birth, role</v>
      </c>
      <c r="K1111" s="22" t="str">
        <f>_xlfn.XLOOKUP(tblRequirementMeasureXref[[#This Row],[msr_id]],tblMeasure[msr_id],tblMeasure[msr_min_geo_resolution])</f>
        <v>Region</v>
      </c>
      <c r="L1111" s="22" t="str">
        <f>_xlfn.XLOOKUP(tblRequirementMeasureXref[[#This Row],[msr_id]],tblMeasure[msr_id],tblMeasure[src_name])</f>
        <v>State of the ASC sector and workforce</v>
      </c>
    </row>
    <row r="1112" spans="1:12" x14ac:dyDescent="0.15">
      <c r="A1112" s="1" t="str">
        <f>_xlfn.XLOOKUP(tblRequirementMeasureXref[[#This Row],[dm_id]],tblDataRequirement[dm_id],tblDataRequirement[domain_sub_requirement])</f>
        <v>Users:Income:Direct payments</v>
      </c>
      <c r="B1112" s="1" t="str">
        <f>_xlfn.XLOOKUP(tblRequirementMeasureXref[[#This Row],[dm_id]],tblDataRequirement[dm_id],tblDataRequirement[dm_phase])</f>
        <v>supply</v>
      </c>
      <c r="C1112" s="1">
        <v>71</v>
      </c>
      <c r="D1112" s="1">
        <v>288</v>
      </c>
      <c r="G1112" s="1"/>
      <c r="H1112" s="62" t="str">
        <f>_xlfn.XLOOKUP(tblRequirementMeasureXref[[#This Row],[msr_id]],tblMeasure[msr_id],tblMeasure[msr_table])</f>
        <v>Table 5.10</v>
      </c>
      <c r="I1112" s="22" t="str">
        <f>_xlfn.XLOOKUP(tblRequirementMeasureXref[[#This Row],[msr_id]],tblMeasure[msr_id],tblMeasure[msr_name])</f>
        <v>Top 5 Countries of birth</v>
      </c>
      <c r="J1112" s="22" t="str">
        <f>_xlfn.XLOOKUP(tblRequirementMeasureXref[[#This Row],[msr_id]],tblMeasure[msr_id],tblMeasure[primary_dimensions])</f>
        <v>jobs by top country of birth, role</v>
      </c>
      <c r="K1112" s="22" t="str">
        <f>_xlfn.XLOOKUP(tblRequirementMeasureXref[[#This Row],[msr_id]],tblMeasure[msr_id],tblMeasure[msr_min_geo_resolution])</f>
        <v>Region</v>
      </c>
      <c r="L1112" s="22" t="str">
        <f>_xlfn.XLOOKUP(tblRequirementMeasureXref[[#This Row],[msr_id]],tblMeasure[msr_id],tblMeasure[src_name])</f>
        <v>State of the ASC sector and workforce</v>
      </c>
    </row>
    <row r="1113" spans="1:12" x14ac:dyDescent="0.15">
      <c r="A1113" s="1" t="str">
        <f>_xlfn.XLOOKUP(tblRequirementMeasureXref[[#This Row],[dm_id]],tblDataRequirement[dm_id],tblDataRequirement[domain_sub_requirement])</f>
        <v>Workforce:Demographics:Nationality/Birth/Migration</v>
      </c>
      <c r="B1113" s="1" t="str">
        <f>_xlfn.XLOOKUP(tblRequirementMeasureXref[[#This Row],[dm_id]],tblDataRequirement[dm_id],tblDataRequirement[dm_phase])</f>
        <v>supply</v>
      </c>
      <c r="C1113" s="1">
        <v>99</v>
      </c>
      <c r="D1113" s="1">
        <v>288</v>
      </c>
      <c r="G1113" s="1"/>
      <c r="H1113" s="62" t="str">
        <f>_xlfn.XLOOKUP(tblRequirementMeasureXref[[#This Row],[msr_id]],tblMeasure[msr_id],tblMeasure[msr_table])</f>
        <v>Table 5.10</v>
      </c>
      <c r="I1113" s="22" t="str">
        <f>_xlfn.XLOOKUP(tblRequirementMeasureXref[[#This Row],[msr_id]],tblMeasure[msr_id],tblMeasure[msr_name])</f>
        <v>Top 5 Countries of birth</v>
      </c>
      <c r="J1113" s="22" t="str">
        <f>_xlfn.XLOOKUP(tblRequirementMeasureXref[[#This Row],[msr_id]],tblMeasure[msr_id],tblMeasure[primary_dimensions])</f>
        <v>jobs by top country of birth, role</v>
      </c>
      <c r="K1113" s="22" t="str">
        <f>_xlfn.XLOOKUP(tblRequirementMeasureXref[[#This Row],[msr_id]],tblMeasure[msr_id],tblMeasure[msr_min_geo_resolution])</f>
        <v>Region</v>
      </c>
      <c r="L1113" s="22" t="str">
        <f>_xlfn.XLOOKUP(tblRequirementMeasureXref[[#This Row],[msr_id]],tblMeasure[msr_id],tblMeasure[src_name])</f>
        <v>State of the ASC sector and workforce</v>
      </c>
    </row>
    <row r="1114" spans="1:12" x14ac:dyDescent="0.15">
      <c r="A1114" s="1" t="str">
        <f>_xlfn.XLOOKUP(tblRequirementMeasureXref[[#This Row],[dm_id]],tblDataRequirement[dm_id],tblDataRequirement[domain_sub_requirement])</f>
        <v>Providers:Workforce:Filled jobs</v>
      </c>
      <c r="B1114" s="1" t="str">
        <f>_xlfn.XLOOKUP(tblRequirementMeasureXref[[#This Row],[dm_id]],tblDataRequirement[dm_id],tblDataRequirement[dm_phase])</f>
        <v>supply</v>
      </c>
      <c r="C1114" s="1">
        <v>10</v>
      </c>
      <c r="D1114" s="1">
        <v>289</v>
      </c>
      <c r="G1114" s="1"/>
      <c r="H1114" s="62" t="str">
        <f>_xlfn.XLOOKUP(tblRequirementMeasureXref[[#This Row],[msr_id]],tblMeasure[msr_id],tblMeasure[msr_table])</f>
        <v>Table 5.11</v>
      </c>
      <c r="I1114" s="22" t="str">
        <f>_xlfn.XLOOKUP(tblRequirementMeasureXref[[#This Row],[msr_id]],tblMeasure[msr_id],tblMeasure[msr_name])</f>
        <v>Year of entry to the UK, if non-UK born</v>
      </c>
      <c r="J1114" s="22" t="str">
        <f>_xlfn.XLOOKUP(tblRequirementMeasureXref[[#This Row],[msr_id]],tblMeasure[msr_id],tblMeasure[primary_dimensions])</f>
        <v>jobs by UK entry year, role</v>
      </c>
      <c r="K1114" s="22" t="str">
        <f>_xlfn.XLOOKUP(tblRequirementMeasureXref[[#This Row],[msr_id]],tblMeasure[msr_id],tblMeasure[msr_min_geo_resolution])</f>
        <v>Region</v>
      </c>
      <c r="L1114" s="22" t="str">
        <f>_xlfn.XLOOKUP(tblRequirementMeasureXref[[#This Row],[msr_id]],tblMeasure[msr_id],tblMeasure[src_name])</f>
        <v>State of the ASC sector and workforce</v>
      </c>
    </row>
    <row r="1115" spans="1:12" x14ac:dyDescent="0.15">
      <c r="A1115" s="1" t="str">
        <f>_xlfn.XLOOKUP(tblRequirementMeasureXref[[#This Row],[dm_id]],tblDataRequirement[dm_id],tblDataRequirement[domain_sub_requirement])</f>
        <v>Service:Support setting:Home</v>
      </c>
      <c r="B1115" s="1" t="str">
        <f>_xlfn.XLOOKUP(tblRequirementMeasureXref[[#This Row],[dm_id]],tblDataRequirement[dm_id],tblDataRequirement[dm_phase])</f>
        <v>operate</v>
      </c>
      <c r="C1115" s="1">
        <v>40</v>
      </c>
      <c r="D1115" s="1">
        <v>289</v>
      </c>
      <c r="G1115" s="1"/>
      <c r="H1115" s="62" t="str">
        <f>_xlfn.XLOOKUP(tblRequirementMeasureXref[[#This Row],[msr_id]],tblMeasure[msr_id],tblMeasure[msr_table])</f>
        <v>Table 5.11</v>
      </c>
      <c r="I1115" s="22" t="str">
        <f>_xlfn.XLOOKUP(tblRequirementMeasureXref[[#This Row],[msr_id]],tblMeasure[msr_id],tblMeasure[msr_name])</f>
        <v>Year of entry to the UK, if non-UK born</v>
      </c>
      <c r="J1115" s="22" t="str">
        <f>_xlfn.XLOOKUP(tblRequirementMeasureXref[[#This Row],[msr_id]],tblMeasure[msr_id],tblMeasure[primary_dimensions])</f>
        <v>jobs by UK entry year, role</v>
      </c>
      <c r="K1115" s="22" t="str">
        <f>_xlfn.XLOOKUP(tblRequirementMeasureXref[[#This Row],[msr_id]],tblMeasure[msr_id],tblMeasure[msr_min_geo_resolution])</f>
        <v>Region</v>
      </c>
      <c r="L1115" s="22" t="str">
        <f>_xlfn.XLOOKUP(tblRequirementMeasureXref[[#This Row],[msr_id]],tblMeasure[msr_id],tblMeasure[src_name])</f>
        <v>State of the ASC sector and workforce</v>
      </c>
    </row>
    <row r="1116" spans="1:12" x14ac:dyDescent="0.15">
      <c r="A1116" s="1" t="str">
        <f>_xlfn.XLOOKUP(tblRequirementMeasureXref[[#This Row],[dm_id]],tblDataRequirement[dm_id],tblDataRequirement[domain_sub_requirement])</f>
        <v>Service:Support setting:Residential care home</v>
      </c>
      <c r="B1116" s="1" t="str">
        <f>_xlfn.XLOOKUP(tblRequirementMeasureXref[[#This Row],[dm_id]],tblDataRequirement[dm_id],tblDataRequirement[dm_phase])</f>
        <v>operate</v>
      </c>
      <c r="C1116" s="1">
        <v>41</v>
      </c>
      <c r="D1116" s="1">
        <v>289</v>
      </c>
      <c r="G1116" s="1"/>
      <c r="H1116" s="62" t="str">
        <f>_xlfn.XLOOKUP(tblRequirementMeasureXref[[#This Row],[msr_id]],tblMeasure[msr_id],tblMeasure[msr_table])</f>
        <v>Table 5.11</v>
      </c>
      <c r="I1116" s="22" t="str">
        <f>_xlfn.XLOOKUP(tblRequirementMeasureXref[[#This Row],[msr_id]],tblMeasure[msr_id],tblMeasure[msr_name])</f>
        <v>Year of entry to the UK, if non-UK born</v>
      </c>
      <c r="J1116" s="22" t="str">
        <f>_xlfn.XLOOKUP(tblRequirementMeasureXref[[#This Row],[msr_id]],tblMeasure[msr_id],tblMeasure[primary_dimensions])</f>
        <v>jobs by UK entry year, role</v>
      </c>
      <c r="K1116" s="22" t="str">
        <f>_xlfn.XLOOKUP(tblRequirementMeasureXref[[#This Row],[msr_id]],tblMeasure[msr_id],tblMeasure[msr_min_geo_resolution])</f>
        <v>Region</v>
      </c>
      <c r="L1116" s="22" t="str">
        <f>_xlfn.XLOOKUP(tblRequirementMeasureXref[[#This Row],[msr_id]],tblMeasure[msr_id],tblMeasure[src_name])</f>
        <v>State of the ASC sector and workforce</v>
      </c>
    </row>
    <row r="1117" spans="1:12" x14ac:dyDescent="0.15">
      <c r="A1117" s="1" t="str">
        <f>_xlfn.XLOOKUP(tblRequirementMeasureXref[[#This Row],[dm_id]],tblDataRequirement[dm_id],tblDataRequirement[domain_sub_requirement])</f>
        <v>Service:Support setting:Nursing home</v>
      </c>
      <c r="B1117" s="1" t="str">
        <f>_xlfn.XLOOKUP(tblRequirementMeasureXref[[#This Row],[dm_id]],tblDataRequirement[dm_id],tblDataRequirement[dm_phase])</f>
        <v>operate</v>
      </c>
      <c r="C1117" s="1">
        <v>42</v>
      </c>
      <c r="D1117" s="1">
        <v>289</v>
      </c>
      <c r="G1117" s="1"/>
      <c r="H1117" s="62" t="str">
        <f>_xlfn.XLOOKUP(tblRequirementMeasureXref[[#This Row],[msr_id]],tblMeasure[msr_id],tblMeasure[msr_table])</f>
        <v>Table 5.11</v>
      </c>
      <c r="I1117" s="22" t="str">
        <f>_xlfn.XLOOKUP(tblRequirementMeasureXref[[#This Row],[msr_id]],tblMeasure[msr_id],tblMeasure[msr_name])</f>
        <v>Year of entry to the UK, if non-UK born</v>
      </c>
      <c r="J1117" s="22" t="str">
        <f>_xlfn.XLOOKUP(tblRequirementMeasureXref[[#This Row],[msr_id]],tblMeasure[msr_id],tblMeasure[primary_dimensions])</f>
        <v>jobs by UK entry year, role</v>
      </c>
      <c r="K1117" s="22" t="str">
        <f>_xlfn.XLOOKUP(tblRequirementMeasureXref[[#This Row],[msr_id]],tblMeasure[msr_id],tblMeasure[msr_min_geo_resolution])</f>
        <v>Region</v>
      </c>
      <c r="L1117" s="22" t="str">
        <f>_xlfn.XLOOKUP(tblRequirementMeasureXref[[#This Row],[msr_id]],tblMeasure[msr_id],tblMeasure[src_name])</f>
        <v>State of the ASC sector and workforce</v>
      </c>
    </row>
    <row r="1118" spans="1:12" x14ac:dyDescent="0.15">
      <c r="A1118" s="1" t="str">
        <f>_xlfn.XLOOKUP(tblRequirementMeasureXref[[#This Row],[dm_id]],tblDataRequirement[dm_id],tblDataRequirement[domain_sub_requirement])</f>
        <v>Service:Support setting:Community</v>
      </c>
      <c r="B1118" s="1" t="str">
        <f>_xlfn.XLOOKUP(tblRequirementMeasureXref[[#This Row],[dm_id]],tblDataRequirement[dm_id],tblDataRequirement[dm_phase])</f>
        <v>operate</v>
      </c>
      <c r="C1118" s="1">
        <v>43</v>
      </c>
      <c r="D1118" s="1">
        <v>289</v>
      </c>
      <c r="G1118" s="1"/>
      <c r="H1118" s="62" t="str">
        <f>_xlfn.XLOOKUP(tblRequirementMeasureXref[[#This Row],[msr_id]],tblMeasure[msr_id],tblMeasure[msr_table])</f>
        <v>Table 5.11</v>
      </c>
      <c r="I1118" s="22" t="str">
        <f>_xlfn.XLOOKUP(tblRequirementMeasureXref[[#This Row],[msr_id]],tblMeasure[msr_id],tblMeasure[msr_name])</f>
        <v>Year of entry to the UK, if non-UK born</v>
      </c>
      <c r="J1118" s="22" t="str">
        <f>_xlfn.XLOOKUP(tblRequirementMeasureXref[[#This Row],[msr_id]],tblMeasure[msr_id],tblMeasure[primary_dimensions])</f>
        <v>jobs by UK entry year, role</v>
      </c>
      <c r="K1118" s="22" t="str">
        <f>_xlfn.XLOOKUP(tblRequirementMeasureXref[[#This Row],[msr_id]],tblMeasure[msr_id],tblMeasure[msr_min_geo_resolution])</f>
        <v>Region</v>
      </c>
      <c r="L1118" s="22" t="str">
        <f>_xlfn.XLOOKUP(tblRequirementMeasureXref[[#This Row],[msr_id]],tblMeasure[msr_id],tblMeasure[src_name])</f>
        <v>State of the ASC sector and workforce</v>
      </c>
    </row>
    <row r="1119" spans="1:12" x14ac:dyDescent="0.15">
      <c r="A1119" s="1" t="str">
        <f>_xlfn.XLOOKUP(tblRequirementMeasureXref[[#This Row],[dm_id]],tblDataRequirement[dm_id],tblDataRequirement[domain_sub_requirement])</f>
        <v>Providers:Type:Organisations</v>
      </c>
      <c r="B1119" s="1" t="str">
        <f>_xlfn.XLOOKUP(tblRequirementMeasureXref[[#This Row],[dm_id]],tblDataRequirement[dm_id],tblDataRequirement[dm_phase])</f>
        <v>operate</v>
      </c>
      <c r="C1119" s="1">
        <v>60</v>
      </c>
      <c r="D1119" s="1">
        <v>289</v>
      </c>
      <c r="G1119" s="1"/>
      <c r="H1119" s="62" t="str">
        <f>_xlfn.XLOOKUP(tblRequirementMeasureXref[[#This Row],[msr_id]],tblMeasure[msr_id],tblMeasure[msr_table])</f>
        <v>Table 5.11</v>
      </c>
      <c r="I1119" s="22" t="str">
        <f>_xlfn.XLOOKUP(tblRequirementMeasureXref[[#This Row],[msr_id]],tblMeasure[msr_id],tblMeasure[msr_name])</f>
        <v>Year of entry to the UK, if non-UK born</v>
      </c>
      <c r="J1119" s="22" t="str">
        <f>_xlfn.XLOOKUP(tblRequirementMeasureXref[[#This Row],[msr_id]],tblMeasure[msr_id],tblMeasure[primary_dimensions])</f>
        <v>jobs by UK entry year, role</v>
      </c>
      <c r="K1119" s="22" t="str">
        <f>_xlfn.XLOOKUP(tblRequirementMeasureXref[[#This Row],[msr_id]],tblMeasure[msr_id],tblMeasure[msr_min_geo_resolution])</f>
        <v>Region</v>
      </c>
      <c r="L1119" s="22" t="str">
        <f>_xlfn.XLOOKUP(tblRequirementMeasureXref[[#This Row],[msr_id]],tblMeasure[msr_id],tblMeasure[src_name])</f>
        <v>State of the ASC sector and workforce</v>
      </c>
    </row>
    <row r="1120" spans="1:12" x14ac:dyDescent="0.15">
      <c r="A1120" s="1" t="str">
        <f>_xlfn.XLOOKUP(tblRequirementMeasureXref[[#This Row],[dm_id]],tblDataRequirement[dm_id],tblDataRequirement[domain_sub_requirement])</f>
        <v>Users:Income:Direct payments</v>
      </c>
      <c r="B1120" s="1" t="str">
        <f>_xlfn.XLOOKUP(tblRequirementMeasureXref[[#This Row],[dm_id]],tblDataRequirement[dm_id],tblDataRequirement[dm_phase])</f>
        <v>supply</v>
      </c>
      <c r="C1120" s="1">
        <v>71</v>
      </c>
      <c r="D1120" s="1">
        <v>289</v>
      </c>
      <c r="G1120" s="1"/>
      <c r="H1120" s="62" t="str">
        <f>_xlfn.XLOOKUP(tblRequirementMeasureXref[[#This Row],[msr_id]],tblMeasure[msr_id],tblMeasure[msr_table])</f>
        <v>Table 5.11</v>
      </c>
      <c r="I1120" s="22" t="str">
        <f>_xlfn.XLOOKUP(tblRequirementMeasureXref[[#This Row],[msr_id]],tblMeasure[msr_id],tblMeasure[msr_name])</f>
        <v>Year of entry to the UK, if non-UK born</v>
      </c>
      <c r="J1120" s="22" t="str">
        <f>_xlfn.XLOOKUP(tblRequirementMeasureXref[[#This Row],[msr_id]],tblMeasure[msr_id],tblMeasure[primary_dimensions])</f>
        <v>jobs by UK entry year, role</v>
      </c>
      <c r="K1120" s="22" t="str">
        <f>_xlfn.XLOOKUP(tblRequirementMeasureXref[[#This Row],[msr_id]],tblMeasure[msr_id],tblMeasure[msr_min_geo_resolution])</f>
        <v>Region</v>
      </c>
      <c r="L1120" s="22" t="str">
        <f>_xlfn.XLOOKUP(tblRequirementMeasureXref[[#This Row],[msr_id]],tblMeasure[msr_id],tblMeasure[src_name])</f>
        <v>State of the ASC sector and workforce</v>
      </c>
    </row>
    <row r="1121" spans="1:12" x14ac:dyDescent="0.15">
      <c r="A1121" s="1" t="str">
        <f>_xlfn.XLOOKUP(tblRequirementMeasureXref[[#This Row],[dm_id]],tblDataRequirement[dm_id],tblDataRequirement[domain_sub_requirement])</f>
        <v>Workforce:Demographics:Nationality/Birth/Migration</v>
      </c>
      <c r="B1121" s="1" t="str">
        <f>_xlfn.XLOOKUP(tblRequirementMeasureXref[[#This Row],[dm_id]],tblDataRequirement[dm_id],tblDataRequirement[dm_phase])</f>
        <v>supply</v>
      </c>
      <c r="C1121" s="1">
        <v>99</v>
      </c>
      <c r="D1121" s="1">
        <v>289</v>
      </c>
      <c r="G1121" s="1"/>
      <c r="H1121" s="62" t="str">
        <f>_xlfn.XLOOKUP(tblRequirementMeasureXref[[#This Row],[msr_id]],tblMeasure[msr_id],tblMeasure[msr_table])</f>
        <v>Table 5.11</v>
      </c>
      <c r="I1121" s="22" t="str">
        <f>_xlfn.XLOOKUP(tblRequirementMeasureXref[[#This Row],[msr_id]],tblMeasure[msr_id],tblMeasure[msr_name])</f>
        <v>Year of entry to the UK, if non-UK born</v>
      </c>
      <c r="J1121" s="22" t="str">
        <f>_xlfn.XLOOKUP(tblRequirementMeasureXref[[#This Row],[msr_id]],tblMeasure[msr_id],tblMeasure[primary_dimensions])</f>
        <v>jobs by UK entry year, role</v>
      </c>
      <c r="K1121" s="22" t="str">
        <f>_xlfn.XLOOKUP(tblRequirementMeasureXref[[#This Row],[msr_id]],tblMeasure[msr_id],tblMeasure[msr_min_geo_resolution])</f>
        <v>Region</v>
      </c>
      <c r="L1121" s="22" t="str">
        <f>_xlfn.XLOOKUP(tblRequirementMeasureXref[[#This Row],[msr_id]],tblMeasure[msr_id],tblMeasure[src_name])</f>
        <v>State of the ASC sector and workforce</v>
      </c>
    </row>
    <row r="1122" spans="1:12" x14ac:dyDescent="0.15">
      <c r="A1122" s="1" t="str">
        <f>_xlfn.XLOOKUP(tblRequirementMeasureXref[[#This Row],[dm_id]],tblDataRequirement[dm_id],tblDataRequirement[domain_sub_requirement])</f>
        <v>Providers:Workforce:Filled jobs</v>
      </c>
      <c r="B1122" s="1" t="str">
        <f>_xlfn.XLOOKUP(tblRequirementMeasureXref[[#This Row],[dm_id]],tblDataRequirement[dm_id],tblDataRequirement[dm_phase])</f>
        <v>supply</v>
      </c>
      <c r="C1122" s="1">
        <v>10</v>
      </c>
      <c r="D1122" s="1">
        <v>290</v>
      </c>
      <c r="G1122" s="1"/>
      <c r="H1122" s="62" t="str">
        <f>_xlfn.XLOOKUP(tblRequirementMeasureXref[[#This Row],[msr_id]],tblMeasure[msr_id],tblMeasure[msr_table])</f>
        <v>Table 6.1</v>
      </c>
      <c r="I1122" s="22" t="str">
        <f>_xlfn.XLOOKUP(tblRequirementMeasureXref[[#This Row],[msr_id]],tblMeasure[msr_id],tblMeasure[msr_name])</f>
        <v>Full time equivalent (FTE) mean annual pay rate</v>
      </c>
      <c r="J1122" s="22" t="str">
        <f>_xlfn.XLOOKUP(tblRequirementMeasureXref[[#This Row],[msr_id]],tblMeasure[msr_id],tblMeasure[primary_dimensions])</f>
        <v>FTE mean annual pay trend, role</v>
      </c>
      <c r="K1122" s="22" t="str">
        <f>_xlfn.XLOOKUP(tblRequirementMeasureXref[[#This Row],[msr_id]],tblMeasure[msr_id],tblMeasure[msr_min_geo_resolution])</f>
        <v>Region</v>
      </c>
      <c r="L1122" s="22" t="str">
        <f>_xlfn.XLOOKUP(tblRequirementMeasureXref[[#This Row],[msr_id]],tblMeasure[msr_id],tblMeasure[src_name])</f>
        <v>State of the ASC sector and workforce</v>
      </c>
    </row>
    <row r="1123" spans="1:12" x14ac:dyDescent="0.15">
      <c r="A1123" s="1" t="str">
        <f>_xlfn.XLOOKUP(tblRequirementMeasureXref[[#This Row],[dm_id]],tblDataRequirement[dm_id],tblDataRequirement[domain_sub_requirement])</f>
        <v>Service:Support setting:Home</v>
      </c>
      <c r="B1123" s="1" t="str">
        <f>_xlfn.XLOOKUP(tblRequirementMeasureXref[[#This Row],[dm_id]],tblDataRequirement[dm_id],tblDataRequirement[dm_phase])</f>
        <v>operate</v>
      </c>
      <c r="C1123" s="1">
        <v>40</v>
      </c>
      <c r="D1123" s="1">
        <v>290</v>
      </c>
      <c r="G1123" s="1"/>
      <c r="H1123" s="62" t="str">
        <f>_xlfn.XLOOKUP(tblRequirementMeasureXref[[#This Row],[msr_id]],tblMeasure[msr_id],tblMeasure[msr_table])</f>
        <v>Table 6.1</v>
      </c>
      <c r="I1123" s="22" t="str">
        <f>_xlfn.XLOOKUP(tblRequirementMeasureXref[[#This Row],[msr_id]],tblMeasure[msr_id],tblMeasure[msr_name])</f>
        <v>Full time equivalent (FTE) mean annual pay rate</v>
      </c>
      <c r="J1123" s="22" t="str">
        <f>_xlfn.XLOOKUP(tblRequirementMeasureXref[[#This Row],[msr_id]],tblMeasure[msr_id],tblMeasure[primary_dimensions])</f>
        <v>FTE mean annual pay trend, role</v>
      </c>
      <c r="K1123" s="22" t="str">
        <f>_xlfn.XLOOKUP(tblRequirementMeasureXref[[#This Row],[msr_id]],tblMeasure[msr_id],tblMeasure[msr_min_geo_resolution])</f>
        <v>Region</v>
      </c>
      <c r="L1123" s="22" t="str">
        <f>_xlfn.XLOOKUP(tblRequirementMeasureXref[[#This Row],[msr_id]],tblMeasure[msr_id],tblMeasure[src_name])</f>
        <v>State of the ASC sector and workforce</v>
      </c>
    </row>
    <row r="1124" spans="1:12" x14ac:dyDescent="0.15">
      <c r="A1124" s="1" t="str">
        <f>_xlfn.XLOOKUP(tblRequirementMeasureXref[[#This Row],[dm_id]],tblDataRequirement[dm_id],tblDataRequirement[domain_sub_requirement])</f>
        <v>Service:Support setting:Residential care home</v>
      </c>
      <c r="B1124" s="1" t="str">
        <f>_xlfn.XLOOKUP(tblRequirementMeasureXref[[#This Row],[dm_id]],tblDataRequirement[dm_id],tblDataRequirement[dm_phase])</f>
        <v>operate</v>
      </c>
      <c r="C1124" s="1">
        <v>41</v>
      </c>
      <c r="D1124" s="1">
        <v>290</v>
      </c>
      <c r="G1124" s="1"/>
      <c r="H1124" s="62" t="str">
        <f>_xlfn.XLOOKUP(tblRequirementMeasureXref[[#This Row],[msr_id]],tblMeasure[msr_id],tblMeasure[msr_table])</f>
        <v>Table 6.1</v>
      </c>
      <c r="I1124" s="22" t="str">
        <f>_xlfn.XLOOKUP(tblRequirementMeasureXref[[#This Row],[msr_id]],tblMeasure[msr_id],tblMeasure[msr_name])</f>
        <v>Full time equivalent (FTE) mean annual pay rate</v>
      </c>
      <c r="J1124" s="22" t="str">
        <f>_xlfn.XLOOKUP(tblRequirementMeasureXref[[#This Row],[msr_id]],tblMeasure[msr_id],tblMeasure[primary_dimensions])</f>
        <v>FTE mean annual pay trend, role</v>
      </c>
      <c r="K1124" s="22" t="str">
        <f>_xlfn.XLOOKUP(tblRequirementMeasureXref[[#This Row],[msr_id]],tblMeasure[msr_id],tblMeasure[msr_min_geo_resolution])</f>
        <v>Region</v>
      </c>
      <c r="L1124" s="22" t="str">
        <f>_xlfn.XLOOKUP(tblRequirementMeasureXref[[#This Row],[msr_id]],tblMeasure[msr_id],tblMeasure[src_name])</f>
        <v>State of the ASC sector and workforce</v>
      </c>
    </row>
    <row r="1125" spans="1:12" x14ac:dyDescent="0.15">
      <c r="A1125" s="1" t="str">
        <f>_xlfn.XLOOKUP(tblRequirementMeasureXref[[#This Row],[dm_id]],tblDataRequirement[dm_id],tblDataRequirement[domain_sub_requirement])</f>
        <v>Service:Support setting:Nursing home</v>
      </c>
      <c r="B1125" s="1" t="str">
        <f>_xlfn.XLOOKUP(tblRequirementMeasureXref[[#This Row],[dm_id]],tblDataRequirement[dm_id],tblDataRequirement[dm_phase])</f>
        <v>operate</v>
      </c>
      <c r="C1125" s="1">
        <v>42</v>
      </c>
      <c r="D1125" s="1">
        <v>290</v>
      </c>
      <c r="G1125" s="1"/>
      <c r="H1125" s="62" t="str">
        <f>_xlfn.XLOOKUP(tblRequirementMeasureXref[[#This Row],[msr_id]],tblMeasure[msr_id],tblMeasure[msr_table])</f>
        <v>Table 6.1</v>
      </c>
      <c r="I1125" s="22" t="str">
        <f>_xlfn.XLOOKUP(tblRequirementMeasureXref[[#This Row],[msr_id]],tblMeasure[msr_id],tblMeasure[msr_name])</f>
        <v>Full time equivalent (FTE) mean annual pay rate</v>
      </c>
      <c r="J1125" s="22" t="str">
        <f>_xlfn.XLOOKUP(tblRequirementMeasureXref[[#This Row],[msr_id]],tblMeasure[msr_id],tblMeasure[primary_dimensions])</f>
        <v>FTE mean annual pay trend, role</v>
      </c>
      <c r="K1125" s="22" t="str">
        <f>_xlfn.XLOOKUP(tblRequirementMeasureXref[[#This Row],[msr_id]],tblMeasure[msr_id],tblMeasure[msr_min_geo_resolution])</f>
        <v>Region</v>
      </c>
      <c r="L1125" s="22" t="str">
        <f>_xlfn.XLOOKUP(tblRequirementMeasureXref[[#This Row],[msr_id]],tblMeasure[msr_id],tblMeasure[src_name])</f>
        <v>State of the ASC sector and workforce</v>
      </c>
    </row>
    <row r="1126" spans="1:12" x14ac:dyDescent="0.15">
      <c r="A1126" s="1" t="str">
        <f>_xlfn.XLOOKUP(tblRequirementMeasureXref[[#This Row],[dm_id]],tblDataRequirement[dm_id],tblDataRequirement[domain_sub_requirement])</f>
        <v>Service:Support setting:Community</v>
      </c>
      <c r="B1126" s="1" t="str">
        <f>_xlfn.XLOOKUP(tblRequirementMeasureXref[[#This Row],[dm_id]],tblDataRequirement[dm_id],tblDataRequirement[dm_phase])</f>
        <v>operate</v>
      </c>
      <c r="C1126" s="1">
        <v>43</v>
      </c>
      <c r="D1126" s="1">
        <v>290</v>
      </c>
      <c r="G1126" s="1"/>
      <c r="H1126" s="62" t="str">
        <f>_xlfn.XLOOKUP(tblRequirementMeasureXref[[#This Row],[msr_id]],tblMeasure[msr_id],tblMeasure[msr_table])</f>
        <v>Table 6.1</v>
      </c>
      <c r="I1126" s="22" t="str">
        <f>_xlfn.XLOOKUP(tblRequirementMeasureXref[[#This Row],[msr_id]],tblMeasure[msr_id],tblMeasure[msr_name])</f>
        <v>Full time equivalent (FTE) mean annual pay rate</v>
      </c>
      <c r="J1126" s="22" t="str">
        <f>_xlfn.XLOOKUP(tblRequirementMeasureXref[[#This Row],[msr_id]],tblMeasure[msr_id],tblMeasure[primary_dimensions])</f>
        <v>FTE mean annual pay trend, role</v>
      </c>
      <c r="K1126" s="22" t="str">
        <f>_xlfn.XLOOKUP(tblRequirementMeasureXref[[#This Row],[msr_id]],tblMeasure[msr_id],tblMeasure[msr_min_geo_resolution])</f>
        <v>Region</v>
      </c>
      <c r="L1126" s="22" t="str">
        <f>_xlfn.XLOOKUP(tblRequirementMeasureXref[[#This Row],[msr_id]],tblMeasure[msr_id],tblMeasure[src_name])</f>
        <v>State of the ASC sector and workforce</v>
      </c>
    </row>
    <row r="1127" spans="1:12" x14ac:dyDescent="0.15">
      <c r="A1127" s="1" t="str">
        <f>_xlfn.XLOOKUP(tblRequirementMeasureXref[[#This Row],[dm_id]],tblDataRequirement[dm_id],tblDataRequirement[domain_sub_requirement])</f>
        <v>Providers:Type:Organisations</v>
      </c>
      <c r="B1127" s="1" t="str">
        <f>_xlfn.XLOOKUP(tblRequirementMeasureXref[[#This Row],[dm_id]],tblDataRequirement[dm_id],tblDataRequirement[dm_phase])</f>
        <v>operate</v>
      </c>
      <c r="C1127" s="1">
        <v>60</v>
      </c>
      <c r="D1127" s="1">
        <v>290</v>
      </c>
      <c r="G1127" s="1"/>
      <c r="H1127" s="62" t="str">
        <f>_xlfn.XLOOKUP(tblRequirementMeasureXref[[#This Row],[msr_id]],tblMeasure[msr_id],tblMeasure[msr_table])</f>
        <v>Table 6.1</v>
      </c>
      <c r="I1127" s="22" t="str">
        <f>_xlfn.XLOOKUP(tblRequirementMeasureXref[[#This Row],[msr_id]],tblMeasure[msr_id],tblMeasure[msr_name])</f>
        <v>Full time equivalent (FTE) mean annual pay rate</v>
      </c>
      <c r="J1127" s="22" t="str">
        <f>_xlfn.XLOOKUP(tblRequirementMeasureXref[[#This Row],[msr_id]],tblMeasure[msr_id],tblMeasure[primary_dimensions])</f>
        <v>FTE mean annual pay trend, role</v>
      </c>
      <c r="K1127" s="22" t="str">
        <f>_xlfn.XLOOKUP(tblRequirementMeasureXref[[#This Row],[msr_id]],tblMeasure[msr_id],tblMeasure[msr_min_geo_resolution])</f>
        <v>Region</v>
      </c>
      <c r="L1127" s="22" t="str">
        <f>_xlfn.XLOOKUP(tblRequirementMeasureXref[[#This Row],[msr_id]],tblMeasure[msr_id],tblMeasure[src_name])</f>
        <v>State of the ASC sector and workforce</v>
      </c>
    </row>
    <row r="1128" spans="1:12" x14ac:dyDescent="0.15">
      <c r="A1128" s="1" t="str">
        <f>_xlfn.XLOOKUP(tblRequirementMeasureXref[[#This Row],[dm_id]],tblDataRequirement[dm_id],tblDataRequirement[domain_sub_requirement])</f>
        <v>Users:Income:Direct payments</v>
      </c>
      <c r="B1128" s="1" t="str">
        <f>_xlfn.XLOOKUP(tblRequirementMeasureXref[[#This Row],[dm_id]],tblDataRequirement[dm_id],tblDataRequirement[dm_phase])</f>
        <v>supply</v>
      </c>
      <c r="C1128" s="1">
        <v>71</v>
      </c>
      <c r="D1128" s="1">
        <v>290</v>
      </c>
      <c r="G1128" s="1"/>
      <c r="H1128" s="62" t="str">
        <f>_xlfn.XLOOKUP(tblRequirementMeasureXref[[#This Row],[msr_id]],tblMeasure[msr_id],tblMeasure[msr_table])</f>
        <v>Table 6.1</v>
      </c>
      <c r="I1128" s="22" t="str">
        <f>_xlfn.XLOOKUP(tblRequirementMeasureXref[[#This Row],[msr_id]],tblMeasure[msr_id],tblMeasure[msr_name])</f>
        <v>Full time equivalent (FTE) mean annual pay rate</v>
      </c>
      <c r="J1128" s="22" t="str">
        <f>_xlfn.XLOOKUP(tblRequirementMeasureXref[[#This Row],[msr_id]],tblMeasure[msr_id],tblMeasure[primary_dimensions])</f>
        <v>FTE mean annual pay trend, role</v>
      </c>
      <c r="K1128" s="22" t="str">
        <f>_xlfn.XLOOKUP(tblRequirementMeasureXref[[#This Row],[msr_id]],tblMeasure[msr_id],tblMeasure[msr_min_geo_resolution])</f>
        <v>Region</v>
      </c>
      <c r="L1128" s="22" t="str">
        <f>_xlfn.XLOOKUP(tblRequirementMeasureXref[[#This Row],[msr_id]],tblMeasure[msr_id],tblMeasure[src_name])</f>
        <v>State of the ASC sector and workforce</v>
      </c>
    </row>
    <row r="1129" spans="1:12" x14ac:dyDescent="0.15">
      <c r="A1129" s="1" t="str">
        <f>_xlfn.XLOOKUP(tblRequirementMeasureXref[[#This Row],[dm_id]],tblDataRequirement[dm_id],tblDataRequirement[domain_sub_requirement])</f>
        <v>Workforce:Income:Pay</v>
      </c>
      <c r="B1129" s="1" t="str">
        <f>_xlfn.XLOOKUP(tblRequirementMeasureXref[[#This Row],[dm_id]],tblDataRequirement[dm_id],tblDataRequirement[dm_phase])</f>
        <v>operate</v>
      </c>
      <c r="C1129" s="1">
        <v>67</v>
      </c>
      <c r="D1129" s="1">
        <v>290</v>
      </c>
      <c r="G1129" s="1"/>
      <c r="H1129" s="62" t="str">
        <f>_xlfn.XLOOKUP(tblRequirementMeasureXref[[#This Row],[msr_id]],tblMeasure[msr_id],tblMeasure[msr_table])</f>
        <v>Table 6.1</v>
      </c>
      <c r="I1129" s="22" t="str">
        <f>_xlfn.XLOOKUP(tblRequirementMeasureXref[[#This Row],[msr_id]],tblMeasure[msr_id],tblMeasure[msr_name])</f>
        <v>Full time equivalent (FTE) mean annual pay rate</v>
      </c>
      <c r="J1129" s="22" t="str">
        <f>_xlfn.XLOOKUP(tblRequirementMeasureXref[[#This Row],[msr_id]],tblMeasure[msr_id],tblMeasure[primary_dimensions])</f>
        <v>FTE mean annual pay trend, role</v>
      </c>
      <c r="K1129" s="22" t="str">
        <f>_xlfn.XLOOKUP(tblRequirementMeasureXref[[#This Row],[msr_id]],tblMeasure[msr_id],tblMeasure[msr_min_geo_resolution])</f>
        <v>Region</v>
      </c>
      <c r="L1129" s="22" t="str">
        <f>_xlfn.XLOOKUP(tblRequirementMeasureXref[[#This Row],[msr_id]],tblMeasure[msr_id],tblMeasure[src_name])</f>
        <v>State of the ASC sector and workforce</v>
      </c>
    </row>
    <row r="1130" spans="1:12" x14ac:dyDescent="0.15">
      <c r="A1130" s="1" t="str">
        <f>_xlfn.XLOOKUP(tblRequirementMeasureXref[[#This Row],[dm_id]],tblDataRequirement[dm_id],tblDataRequirement[domain_sub_requirement])</f>
        <v>Providers:Workforce:Filled jobs</v>
      </c>
      <c r="B1130" s="1" t="str">
        <f>_xlfn.XLOOKUP(tblRequirementMeasureXref[[#This Row],[dm_id]],tblDataRequirement[dm_id],tblDataRequirement[dm_phase])</f>
        <v>supply</v>
      </c>
      <c r="C1130" s="1">
        <v>10</v>
      </c>
      <c r="D1130" s="1">
        <v>291</v>
      </c>
      <c r="G1130" s="1"/>
      <c r="H1130" s="62" t="str">
        <f>_xlfn.XLOOKUP(tblRequirementMeasureXref[[#This Row],[msr_id]],tblMeasure[msr_id],tblMeasure[msr_table])</f>
        <v>Table 6.2</v>
      </c>
      <c r="I1130" s="22" t="str">
        <f>_xlfn.XLOOKUP(tblRequirementMeasureXref[[#This Row],[msr_id]],tblMeasure[msr_id],tblMeasure[msr_name])</f>
        <v>Mean hourly pay rate</v>
      </c>
      <c r="J1130" s="22" t="str">
        <f>_xlfn.XLOOKUP(tblRequirementMeasureXref[[#This Row],[msr_id]],tblMeasure[msr_id],tblMeasure[primary_dimensions])</f>
        <v>mean hourly pay trends, role</v>
      </c>
      <c r="K1130" s="22" t="str">
        <f>_xlfn.XLOOKUP(tblRequirementMeasureXref[[#This Row],[msr_id]],tblMeasure[msr_id],tblMeasure[msr_min_geo_resolution])</f>
        <v>Region</v>
      </c>
      <c r="L1130" s="22" t="str">
        <f>_xlfn.XLOOKUP(tblRequirementMeasureXref[[#This Row],[msr_id]],tblMeasure[msr_id],tblMeasure[src_name])</f>
        <v>State of the ASC sector and workforce</v>
      </c>
    </row>
    <row r="1131" spans="1:12" x14ac:dyDescent="0.15">
      <c r="A1131" s="1" t="str">
        <f>_xlfn.XLOOKUP(tblRequirementMeasureXref[[#This Row],[dm_id]],tblDataRequirement[dm_id],tblDataRequirement[domain_sub_requirement])</f>
        <v>Service:Support setting:Home</v>
      </c>
      <c r="B1131" s="1" t="str">
        <f>_xlfn.XLOOKUP(tblRequirementMeasureXref[[#This Row],[dm_id]],tblDataRequirement[dm_id],tblDataRequirement[dm_phase])</f>
        <v>operate</v>
      </c>
      <c r="C1131" s="1">
        <v>40</v>
      </c>
      <c r="D1131" s="1">
        <v>291</v>
      </c>
      <c r="G1131" s="1"/>
      <c r="H1131" s="62" t="str">
        <f>_xlfn.XLOOKUP(tblRequirementMeasureXref[[#This Row],[msr_id]],tblMeasure[msr_id],tblMeasure[msr_table])</f>
        <v>Table 6.2</v>
      </c>
      <c r="I1131" s="22" t="str">
        <f>_xlfn.XLOOKUP(tblRequirementMeasureXref[[#This Row],[msr_id]],tblMeasure[msr_id],tblMeasure[msr_name])</f>
        <v>Mean hourly pay rate</v>
      </c>
      <c r="J1131" s="22" t="str">
        <f>_xlfn.XLOOKUP(tblRequirementMeasureXref[[#This Row],[msr_id]],tblMeasure[msr_id],tblMeasure[primary_dimensions])</f>
        <v>mean hourly pay trends, role</v>
      </c>
      <c r="K1131" s="22" t="str">
        <f>_xlfn.XLOOKUP(tblRequirementMeasureXref[[#This Row],[msr_id]],tblMeasure[msr_id],tblMeasure[msr_min_geo_resolution])</f>
        <v>Region</v>
      </c>
      <c r="L1131" s="22" t="str">
        <f>_xlfn.XLOOKUP(tblRequirementMeasureXref[[#This Row],[msr_id]],tblMeasure[msr_id],tblMeasure[src_name])</f>
        <v>State of the ASC sector and workforce</v>
      </c>
    </row>
    <row r="1132" spans="1:12" x14ac:dyDescent="0.15">
      <c r="A1132" s="1" t="str">
        <f>_xlfn.XLOOKUP(tblRequirementMeasureXref[[#This Row],[dm_id]],tblDataRequirement[dm_id],tblDataRequirement[domain_sub_requirement])</f>
        <v>Service:Support setting:Residential care home</v>
      </c>
      <c r="B1132" s="1" t="str">
        <f>_xlfn.XLOOKUP(tblRequirementMeasureXref[[#This Row],[dm_id]],tblDataRequirement[dm_id],tblDataRequirement[dm_phase])</f>
        <v>operate</v>
      </c>
      <c r="C1132" s="1">
        <v>41</v>
      </c>
      <c r="D1132" s="1">
        <v>291</v>
      </c>
      <c r="G1132" s="1"/>
      <c r="H1132" s="62" t="str">
        <f>_xlfn.XLOOKUP(tblRequirementMeasureXref[[#This Row],[msr_id]],tblMeasure[msr_id],tblMeasure[msr_table])</f>
        <v>Table 6.2</v>
      </c>
      <c r="I1132" s="22" t="str">
        <f>_xlfn.XLOOKUP(tblRequirementMeasureXref[[#This Row],[msr_id]],tblMeasure[msr_id],tblMeasure[msr_name])</f>
        <v>Mean hourly pay rate</v>
      </c>
      <c r="J1132" s="22" t="str">
        <f>_xlfn.XLOOKUP(tblRequirementMeasureXref[[#This Row],[msr_id]],tblMeasure[msr_id],tblMeasure[primary_dimensions])</f>
        <v>mean hourly pay trends, role</v>
      </c>
      <c r="K1132" s="22" t="str">
        <f>_xlfn.XLOOKUP(tblRequirementMeasureXref[[#This Row],[msr_id]],tblMeasure[msr_id],tblMeasure[msr_min_geo_resolution])</f>
        <v>Region</v>
      </c>
      <c r="L1132" s="22" t="str">
        <f>_xlfn.XLOOKUP(tblRequirementMeasureXref[[#This Row],[msr_id]],tblMeasure[msr_id],tblMeasure[src_name])</f>
        <v>State of the ASC sector and workforce</v>
      </c>
    </row>
    <row r="1133" spans="1:12" x14ac:dyDescent="0.15">
      <c r="A1133" s="1" t="str">
        <f>_xlfn.XLOOKUP(tblRequirementMeasureXref[[#This Row],[dm_id]],tblDataRequirement[dm_id],tblDataRequirement[domain_sub_requirement])</f>
        <v>Service:Support setting:Nursing home</v>
      </c>
      <c r="B1133" s="1" t="str">
        <f>_xlfn.XLOOKUP(tblRequirementMeasureXref[[#This Row],[dm_id]],tblDataRequirement[dm_id],tblDataRequirement[dm_phase])</f>
        <v>operate</v>
      </c>
      <c r="C1133" s="1">
        <v>42</v>
      </c>
      <c r="D1133" s="1">
        <v>291</v>
      </c>
      <c r="G1133" s="1"/>
      <c r="H1133" s="62" t="str">
        <f>_xlfn.XLOOKUP(tblRequirementMeasureXref[[#This Row],[msr_id]],tblMeasure[msr_id],tblMeasure[msr_table])</f>
        <v>Table 6.2</v>
      </c>
      <c r="I1133" s="22" t="str">
        <f>_xlfn.XLOOKUP(tblRequirementMeasureXref[[#This Row],[msr_id]],tblMeasure[msr_id],tblMeasure[msr_name])</f>
        <v>Mean hourly pay rate</v>
      </c>
      <c r="J1133" s="22" t="str">
        <f>_xlfn.XLOOKUP(tblRequirementMeasureXref[[#This Row],[msr_id]],tblMeasure[msr_id],tblMeasure[primary_dimensions])</f>
        <v>mean hourly pay trends, role</v>
      </c>
      <c r="K1133" s="22" t="str">
        <f>_xlfn.XLOOKUP(tblRequirementMeasureXref[[#This Row],[msr_id]],tblMeasure[msr_id],tblMeasure[msr_min_geo_resolution])</f>
        <v>Region</v>
      </c>
      <c r="L1133" s="22" t="str">
        <f>_xlfn.XLOOKUP(tblRequirementMeasureXref[[#This Row],[msr_id]],tblMeasure[msr_id],tblMeasure[src_name])</f>
        <v>State of the ASC sector and workforce</v>
      </c>
    </row>
    <row r="1134" spans="1:12" x14ac:dyDescent="0.15">
      <c r="A1134" s="1" t="str">
        <f>_xlfn.XLOOKUP(tblRequirementMeasureXref[[#This Row],[dm_id]],tblDataRequirement[dm_id],tblDataRequirement[domain_sub_requirement])</f>
        <v>Service:Support setting:Community</v>
      </c>
      <c r="B1134" s="1" t="str">
        <f>_xlfn.XLOOKUP(tblRequirementMeasureXref[[#This Row],[dm_id]],tblDataRequirement[dm_id],tblDataRequirement[dm_phase])</f>
        <v>operate</v>
      </c>
      <c r="C1134" s="1">
        <v>43</v>
      </c>
      <c r="D1134" s="1">
        <v>291</v>
      </c>
      <c r="G1134" s="1"/>
      <c r="H1134" s="62" t="str">
        <f>_xlfn.XLOOKUP(tblRequirementMeasureXref[[#This Row],[msr_id]],tblMeasure[msr_id],tblMeasure[msr_table])</f>
        <v>Table 6.2</v>
      </c>
      <c r="I1134" s="22" t="str">
        <f>_xlfn.XLOOKUP(tblRequirementMeasureXref[[#This Row],[msr_id]],tblMeasure[msr_id],tblMeasure[msr_name])</f>
        <v>Mean hourly pay rate</v>
      </c>
      <c r="J1134" s="22" t="str">
        <f>_xlfn.XLOOKUP(tblRequirementMeasureXref[[#This Row],[msr_id]],tblMeasure[msr_id],tblMeasure[primary_dimensions])</f>
        <v>mean hourly pay trends, role</v>
      </c>
      <c r="K1134" s="22" t="str">
        <f>_xlfn.XLOOKUP(tblRequirementMeasureXref[[#This Row],[msr_id]],tblMeasure[msr_id],tblMeasure[msr_min_geo_resolution])</f>
        <v>Region</v>
      </c>
      <c r="L1134" s="22" t="str">
        <f>_xlfn.XLOOKUP(tblRequirementMeasureXref[[#This Row],[msr_id]],tblMeasure[msr_id],tblMeasure[src_name])</f>
        <v>State of the ASC sector and workforce</v>
      </c>
    </row>
    <row r="1135" spans="1:12" x14ac:dyDescent="0.15">
      <c r="A1135" s="1" t="str">
        <f>_xlfn.XLOOKUP(tblRequirementMeasureXref[[#This Row],[dm_id]],tblDataRequirement[dm_id],tblDataRequirement[domain_sub_requirement])</f>
        <v>Providers:Type:Organisations</v>
      </c>
      <c r="B1135" s="1" t="str">
        <f>_xlfn.XLOOKUP(tblRequirementMeasureXref[[#This Row],[dm_id]],tblDataRequirement[dm_id],tblDataRequirement[dm_phase])</f>
        <v>operate</v>
      </c>
      <c r="C1135" s="1">
        <v>60</v>
      </c>
      <c r="D1135" s="1">
        <v>291</v>
      </c>
      <c r="G1135" s="1"/>
      <c r="H1135" s="62" t="str">
        <f>_xlfn.XLOOKUP(tblRequirementMeasureXref[[#This Row],[msr_id]],tblMeasure[msr_id],tblMeasure[msr_table])</f>
        <v>Table 6.2</v>
      </c>
      <c r="I1135" s="22" t="str">
        <f>_xlfn.XLOOKUP(tblRequirementMeasureXref[[#This Row],[msr_id]],tblMeasure[msr_id],tblMeasure[msr_name])</f>
        <v>Mean hourly pay rate</v>
      </c>
      <c r="J1135" s="22" t="str">
        <f>_xlfn.XLOOKUP(tblRequirementMeasureXref[[#This Row],[msr_id]],tblMeasure[msr_id],tblMeasure[primary_dimensions])</f>
        <v>mean hourly pay trends, role</v>
      </c>
      <c r="K1135" s="22" t="str">
        <f>_xlfn.XLOOKUP(tblRequirementMeasureXref[[#This Row],[msr_id]],tblMeasure[msr_id],tblMeasure[msr_min_geo_resolution])</f>
        <v>Region</v>
      </c>
      <c r="L1135" s="22" t="str">
        <f>_xlfn.XLOOKUP(tblRequirementMeasureXref[[#This Row],[msr_id]],tblMeasure[msr_id],tblMeasure[src_name])</f>
        <v>State of the ASC sector and workforce</v>
      </c>
    </row>
    <row r="1136" spans="1:12" x14ac:dyDescent="0.15">
      <c r="A1136" s="1" t="str">
        <f>_xlfn.XLOOKUP(tblRequirementMeasureXref[[#This Row],[dm_id]],tblDataRequirement[dm_id],tblDataRequirement[domain_sub_requirement])</f>
        <v>Users:Income:Direct payments</v>
      </c>
      <c r="B1136" s="1" t="str">
        <f>_xlfn.XLOOKUP(tblRequirementMeasureXref[[#This Row],[dm_id]],tblDataRequirement[dm_id],tblDataRequirement[dm_phase])</f>
        <v>supply</v>
      </c>
      <c r="C1136" s="1">
        <v>71</v>
      </c>
      <c r="D1136" s="1">
        <v>291</v>
      </c>
      <c r="G1136" s="1"/>
      <c r="H1136" s="62" t="str">
        <f>_xlfn.XLOOKUP(tblRequirementMeasureXref[[#This Row],[msr_id]],tblMeasure[msr_id],tblMeasure[msr_table])</f>
        <v>Table 6.2</v>
      </c>
      <c r="I1136" s="22" t="str">
        <f>_xlfn.XLOOKUP(tblRequirementMeasureXref[[#This Row],[msr_id]],tblMeasure[msr_id],tblMeasure[msr_name])</f>
        <v>Mean hourly pay rate</v>
      </c>
      <c r="J1136" s="22" t="str">
        <f>_xlfn.XLOOKUP(tblRequirementMeasureXref[[#This Row],[msr_id]],tblMeasure[msr_id],tblMeasure[primary_dimensions])</f>
        <v>mean hourly pay trends, role</v>
      </c>
      <c r="K1136" s="22" t="str">
        <f>_xlfn.XLOOKUP(tblRequirementMeasureXref[[#This Row],[msr_id]],tblMeasure[msr_id],tblMeasure[msr_min_geo_resolution])</f>
        <v>Region</v>
      </c>
      <c r="L1136" s="22" t="str">
        <f>_xlfn.XLOOKUP(tblRequirementMeasureXref[[#This Row],[msr_id]],tblMeasure[msr_id],tblMeasure[src_name])</f>
        <v>State of the ASC sector and workforce</v>
      </c>
    </row>
    <row r="1137" spans="1:12" x14ac:dyDescent="0.15">
      <c r="A1137" s="1" t="str">
        <f>_xlfn.XLOOKUP(tblRequirementMeasureXref[[#This Row],[dm_id]],tblDataRequirement[dm_id],tblDataRequirement[domain_sub_requirement])</f>
        <v>Workforce:Income:Pay</v>
      </c>
      <c r="B1137" s="1" t="str">
        <f>_xlfn.XLOOKUP(tblRequirementMeasureXref[[#This Row],[dm_id]],tblDataRequirement[dm_id],tblDataRequirement[dm_phase])</f>
        <v>operate</v>
      </c>
      <c r="C1137" s="1">
        <v>67</v>
      </c>
      <c r="D1137" s="1">
        <v>291</v>
      </c>
      <c r="G1137" s="1"/>
      <c r="H1137" s="62" t="str">
        <f>_xlfn.XLOOKUP(tblRequirementMeasureXref[[#This Row],[msr_id]],tblMeasure[msr_id],tblMeasure[msr_table])</f>
        <v>Table 6.2</v>
      </c>
      <c r="I1137" s="22" t="str">
        <f>_xlfn.XLOOKUP(tblRequirementMeasureXref[[#This Row],[msr_id]],tblMeasure[msr_id],tblMeasure[msr_name])</f>
        <v>Mean hourly pay rate</v>
      </c>
      <c r="J1137" s="22" t="str">
        <f>_xlfn.XLOOKUP(tblRequirementMeasureXref[[#This Row],[msr_id]],tblMeasure[msr_id],tblMeasure[primary_dimensions])</f>
        <v>mean hourly pay trends, role</v>
      </c>
      <c r="K1137" s="22" t="str">
        <f>_xlfn.XLOOKUP(tblRequirementMeasureXref[[#This Row],[msr_id]],tblMeasure[msr_id],tblMeasure[msr_min_geo_resolution])</f>
        <v>Region</v>
      </c>
      <c r="L1137" s="22" t="str">
        <f>_xlfn.XLOOKUP(tblRequirementMeasureXref[[#This Row],[msr_id]],tblMeasure[msr_id],tblMeasure[src_name])</f>
        <v>State of the ASC sector and workforce</v>
      </c>
    </row>
    <row r="1138" spans="1:12" x14ac:dyDescent="0.15">
      <c r="A1138" s="1" t="str">
        <f>_xlfn.XLOOKUP(tblRequirementMeasureXref[[#This Row],[dm_id]],tblDataRequirement[dm_id],tblDataRequirement[domain_sub_requirement])</f>
        <v>Providers:Workforce:Filled jobs</v>
      </c>
      <c r="B1138" s="1" t="str">
        <f>_xlfn.XLOOKUP(tblRequirementMeasureXref[[#This Row],[dm_id]],tblDataRequirement[dm_id],tblDataRequirement[dm_phase])</f>
        <v>supply</v>
      </c>
      <c r="C1138" s="1">
        <v>10</v>
      </c>
      <c r="D1138" s="1">
        <v>294</v>
      </c>
      <c r="G1138" s="1"/>
      <c r="H1138" s="62" t="str">
        <f>_xlfn.XLOOKUP(tblRequirementMeasureXref[[#This Row],[msr_id]],tblMeasure[msr_id],tblMeasure[msr_table])</f>
        <v>Table 7.1</v>
      </c>
      <c r="I1138" s="22" t="str">
        <f>_xlfn.XLOOKUP(tblRequirementMeasureXref[[#This Row],[msr_id]],tblMeasure[msr_id],tblMeasure[msr_name])</f>
        <v>Care certificate status</v>
      </c>
      <c r="J1138" s="22" t="str">
        <f>_xlfn.XLOOKUP(tblRequirementMeasureXref[[#This Row],[msr_id]],tblMeasure[msr_id],tblMeasure[primary_dimensions])</f>
        <v>care certificate status, role</v>
      </c>
      <c r="K1138" s="22" t="str">
        <f>_xlfn.XLOOKUP(tblRequirementMeasureXref[[#This Row],[msr_id]],tblMeasure[msr_id],tblMeasure[msr_min_geo_resolution])</f>
        <v>Region</v>
      </c>
      <c r="L1138" s="22" t="str">
        <f>_xlfn.XLOOKUP(tblRequirementMeasureXref[[#This Row],[msr_id]],tblMeasure[msr_id],tblMeasure[src_name])</f>
        <v>State of the ASC sector and workforce</v>
      </c>
    </row>
    <row r="1139" spans="1:12" x14ac:dyDescent="0.15">
      <c r="A1139" s="1" t="str">
        <f>_xlfn.XLOOKUP(tblRequirementMeasureXref[[#This Row],[dm_id]],tblDataRequirement[dm_id],tblDataRequirement[domain_sub_requirement])</f>
        <v>Service:Support setting:Home</v>
      </c>
      <c r="B1139" s="1" t="str">
        <f>_xlfn.XLOOKUP(tblRequirementMeasureXref[[#This Row],[dm_id]],tblDataRequirement[dm_id],tblDataRequirement[dm_phase])</f>
        <v>operate</v>
      </c>
      <c r="C1139" s="1">
        <v>40</v>
      </c>
      <c r="D1139" s="1">
        <v>294</v>
      </c>
      <c r="G1139" s="1"/>
      <c r="H1139" s="62" t="str">
        <f>_xlfn.XLOOKUP(tblRequirementMeasureXref[[#This Row],[msr_id]],tblMeasure[msr_id],tblMeasure[msr_table])</f>
        <v>Table 7.1</v>
      </c>
      <c r="I1139" s="22" t="str">
        <f>_xlfn.XLOOKUP(tblRequirementMeasureXref[[#This Row],[msr_id]],tblMeasure[msr_id],tblMeasure[msr_name])</f>
        <v>Care certificate status</v>
      </c>
      <c r="J1139" s="22" t="str">
        <f>_xlfn.XLOOKUP(tblRequirementMeasureXref[[#This Row],[msr_id]],tblMeasure[msr_id],tblMeasure[primary_dimensions])</f>
        <v>care certificate status, role</v>
      </c>
      <c r="K1139" s="22" t="str">
        <f>_xlfn.XLOOKUP(tblRequirementMeasureXref[[#This Row],[msr_id]],tblMeasure[msr_id],tblMeasure[msr_min_geo_resolution])</f>
        <v>Region</v>
      </c>
      <c r="L1139" s="22" t="str">
        <f>_xlfn.XLOOKUP(tblRequirementMeasureXref[[#This Row],[msr_id]],tblMeasure[msr_id],tblMeasure[src_name])</f>
        <v>State of the ASC sector and workforce</v>
      </c>
    </row>
    <row r="1140" spans="1:12" x14ac:dyDescent="0.15">
      <c r="A1140" s="1" t="str">
        <f>_xlfn.XLOOKUP(tblRequirementMeasureXref[[#This Row],[dm_id]],tblDataRequirement[dm_id],tblDataRequirement[domain_sub_requirement])</f>
        <v>Service:Support setting:Residential care home</v>
      </c>
      <c r="B1140" s="1" t="str">
        <f>_xlfn.XLOOKUP(tblRequirementMeasureXref[[#This Row],[dm_id]],tblDataRequirement[dm_id],tblDataRequirement[dm_phase])</f>
        <v>operate</v>
      </c>
      <c r="C1140" s="1">
        <v>41</v>
      </c>
      <c r="D1140" s="1">
        <v>294</v>
      </c>
      <c r="G1140" s="1"/>
      <c r="H1140" s="62" t="str">
        <f>_xlfn.XLOOKUP(tblRequirementMeasureXref[[#This Row],[msr_id]],tblMeasure[msr_id],tblMeasure[msr_table])</f>
        <v>Table 7.1</v>
      </c>
      <c r="I1140" s="22" t="str">
        <f>_xlfn.XLOOKUP(tblRequirementMeasureXref[[#This Row],[msr_id]],tblMeasure[msr_id],tblMeasure[msr_name])</f>
        <v>Care certificate status</v>
      </c>
      <c r="J1140" s="22" t="str">
        <f>_xlfn.XLOOKUP(tblRequirementMeasureXref[[#This Row],[msr_id]],tblMeasure[msr_id],tblMeasure[primary_dimensions])</f>
        <v>care certificate status, role</v>
      </c>
      <c r="K1140" s="22" t="str">
        <f>_xlfn.XLOOKUP(tblRequirementMeasureXref[[#This Row],[msr_id]],tblMeasure[msr_id],tblMeasure[msr_min_geo_resolution])</f>
        <v>Region</v>
      </c>
      <c r="L1140" s="22" t="str">
        <f>_xlfn.XLOOKUP(tblRequirementMeasureXref[[#This Row],[msr_id]],tblMeasure[msr_id],tblMeasure[src_name])</f>
        <v>State of the ASC sector and workforce</v>
      </c>
    </row>
    <row r="1141" spans="1:12" x14ac:dyDescent="0.15">
      <c r="A1141" s="1" t="str">
        <f>_xlfn.XLOOKUP(tblRequirementMeasureXref[[#This Row],[dm_id]],tblDataRequirement[dm_id],tblDataRequirement[domain_sub_requirement])</f>
        <v>Service:Support setting:Nursing home</v>
      </c>
      <c r="B1141" s="1" t="str">
        <f>_xlfn.XLOOKUP(tblRequirementMeasureXref[[#This Row],[dm_id]],tblDataRequirement[dm_id],tblDataRequirement[dm_phase])</f>
        <v>operate</v>
      </c>
      <c r="C1141" s="1">
        <v>42</v>
      </c>
      <c r="D1141" s="1">
        <v>294</v>
      </c>
      <c r="G1141" s="1"/>
      <c r="H1141" s="62" t="str">
        <f>_xlfn.XLOOKUP(tblRequirementMeasureXref[[#This Row],[msr_id]],tblMeasure[msr_id],tblMeasure[msr_table])</f>
        <v>Table 7.1</v>
      </c>
      <c r="I1141" s="22" t="str">
        <f>_xlfn.XLOOKUP(tblRequirementMeasureXref[[#This Row],[msr_id]],tblMeasure[msr_id],tblMeasure[msr_name])</f>
        <v>Care certificate status</v>
      </c>
      <c r="J1141" s="22" t="str">
        <f>_xlfn.XLOOKUP(tblRequirementMeasureXref[[#This Row],[msr_id]],tblMeasure[msr_id],tblMeasure[primary_dimensions])</f>
        <v>care certificate status, role</v>
      </c>
      <c r="K1141" s="22" t="str">
        <f>_xlfn.XLOOKUP(tblRequirementMeasureXref[[#This Row],[msr_id]],tblMeasure[msr_id],tblMeasure[msr_min_geo_resolution])</f>
        <v>Region</v>
      </c>
      <c r="L1141" s="22" t="str">
        <f>_xlfn.XLOOKUP(tblRequirementMeasureXref[[#This Row],[msr_id]],tblMeasure[msr_id],tblMeasure[src_name])</f>
        <v>State of the ASC sector and workforce</v>
      </c>
    </row>
    <row r="1142" spans="1:12" x14ac:dyDescent="0.15">
      <c r="A1142" s="1" t="str">
        <f>_xlfn.XLOOKUP(tblRequirementMeasureXref[[#This Row],[dm_id]],tblDataRequirement[dm_id],tblDataRequirement[domain_sub_requirement])</f>
        <v>Service:Support setting:Community</v>
      </c>
      <c r="B1142" s="1" t="str">
        <f>_xlfn.XLOOKUP(tblRequirementMeasureXref[[#This Row],[dm_id]],tblDataRequirement[dm_id],tblDataRequirement[dm_phase])</f>
        <v>operate</v>
      </c>
      <c r="C1142" s="1">
        <v>43</v>
      </c>
      <c r="D1142" s="1">
        <v>294</v>
      </c>
      <c r="G1142" s="1"/>
      <c r="H1142" s="62" t="str">
        <f>_xlfn.XLOOKUP(tblRequirementMeasureXref[[#This Row],[msr_id]],tblMeasure[msr_id],tblMeasure[msr_table])</f>
        <v>Table 7.1</v>
      </c>
      <c r="I1142" s="22" t="str">
        <f>_xlfn.XLOOKUP(tblRequirementMeasureXref[[#This Row],[msr_id]],tblMeasure[msr_id],tblMeasure[msr_name])</f>
        <v>Care certificate status</v>
      </c>
      <c r="J1142" s="22" t="str">
        <f>_xlfn.XLOOKUP(tblRequirementMeasureXref[[#This Row],[msr_id]],tblMeasure[msr_id],tblMeasure[primary_dimensions])</f>
        <v>care certificate status, role</v>
      </c>
      <c r="K1142" s="22" t="str">
        <f>_xlfn.XLOOKUP(tblRequirementMeasureXref[[#This Row],[msr_id]],tblMeasure[msr_id],tblMeasure[msr_min_geo_resolution])</f>
        <v>Region</v>
      </c>
      <c r="L1142" s="22" t="str">
        <f>_xlfn.XLOOKUP(tblRequirementMeasureXref[[#This Row],[msr_id]],tblMeasure[msr_id],tblMeasure[src_name])</f>
        <v>State of the ASC sector and workforce</v>
      </c>
    </row>
    <row r="1143" spans="1:12" x14ac:dyDescent="0.15">
      <c r="A1143" s="1" t="str">
        <f>_xlfn.XLOOKUP(tblRequirementMeasureXref[[#This Row],[dm_id]],tblDataRequirement[dm_id],tblDataRequirement[domain_sub_requirement])</f>
        <v>Providers:Type:Organisations</v>
      </c>
      <c r="B1143" s="1" t="str">
        <f>_xlfn.XLOOKUP(tblRequirementMeasureXref[[#This Row],[dm_id]],tblDataRequirement[dm_id],tblDataRequirement[dm_phase])</f>
        <v>operate</v>
      </c>
      <c r="C1143" s="1">
        <v>60</v>
      </c>
      <c r="D1143" s="1">
        <v>294</v>
      </c>
      <c r="G1143" s="1"/>
      <c r="H1143" s="62" t="str">
        <f>_xlfn.XLOOKUP(tblRequirementMeasureXref[[#This Row],[msr_id]],tblMeasure[msr_id],tblMeasure[msr_table])</f>
        <v>Table 7.1</v>
      </c>
      <c r="I1143" s="22" t="str">
        <f>_xlfn.XLOOKUP(tblRequirementMeasureXref[[#This Row],[msr_id]],tblMeasure[msr_id],tblMeasure[msr_name])</f>
        <v>Care certificate status</v>
      </c>
      <c r="J1143" s="22" t="str">
        <f>_xlfn.XLOOKUP(tblRequirementMeasureXref[[#This Row],[msr_id]],tblMeasure[msr_id],tblMeasure[primary_dimensions])</f>
        <v>care certificate status, role</v>
      </c>
      <c r="K1143" s="22" t="str">
        <f>_xlfn.XLOOKUP(tblRequirementMeasureXref[[#This Row],[msr_id]],tblMeasure[msr_id],tblMeasure[msr_min_geo_resolution])</f>
        <v>Region</v>
      </c>
      <c r="L1143" s="22" t="str">
        <f>_xlfn.XLOOKUP(tblRequirementMeasureXref[[#This Row],[msr_id]],tblMeasure[msr_id],tblMeasure[src_name])</f>
        <v>State of the ASC sector and workforce</v>
      </c>
    </row>
    <row r="1144" spans="1:12" x14ac:dyDescent="0.15">
      <c r="A1144" s="1" t="str">
        <f>_xlfn.XLOOKUP(tblRequirementMeasureXref[[#This Row],[dm_id]],tblDataRequirement[dm_id],tblDataRequirement[domain_sub_requirement])</f>
        <v>Users:Income:Direct payments</v>
      </c>
      <c r="B1144" s="1" t="str">
        <f>_xlfn.XLOOKUP(tblRequirementMeasureXref[[#This Row],[dm_id]],tblDataRequirement[dm_id],tblDataRequirement[dm_phase])</f>
        <v>supply</v>
      </c>
      <c r="C1144" s="1">
        <v>71</v>
      </c>
      <c r="D1144" s="1">
        <v>294</v>
      </c>
      <c r="G1144" s="1"/>
      <c r="H1144" s="62" t="str">
        <f>_xlfn.XLOOKUP(tblRequirementMeasureXref[[#This Row],[msr_id]],tblMeasure[msr_id],tblMeasure[msr_table])</f>
        <v>Table 7.1</v>
      </c>
      <c r="I1144" s="22" t="str">
        <f>_xlfn.XLOOKUP(tblRequirementMeasureXref[[#This Row],[msr_id]],tblMeasure[msr_id],tblMeasure[msr_name])</f>
        <v>Care certificate status</v>
      </c>
      <c r="J1144" s="22" t="str">
        <f>_xlfn.XLOOKUP(tblRequirementMeasureXref[[#This Row],[msr_id]],tblMeasure[msr_id],tblMeasure[primary_dimensions])</f>
        <v>care certificate status, role</v>
      </c>
      <c r="K1144" s="22" t="str">
        <f>_xlfn.XLOOKUP(tblRequirementMeasureXref[[#This Row],[msr_id]],tblMeasure[msr_id],tblMeasure[msr_min_geo_resolution])</f>
        <v>Region</v>
      </c>
      <c r="L1144" s="22" t="str">
        <f>_xlfn.XLOOKUP(tblRequirementMeasureXref[[#This Row],[msr_id]],tblMeasure[msr_id],tblMeasure[src_name])</f>
        <v>State of the ASC sector and workforce</v>
      </c>
    </row>
    <row r="1145" spans="1:12" x14ac:dyDescent="0.15">
      <c r="A1145" s="1" t="str">
        <f>_xlfn.XLOOKUP(tblRequirementMeasureXref[[#This Row],[dm_id]],tblDataRequirement[dm_id],tblDataRequirement[domain_sub_requirement])</f>
        <v>Workforce:Type:Qualification</v>
      </c>
      <c r="B1145" s="1" t="str">
        <f>_xlfn.XLOOKUP(tblRequirementMeasureXref[[#This Row],[dm_id]],tblDataRequirement[dm_id],tblDataRequirement[dm_phase])</f>
        <v>supply</v>
      </c>
      <c r="C1145" s="1">
        <v>101</v>
      </c>
      <c r="D1145" s="1">
        <v>294</v>
      </c>
      <c r="G1145" s="1"/>
      <c r="H1145" s="62" t="str">
        <f>_xlfn.XLOOKUP(tblRequirementMeasureXref[[#This Row],[msr_id]],tblMeasure[msr_id],tblMeasure[msr_table])</f>
        <v>Table 7.1</v>
      </c>
      <c r="I1145" s="22" t="str">
        <f>_xlfn.XLOOKUP(tblRequirementMeasureXref[[#This Row],[msr_id]],tblMeasure[msr_id],tblMeasure[msr_name])</f>
        <v>Care certificate status</v>
      </c>
      <c r="J1145" s="22" t="str">
        <f>_xlfn.XLOOKUP(tblRequirementMeasureXref[[#This Row],[msr_id]],tblMeasure[msr_id],tblMeasure[primary_dimensions])</f>
        <v>care certificate status, role</v>
      </c>
      <c r="K1145" s="22" t="str">
        <f>_xlfn.XLOOKUP(tblRequirementMeasureXref[[#This Row],[msr_id]],tblMeasure[msr_id],tblMeasure[msr_min_geo_resolution])</f>
        <v>Region</v>
      </c>
      <c r="L1145" s="22" t="str">
        <f>_xlfn.XLOOKUP(tblRequirementMeasureXref[[#This Row],[msr_id]],tblMeasure[msr_id],tblMeasure[src_name])</f>
        <v>State of the ASC sector and workforce</v>
      </c>
    </row>
    <row r="1146" spans="1:12" x14ac:dyDescent="0.15">
      <c r="A1146" s="1" t="str">
        <f>_xlfn.XLOOKUP(tblRequirementMeasureXref[[#This Row],[dm_id]],tblDataRequirement[dm_id],tblDataRequirement[domain_sub_requirement])</f>
        <v>Providers:Workforce:Filled jobs</v>
      </c>
      <c r="B1146" s="1" t="str">
        <f>_xlfn.XLOOKUP(tblRequirementMeasureXref[[#This Row],[dm_id]],tblDataRequirement[dm_id],tblDataRequirement[dm_phase])</f>
        <v>supply</v>
      </c>
      <c r="C1146" s="1">
        <v>10</v>
      </c>
      <c r="D1146" s="1">
        <v>295</v>
      </c>
      <c r="G1146" s="1"/>
      <c r="H1146" s="62" t="str">
        <f>_xlfn.XLOOKUP(tblRequirementMeasureXref[[#This Row],[msr_id]],tblMeasure[msr_id],tblMeasure[msr_table])</f>
        <v>Table 7.2</v>
      </c>
      <c r="I1146" s="22" t="str">
        <f>_xlfn.XLOOKUP(tblRequirementMeasureXref[[#This Row],[msr_id]],tblMeasure[msr_id],tblMeasure[msr_name])</f>
        <v>Highest social care qualification held by level</v>
      </c>
      <c r="J1146" s="22" t="str">
        <f>_xlfn.XLOOKUP(tblRequirementMeasureXref[[#This Row],[msr_id]],tblMeasure[msr_id],tblMeasure[primary_dimensions])</f>
        <v>highest qualification by level, role</v>
      </c>
      <c r="K1146" s="22" t="str">
        <f>_xlfn.XLOOKUP(tblRequirementMeasureXref[[#This Row],[msr_id]],tblMeasure[msr_id],tblMeasure[msr_min_geo_resolution])</f>
        <v>Region</v>
      </c>
      <c r="L1146" s="22" t="str">
        <f>_xlfn.XLOOKUP(tblRequirementMeasureXref[[#This Row],[msr_id]],tblMeasure[msr_id],tblMeasure[src_name])</f>
        <v>State of the ASC sector and workforce</v>
      </c>
    </row>
    <row r="1147" spans="1:12" x14ac:dyDescent="0.15">
      <c r="A1147" s="1" t="str">
        <f>_xlfn.XLOOKUP(tblRequirementMeasureXref[[#This Row],[dm_id]],tblDataRequirement[dm_id],tblDataRequirement[domain_sub_requirement])</f>
        <v>Service:Support setting:Home</v>
      </c>
      <c r="B1147" s="1" t="str">
        <f>_xlfn.XLOOKUP(tblRequirementMeasureXref[[#This Row],[dm_id]],tblDataRequirement[dm_id],tblDataRequirement[dm_phase])</f>
        <v>operate</v>
      </c>
      <c r="C1147" s="1">
        <v>40</v>
      </c>
      <c r="D1147" s="1">
        <v>295</v>
      </c>
      <c r="G1147" s="1"/>
      <c r="H1147" s="62" t="str">
        <f>_xlfn.XLOOKUP(tblRequirementMeasureXref[[#This Row],[msr_id]],tblMeasure[msr_id],tblMeasure[msr_table])</f>
        <v>Table 7.2</v>
      </c>
      <c r="I1147" s="22" t="str">
        <f>_xlfn.XLOOKUP(tblRequirementMeasureXref[[#This Row],[msr_id]],tblMeasure[msr_id],tblMeasure[msr_name])</f>
        <v>Highest social care qualification held by level</v>
      </c>
      <c r="J1147" s="22" t="str">
        <f>_xlfn.XLOOKUP(tblRequirementMeasureXref[[#This Row],[msr_id]],tblMeasure[msr_id],tblMeasure[primary_dimensions])</f>
        <v>highest qualification by level, role</v>
      </c>
      <c r="K1147" s="22" t="str">
        <f>_xlfn.XLOOKUP(tblRequirementMeasureXref[[#This Row],[msr_id]],tblMeasure[msr_id],tblMeasure[msr_min_geo_resolution])</f>
        <v>Region</v>
      </c>
      <c r="L1147" s="22" t="str">
        <f>_xlfn.XLOOKUP(tblRequirementMeasureXref[[#This Row],[msr_id]],tblMeasure[msr_id],tblMeasure[src_name])</f>
        <v>State of the ASC sector and workforce</v>
      </c>
    </row>
    <row r="1148" spans="1:12" x14ac:dyDescent="0.15">
      <c r="A1148" s="1" t="str">
        <f>_xlfn.XLOOKUP(tblRequirementMeasureXref[[#This Row],[dm_id]],tblDataRequirement[dm_id],tblDataRequirement[domain_sub_requirement])</f>
        <v>Service:Support setting:Residential care home</v>
      </c>
      <c r="B1148" s="1" t="str">
        <f>_xlfn.XLOOKUP(tblRequirementMeasureXref[[#This Row],[dm_id]],tblDataRequirement[dm_id],tblDataRequirement[dm_phase])</f>
        <v>operate</v>
      </c>
      <c r="C1148" s="1">
        <v>41</v>
      </c>
      <c r="D1148" s="1">
        <v>295</v>
      </c>
      <c r="G1148" s="1"/>
      <c r="H1148" s="62" t="str">
        <f>_xlfn.XLOOKUP(tblRequirementMeasureXref[[#This Row],[msr_id]],tblMeasure[msr_id],tblMeasure[msr_table])</f>
        <v>Table 7.2</v>
      </c>
      <c r="I1148" s="22" t="str">
        <f>_xlfn.XLOOKUP(tblRequirementMeasureXref[[#This Row],[msr_id]],tblMeasure[msr_id],tblMeasure[msr_name])</f>
        <v>Highest social care qualification held by level</v>
      </c>
      <c r="J1148" s="22" t="str">
        <f>_xlfn.XLOOKUP(tblRequirementMeasureXref[[#This Row],[msr_id]],tblMeasure[msr_id],tblMeasure[primary_dimensions])</f>
        <v>highest qualification by level, role</v>
      </c>
      <c r="K1148" s="22" t="str">
        <f>_xlfn.XLOOKUP(tblRequirementMeasureXref[[#This Row],[msr_id]],tblMeasure[msr_id],tblMeasure[msr_min_geo_resolution])</f>
        <v>Region</v>
      </c>
      <c r="L1148" s="22" t="str">
        <f>_xlfn.XLOOKUP(tblRequirementMeasureXref[[#This Row],[msr_id]],tblMeasure[msr_id],tblMeasure[src_name])</f>
        <v>State of the ASC sector and workforce</v>
      </c>
    </row>
    <row r="1149" spans="1:12" x14ac:dyDescent="0.15">
      <c r="A1149" s="1" t="str">
        <f>_xlfn.XLOOKUP(tblRequirementMeasureXref[[#This Row],[dm_id]],tblDataRequirement[dm_id],tblDataRequirement[domain_sub_requirement])</f>
        <v>Service:Support setting:Nursing home</v>
      </c>
      <c r="B1149" s="1" t="str">
        <f>_xlfn.XLOOKUP(tblRequirementMeasureXref[[#This Row],[dm_id]],tblDataRequirement[dm_id],tblDataRequirement[dm_phase])</f>
        <v>operate</v>
      </c>
      <c r="C1149" s="1">
        <v>42</v>
      </c>
      <c r="D1149" s="1">
        <v>295</v>
      </c>
      <c r="G1149" s="1"/>
      <c r="H1149" s="62" t="str">
        <f>_xlfn.XLOOKUP(tblRequirementMeasureXref[[#This Row],[msr_id]],tblMeasure[msr_id],tblMeasure[msr_table])</f>
        <v>Table 7.2</v>
      </c>
      <c r="I1149" s="22" t="str">
        <f>_xlfn.XLOOKUP(tblRequirementMeasureXref[[#This Row],[msr_id]],tblMeasure[msr_id],tblMeasure[msr_name])</f>
        <v>Highest social care qualification held by level</v>
      </c>
      <c r="J1149" s="22" t="str">
        <f>_xlfn.XLOOKUP(tblRequirementMeasureXref[[#This Row],[msr_id]],tblMeasure[msr_id],tblMeasure[primary_dimensions])</f>
        <v>highest qualification by level, role</v>
      </c>
      <c r="K1149" s="22" t="str">
        <f>_xlfn.XLOOKUP(tblRequirementMeasureXref[[#This Row],[msr_id]],tblMeasure[msr_id],tblMeasure[msr_min_geo_resolution])</f>
        <v>Region</v>
      </c>
      <c r="L1149" s="22" t="str">
        <f>_xlfn.XLOOKUP(tblRequirementMeasureXref[[#This Row],[msr_id]],tblMeasure[msr_id],tblMeasure[src_name])</f>
        <v>State of the ASC sector and workforce</v>
      </c>
    </row>
    <row r="1150" spans="1:12" x14ac:dyDescent="0.15">
      <c r="A1150" s="1" t="str">
        <f>_xlfn.XLOOKUP(tblRequirementMeasureXref[[#This Row],[dm_id]],tblDataRequirement[dm_id],tblDataRequirement[domain_sub_requirement])</f>
        <v>Service:Support setting:Community</v>
      </c>
      <c r="B1150" s="1" t="str">
        <f>_xlfn.XLOOKUP(tblRequirementMeasureXref[[#This Row],[dm_id]],tblDataRequirement[dm_id],tblDataRequirement[dm_phase])</f>
        <v>operate</v>
      </c>
      <c r="C1150" s="1">
        <v>43</v>
      </c>
      <c r="D1150" s="1">
        <v>295</v>
      </c>
      <c r="G1150" s="1"/>
      <c r="H1150" s="62" t="str">
        <f>_xlfn.XLOOKUP(tblRequirementMeasureXref[[#This Row],[msr_id]],tblMeasure[msr_id],tblMeasure[msr_table])</f>
        <v>Table 7.2</v>
      </c>
      <c r="I1150" s="22" t="str">
        <f>_xlfn.XLOOKUP(tblRequirementMeasureXref[[#This Row],[msr_id]],tblMeasure[msr_id],tblMeasure[msr_name])</f>
        <v>Highest social care qualification held by level</v>
      </c>
      <c r="J1150" s="22" t="str">
        <f>_xlfn.XLOOKUP(tblRequirementMeasureXref[[#This Row],[msr_id]],tblMeasure[msr_id],tblMeasure[primary_dimensions])</f>
        <v>highest qualification by level, role</v>
      </c>
      <c r="K1150" s="22" t="str">
        <f>_xlfn.XLOOKUP(tblRequirementMeasureXref[[#This Row],[msr_id]],tblMeasure[msr_id],tblMeasure[msr_min_geo_resolution])</f>
        <v>Region</v>
      </c>
      <c r="L1150" s="22" t="str">
        <f>_xlfn.XLOOKUP(tblRequirementMeasureXref[[#This Row],[msr_id]],tblMeasure[msr_id],tblMeasure[src_name])</f>
        <v>State of the ASC sector and workforce</v>
      </c>
    </row>
    <row r="1151" spans="1:12" x14ac:dyDescent="0.15">
      <c r="A1151" s="1" t="str">
        <f>_xlfn.XLOOKUP(tblRequirementMeasureXref[[#This Row],[dm_id]],tblDataRequirement[dm_id],tblDataRequirement[domain_sub_requirement])</f>
        <v>Providers:Type:Organisations</v>
      </c>
      <c r="B1151" s="1" t="str">
        <f>_xlfn.XLOOKUP(tblRequirementMeasureXref[[#This Row],[dm_id]],tblDataRequirement[dm_id],tblDataRequirement[dm_phase])</f>
        <v>operate</v>
      </c>
      <c r="C1151" s="1">
        <v>60</v>
      </c>
      <c r="D1151" s="1">
        <v>295</v>
      </c>
      <c r="G1151" s="1"/>
      <c r="H1151" s="62" t="str">
        <f>_xlfn.XLOOKUP(tblRequirementMeasureXref[[#This Row],[msr_id]],tblMeasure[msr_id],tblMeasure[msr_table])</f>
        <v>Table 7.2</v>
      </c>
      <c r="I1151" s="22" t="str">
        <f>_xlfn.XLOOKUP(tblRequirementMeasureXref[[#This Row],[msr_id]],tblMeasure[msr_id],tblMeasure[msr_name])</f>
        <v>Highest social care qualification held by level</v>
      </c>
      <c r="J1151" s="22" t="str">
        <f>_xlfn.XLOOKUP(tblRequirementMeasureXref[[#This Row],[msr_id]],tblMeasure[msr_id],tblMeasure[primary_dimensions])</f>
        <v>highest qualification by level, role</v>
      </c>
      <c r="K1151" s="22" t="str">
        <f>_xlfn.XLOOKUP(tblRequirementMeasureXref[[#This Row],[msr_id]],tblMeasure[msr_id],tblMeasure[msr_min_geo_resolution])</f>
        <v>Region</v>
      </c>
      <c r="L1151" s="22" t="str">
        <f>_xlfn.XLOOKUP(tblRequirementMeasureXref[[#This Row],[msr_id]],tblMeasure[msr_id],tblMeasure[src_name])</f>
        <v>State of the ASC sector and workforce</v>
      </c>
    </row>
    <row r="1152" spans="1:12" x14ac:dyDescent="0.15">
      <c r="A1152" s="1" t="str">
        <f>_xlfn.XLOOKUP(tblRequirementMeasureXref[[#This Row],[dm_id]],tblDataRequirement[dm_id],tblDataRequirement[domain_sub_requirement])</f>
        <v>Users:Income:Direct payments</v>
      </c>
      <c r="B1152" s="1" t="str">
        <f>_xlfn.XLOOKUP(tblRequirementMeasureXref[[#This Row],[dm_id]],tblDataRequirement[dm_id],tblDataRequirement[dm_phase])</f>
        <v>supply</v>
      </c>
      <c r="C1152" s="1">
        <v>71</v>
      </c>
      <c r="D1152" s="1">
        <v>295</v>
      </c>
      <c r="G1152" s="1"/>
      <c r="H1152" s="62" t="str">
        <f>_xlfn.XLOOKUP(tblRequirementMeasureXref[[#This Row],[msr_id]],tblMeasure[msr_id],tblMeasure[msr_table])</f>
        <v>Table 7.2</v>
      </c>
      <c r="I1152" s="22" t="str">
        <f>_xlfn.XLOOKUP(tblRequirementMeasureXref[[#This Row],[msr_id]],tblMeasure[msr_id],tblMeasure[msr_name])</f>
        <v>Highest social care qualification held by level</v>
      </c>
      <c r="J1152" s="22" t="str">
        <f>_xlfn.XLOOKUP(tblRequirementMeasureXref[[#This Row],[msr_id]],tblMeasure[msr_id],tblMeasure[primary_dimensions])</f>
        <v>highest qualification by level, role</v>
      </c>
      <c r="K1152" s="22" t="str">
        <f>_xlfn.XLOOKUP(tblRequirementMeasureXref[[#This Row],[msr_id]],tblMeasure[msr_id],tblMeasure[msr_min_geo_resolution])</f>
        <v>Region</v>
      </c>
      <c r="L1152" s="22" t="str">
        <f>_xlfn.XLOOKUP(tblRequirementMeasureXref[[#This Row],[msr_id]],tblMeasure[msr_id],tblMeasure[src_name])</f>
        <v>State of the ASC sector and workforce</v>
      </c>
    </row>
    <row r="1153" spans="1:12" x14ac:dyDescent="0.15">
      <c r="A1153" s="1" t="str">
        <f>_xlfn.XLOOKUP(tblRequirementMeasureXref[[#This Row],[dm_id]],tblDataRequirement[dm_id],tblDataRequirement[domain_sub_requirement])</f>
        <v>Workforce:Type:Qualification</v>
      </c>
      <c r="B1153" s="1" t="str">
        <f>_xlfn.XLOOKUP(tblRequirementMeasureXref[[#This Row],[dm_id]],tblDataRequirement[dm_id],tblDataRequirement[dm_phase])</f>
        <v>supply</v>
      </c>
      <c r="C1153" s="1">
        <v>101</v>
      </c>
      <c r="D1153" s="1">
        <v>295</v>
      </c>
      <c r="G1153" s="1"/>
      <c r="H1153" s="62" t="str">
        <f>_xlfn.XLOOKUP(tblRequirementMeasureXref[[#This Row],[msr_id]],tblMeasure[msr_id],tblMeasure[msr_table])</f>
        <v>Table 7.2</v>
      </c>
      <c r="I1153" s="22" t="str">
        <f>_xlfn.XLOOKUP(tblRequirementMeasureXref[[#This Row],[msr_id]],tblMeasure[msr_id],tblMeasure[msr_name])</f>
        <v>Highest social care qualification held by level</v>
      </c>
      <c r="J1153" s="22" t="str">
        <f>_xlfn.XLOOKUP(tblRequirementMeasureXref[[#This Row],[msr_id]],tblMeasure[msr_id],tblMeasure[primary_dimensions])</f>
        <v>highest qualification by level, role</v>
      </c>
      <c r="K1153" s="22" t="str">
        <f>_xlfn.XLOOKUP(tblRequirementMeasureXref[[#This Row],[msr_id]],tblMeasure[msr_id],tblMeasure[msr_min_geo_resolution])</f>
        <v>Region</v>
      </c>
      <c r="L1153" s="22" t="str">
        <f>_xlfn.XLOOKUP(tblRequirementMeasureXref[[#This Row],[msr_id]],tblMeasure[msr_id],tblMeasure[src_name])</f>
        <v>State of the ASC sector and workforce</v>
      </c>
    </row>
    <row r="1154" spans="1:12" x14ac:dyDescent="0.15">
      <c r="A1154" s="1" t="str">
        <f>_xlfn.XLOOKUP(tblRequirementMeasureXref[[#This Row],[dm_id]],tblDataRequirement[dm_id],tblDataRequirement[domain_sub_requirement])</f>
        <v>Providers:Workforce:Filled jobs</v>
      </c>
      <c r="B1154" s="1" t="str">
        <f>_xlfn.XLOOKUP(tblRequirementMeasureXref[[#This Row],[dm_id]],tblDataRequirement[dm_id],tblDataRequirement[dm_phase])</f>
        <v>supply</v>
      </c>
      <c r="C1154" s="1">
        <v>10</v>
      </c>
      <c r="D1154" s="1">
        <v>296</v>
      </c>
      <c r="G1154" s="1"/>
      <c r="H1154" s="62" t="str">
        <f>_xlfn.XLOOKUP(tblRequirementMeasureXref[[#This Row],[msr_id]],tblMeasure[msr_id],tblMeasure[msr_table])</f>
        <v>Table 7.3</v>
      </c>
      <c r="I1154" s="22" t="str">
        <f>_xlfn.XLOOKUP(tblRequirementMeasureXref[[#This Row],[msr_id]],tblMeasure[msr_id],tblMeasure[msr_name])</f>
        <v>Summary of training by category and job role group</v>
      </c>
      <c r="J1154" s="22" t="str">
        <f>_xlfn.XLOOKUP(tblRequirementMeasureXref[[#This Row],[msr_id]],tblMeasure[msr_id],tblMeasure[primary_dimensions])</f>
        <v>training by role</v>
      </c>
      <c r="K1154" s="22" t="str">
        <f>_xlfn.XLOOKUP(tblRequirementMeasureXref[[#This Row],[msr_id]],tblMeasure[msr_id],tblMeasure[msr_min_geo_resolution])</f>
        <v>Region</v>
      </c>
      <c r="L1154" s="22" t="str">
        <f>_xlfn.XLOOKUP(tblRequirementMeasureXref[[#This Row],[msr_id]],tblMeasure[msr_id],tblMeasure[src_name])</f>
        <v>State of the ASC sector and workforce</v>
      </c>
    </row>
    <row r="1155" spans="1:12" x14ac:dyDescent="0.15">
      <c r="A1155" s="1" t="str">
        <f>_xlfn.XLOOKUP(tblRequirementMeasureXref[[#This Row],[dm_id]],tblDataRequirement[dm_id],tblDataRequirement[domain_sub_requirement])</f>
        <v>Workforce:Type:Qualification</v>
      </c>
      <c r="B1155" s="1" t="str">
        <f>_xlfn.XLOOKUP(tblRequirementMeasureXref[[#This Row],[dm_id]],tblDataRequirement[dm_id],tblDataRequirement[dm_phase])</f>
        <v>supply</v>
      </c>
      <c r="C1155" s="1">
        <v>101</v>
      </c>
      <c r="D1155" s="1">
        <v>296</v>
      </c>
      <c r="G1155" s="1"/>
      <c r="H1155" s="62" t="str">
        <f>_xlfn.XLOOKUP(tblRequirementMeasureXref[[#This Row],[msr_id]],tblMeasure[msr_id],tblMeasure[msr_table])</f>
        <v>Table 7.3</v>
      </c>
      <c r="I1155" s="22" t="str">
        <f>_xlfn.XLOOKUP(tblRequirementMeasureXref[[#This Row],[msr_id]],tblMeasure[msr_id],tblMeasure[msr_name])</f>
        <v>Summary of training by category and job role group</v>
      </c>
      <c r="J1155" s="22" t="str">
        <f>_xlfn.XLOOKUP(tblRequirementMeasureXref[[#This Row],[msr_id]],tblMeasure[msr_id],tblMeasure[primary_dimensions])</f>
        <v>training by role</v>
      </c>
      <c r="K1155" s="22" t="str">
        <f>_xlfn.XLOOKUP(tblRequirementMeasureXref[[#This Row],[msr_id]],tblMeasure[msr_id],tblMeasure[msr_min_geo_resolution])</f>
        <v>Region</v>
      </c>
      <c r="L1155" s="22" t="str">
        <f>_xlfn.XLOOKUP(tblRequirementMeasureXref[[#This Row],[msr_id]],tblMeasure[msr_id],tblMeasure[src_name])</f>
        <v>State of the ASC sector and workforce</v>
      </c>
    </row>
    <row r="1156" spans="1:12" x14ac:dyDescent="0.15">
      <c r="A1156" s="1" t="str">
        <f>_xlfn.XLOOKUP(tblRequirementMeasureXref[[#This Row],[dm_id]],tblDataRequirement[dm_id],tblDataRequirement[domain_sub_requirement])</f>
        <v>Users:Care need:Support reason</v>
      </c>
      <c r="B1156" s="1" t="str">
        <f>_xlfn.XLOOKUP(tblRequirementMeasureXref[[#This Row],[dm_id]],tblDataRequirement[dm_id],tblDataRequirement[dm_phase])</f>
        <v>demand</v>
      </c>
      <c r="C1156" s="1">
        <v>56</v>
      </c>
      <c r="D1156" s="1">
        <v>296</v>
      </c>
      <c r="G1156" s="1"/>
      <c r="H1156" s="62" t="str">
        <f>_xlfn.XLOOKUP(tblRequirementMeasureXref[[#This Row],[msr_id]],tblMeasure[msr_id],tblMeasure[msr_table])</f>
        <v>Table 7.3</v>
      </c>
      <c r="I1156" s="22" t="str">
        <f>_xlfn.XLOOKUP(tblRequirementMeasureXref[[#This Row],[msr_id]],tblMeasure[msr_id],tblMeasure[msr_name])</f>
        <v>Summary of training by category and job role group</v>
      </c>
      <c r="J1156" s="22" t="str">
        <f>_xlfn.XLOOKUP(tblRequirementMeasureXref[[#This Row],[msr_id]],tblMeasure[msr_id],tblMeasure[primary_dimensions])</f>
        <v>training by role</v>
      </c>
      <c r="K1156" s="22" t="str">
        <f>_xlfn.XLOOKUP(tblRequirementMeasureXref[[#This Row],[msr_id]],tblMeasure[msr_id],tblMeasure[msr_min_geo_resolution])</f>
        <v>Region</v>
      </c>
      <c r="L1156" s="22" t="str">
        <f>_xlfn.XLOOKUP(tblRequirementMeasureXref[[#This Row],[msr_id]],tblMeasure[msr_id],tblMeasure[src_name])</f>
        <v>State of the ASC sector and workforce</v>
      </c>
    </row>
    <row r="1157" spans="1:12" x14ac:dyDescent="0.15">
      <c r="A1157" s="1" t="str">
        <f>_xlfn.XLOOKUP(tblRequirementMeasureXref[[#This Row],[dm_id]],tblDataRequirement[dm_id],tblDataRequirement[domain_sub_requirement])</f>
        <v>Service:Quality:Safety</v>
      </c>
      <c r="B1157" s="1" t="str">
        <f>_xlfn.XLOOKUP(tblRequirementMeasureXref[[#This Row],[dm_id]],tblDataRequirement[dm_id],tblDataRequirement[dm_phase])</f>
        <v>outcome</v>
      </c>
      <c r="C1157" s="1">
        <v>74</v>
      </c>
      <c r="D1157" s="1">
        <v>296</v>
      </c>
      <c r="G1157" s="1"/>
      <c r="H1157" s="62" t="str">
        <f>_xlfn.XLOOKUP(tblRequirementMeasureXref[[#This Row],[msr_id]],tblMeasure[msr_id],tblMeasure[msr_table])</f>
        <v>Table 7.3</v>
      </c>
      <c r="I1157" s="22" t="str">
        <f>_xlfn.XLOOKUP(tblRequirementMeasureXref[[#This Row],[msr_id]],tblMeasure[msr_id],tblMeasure[msr_name])</f>
        <v>Summary of training by category and job role group</v>
      </c>
      <c r="J1157" s="22" t="str">
        <f>_xlfn.XLOOKUP(tblRequirementMeasureXref[[#This Row],[msr_id]],tblMeasure[msr_id],tblMeasure[primary_dimensions])</f>
        <v>training by role</v>
      </c>
      <c r="K1157" s="22" t="str">
        <f>_xlfn.XLOOKUP(tblRequirementMeasureXref[[#This Row],[msr_id]],tblMeasure[msr_id],tblMeasure[msr_min_geo_resolution])</f>
        <v>Region</v>
      </c>
      <c r="L1157" s="22" t="str">
        <f>_xlfn.XLOOKUP(tblRequirementMeasureXref[[#This Row],[msr_id]],tblMeasure[msr_id],tblMeasure[src_name])</f>
        <v>State of the ASC sector and workforce</v>
      </c>
    </row>
    <row r="1158" spans="1:12" x14ac:dyDescent="0.15">
      <c r="A1158" s="1" t="str">
        <f>_xlfn.XLOOKUP(tblRequirementMeasureXref[[#This Row],[dm_id]],tblDataRequirement[dm_id],tblDataRequirement[domain_sub_requirement])</f>
        <v>Service:Integration:NHS secondary care</v>
      </c>
      <c r="B1158" s="1" t="str">
        <f>_xlfn.XLOOKUP(tblRequirementMeasureXref[[#This Row],[dm_id]],tblDataRequirement[dm_id],tblDataRequirement[dm_phase])</f>
        <v>operate</v>
      </c>
      <c r="C1158" s="1">
        <v>37</v>
      </c>
      <c r="D1158" s="1">
        <v>297</v>
      </c>
      <c r="G1158" s="1"/>
      <c r="H1158" s="62" t="str">
        <f>_xlfn.XLOOKUP(tblRequirementMeasureXref[[#This Row],[msr_id]],tblMeasure[msr_id],tblMeasure[msr_table])</f>
        <v>Worksheet 4</v>
      </c>
      <c r="I1158" s="22" t="str">
        <f>_xlfn.XLOOKUP(tblRequirementMeasureXref[[#This Row],[msr_id]],tblMeasure[msr_id],tblMeasure[msr_name])</f>
        <v>Number of beds occupied by patients who have stays of 7, 14 or 21 days in hospital</v>
      </c>
      <c r="J1158" s="22" t="str">
        <f>_xlfn.XLOOKUP(tblRequirementMeasureXref[[#This Row],[msr_id]],tblMeasure[msr_id],tblMeasure[primary_dimensions])</f>
        <v>TBC</v>
      </c>
      <c r="K1158" s="22" t="str">
        <f>_xlfn.XLOOKUP(tblRequirementMeasureXref[[#This Row],[msr_id]],tblMeasure[msr_id],tblMeasure[msr_min_geo_resolution])</f>
        <v>Trust</v>
      </c>
      <c r="L1158" s="22" t="str">
        <f>_xlfn.XLOOKUP(tblRequirementMeasureXref[[#This Row],[msr_id]],tblMeasure[msr_id],tblMeasure[src_name])</f>
        <v>Winter Daily SitRep</v>
      </c>
    </row>
    <row r="1159" spans="1:12" x14ac:dyDescent="0.15">
      <c r="A1159" s="1" t="str">
        <f>_xlfn.XLOOKUP(tblRequirementMeasureXref[[#This Row],[dm_id]],tblDataRequirement[dm_id],tblDataRequirement[domain_sub_requirement])</f>
        <v>Providers:Type:Organisations</v>
      </c>
      <c r="B1159" s="1" t="str">
        <f>_xlfn.XLOOKUP(tblRequirementMeasureXref[[#This Row],[dm_id]],tblDataRequirement[dm_id],tblDataRequirement[dm_phase])</f>
        <v>operate</v>
      </c>
      <c r="C1159" s="1">
        <v>60</v>
      </c>
      <c r="D1159" s="1">
        <v>298</v>
      </c>
      <c r="G1159" s="1"/>
      <c r="H1159" s="61" t="str">
        <f>_xlfn.XLOOKUP(tblRequirementMeasureXref[[#This Row],[msr_id]],tblMeasure[msr_id],tblMeasure[msr_table])</f>
        <v>Location Worksheet</v>
      </c>
      <c r="I1159" s="22" t="str">
        <f>_xlfn.XLOOKUP(tblRequirementMeasureXref[[#This Row],[msr_id]],tblMeasure[msr_id],tblMeasure[msr_name])</f>
        <v>Location ratings by domain (Overall, Caring, Effective, Response, Safe, Unspecified, Well-led)</v>
      </c>
      <c r="J1159" s="22" t="str">
        <f>_xlfn.XLOOKUP(tblRequirementMeasureXref[[#This Row],[msr_id]],tblMeasure[msr_id],tblMeasure[primary_dimensions])</f>
        <v>ratings</v>
      </c>
      <c r="K1159" s="22" t="str">
        <f>_xlfn.XLOOKUP(tblRequirementMeasureXref[[#This Row],[msr_id]],tblMeasure[msr_id],tblMeasure[msr_min_geo_resolution])</f>
        <v>Location</v>
      </c>
      <c r="L1159" s="22" t="str">
        <f>_xlfn.XLOOKUP(tblRequirementMeasureXref[[#This Row],[msr_id]],tblMeasure[msr_id],tblMeasure[src_name])</f>
        <v>State of Care Ratings Data</v>
      </c>
    </row>
    <row r="1160" spans="1:12" x14ac:dyDescent="0.15">
      <c r="A1160" s="1" t="str">
        <f>_xlfn.XLOOKUP(tblRequirementMeasureXref[[#This Row],[dm_id]],tblDataRequirement[dm_id],tblDataRequirement[domain_sub_requirement])</f>
        <v>Service:Support setting:Community</v>
      </c>
      <c r="B1160" s="1" t="str">
        <f>_xlfn.XLOOKUP(tblRequirementMeasureXref[[#This Row],[dm_id]],tblDataRequirement[dm_id],tblDataRequirement[dm_phase])</f>
        <v>operate</v>
      </c>
      <c r="C1160" s="1">
        <v>43</v>
      </c>
      <c r="D1160" s="1">
        <v>298</v>
      </c>
      <c r="G1160" s="1"/>
      <c r="H1160" s="61" t="str">
        <f>_xlfn.XLOOKUP(tblRequirementMeasureXref[[#This Row],[msr_id]],tblMeasure[msr_id],tblMeasure[msr_table])</f>
        <v>Location Worksheet</v>
      </c>
      <c r="I1160" s="22" t="str">
        <f>_xlfn.XLOOKUP(tblRequirementMeasureXref[[#This Row],[msr_id]],tblMeasure[msr_id],tblMeasure[msr_name])</f>
        <v>Location ratings by domain (Overall, Caring, Effective, Response, Safe, Unspecified, Well-led)</v>
      </c>
      <c r="J1160" s="22" t="str">
        <f>_xlfn.XLOOKUP(tblRequirementMeasureXref[[#This Row],[msr_id]],tblMeasure[msr_id],tblMeasure[primary_dimensions])</f>
        <v>ratings</v>
      </c>
      <c r="K1160" s="22" t="str">
        <f>_xlfn.XLOOKUP(tblRequirementMeasureXref[[#This Row],[msr_id]],tblMeasure[msr_id],tblMeasure[msr_min_geo_resolution])</f>
        <v>Location</v>
      </c>
      <c r="L1160" s="22" t="str">
        <f>_xlfn.XLOOKUP(tblRequirementMeasureXref[[#This Row],[msr_id]],tblMeasure[msr_id],tblMeasure[src_name])</f>
        <v>State of Care Ratings Data</v>
      </c>
    </row>
    <row r="1161" spans="1:12" x14ac:dyDescent="0.15">
      <c r="A1161" s="1" t="str">
        <f>_xlfn.XLOOKUP(tblRequirementMeasureXref[[#This Row],[dm_id]],tblDataRequirement[dm_id],tblDataRequirement[domain_sub_requirement])</f>
        <v>Service:Support setting:Residential care home</v>
      </c>
      <c r="B1161" s="1" t="str">
        <f>_xlfn.XLOOKUP(tblRequirementMeasureXref[[#This Row],[dm_id]],tblDataRequirement[dm_id],tblDataRequirement[dm_phase])</f>
        <v>operate</v>
      </c>
      <c r="C1161" s="1">
        <v>41</v>
      </c>
      <c r="D1161" s="1">
        <v>298</v>
      </c>
      <c r="G1161" s="1"/>
      <c r="H1161" s="61" t="str">
        <f>_xlfn.XLOOKUP(tblRequirementMeasureXref[[#This Row],[msr_id]],tblMeasure[msr_id],tblMeasure[msr_table])</f>
        <v>Location Worksheet</v>
      </c>
      <c r="I1161" s="22" t="str">
        <f>_xlfn.XLOOKUP(tblRequirementMeasureXref[[#This Row],[msr_id]],tblMeasure[msr_id],tblMeasure[msr_name])</f>
        <v>Location ratings by domain (Overall, Caring, Effective, Response, Safe, Unspecified, Well-led)</v>
      </c>
      <c r="J1161" s="22" t="str">
        <f>_xlfn.XLOOKUP(tblRequirementMeasureXref[[#This Row],[msr_id]],tblMeasure[msr_id],tblMeasure[primary_dimensions])</f>
        <v>ratings</v>
      </c>
      <c r="K1161" s="22" t="str">
        <f>_xlfn.XLOOKUP(tblRequirementMeasureXref[[#This Row],[msr_id]],tblMeasure[msr_id],tblMeasure[msr_min_geo_resolution])</f>
        <v>Location</v>
      </c>
      <c r="L1161" s="22" t="str">
        <f>_xlfn.XLOOKUP(tblRequirementMeasureXref[[#This Row],[msr_id]],tblMeasure[msr_id],tblMeasure[src_name])</f>
        <v>State of Care Ratings Data</v>
      </c>
    </row>
    <row r="1162" spans="1:12" x14ac:dyDescent="0.15">
      <c r="A1162" s="1" t="str">
        <f>_xlfn.XLOOKUP(tblRequirementMeasureXref[[#This Row],[dm_id]],tblDataRequirement[dm_id],tblDataRequirement[domain_sub_requirement])</f>
        <v>Service:Support setting:Nursing home</v>
      </c>
      <c r="B1162" s="1" t="str">
        <f>_xlfn.XLOOKUP(tblRequirementMeasureXref[[#This Row],[dm_id]],tblDataRequirement[dm_id],tblDataRequirement[dm_phase])</f>
        <v>operate</v>
      </c>
      <c r="C1162" s="1">
        <v>42</v>
      </c>
      <c r="D1162" s="1">
        <v>298</v>
      </c>
      <c r="G1162" s="1"/>
      <c r="H1162" s="61" t="str">
        <f>_xlfn.XLOOKUP(tblRequirementMeasureXref[[#This Row],[msr_id]],tblMeasure[msr_id],tblMeasure[msr_table])</f>
        <v>Location Worksheet</v>
      </c>
      <c r="I1162" s="22" t="str">
        <f>_xlfn.XLOOKUP(tblRequirementMeasureXref[[#This Row],[msr_id]],tblMeasure[msr_id],tblMeasure[msr_name])</f>
        <v>Location ratings by domain (Overall, Caring, Effective, Response, Safe, Unspecified, Well-led)</v>
      </c>
      <c r="J1162" s="22" t="str">
        <f>_xlfn.XLOOKUP(tblRequirementMeasureXref[[#This Row],[msr_id]],tblMeasure[msr_id],tblMeasure[primary_dimensions])</f>
        <v>ratings</v>
      </c>
      <c r="K1162" s="22" t="str">
        <f>_xlfn.XLOOKUP(tblRequirementMeasureXref[[#This Row],[msr_id]],tblMeasure[msr_id],tblMeasure[msr_min_geo_resolution])</f>
        <v>Location</v>
      </c>
      <c r="L1162" s="22" t="str">
        <f>_xlfn.XLOOKUP(tblRequirementMeasureXref[[#This Row],[msr_id]],tblMeasure[msr_id],tblMeasure[src_name])</f>
        <v>State of Care Ratings Data</v>
      </c>
    </row>
    <row r="1163" spans="1:12" x14ac:dyDescent="0.15">
      <c r="A1163" s="1" t="str">
        <f>_xlfn.XLOOKUP(tblRequirementMeasureXref[[#This Row],[dm_id]],tblDataRequirement[dm_id],tblDataRequirement[domain_sub_requirement])</f>
        <v>Service:Quality:Regulatory ratings</v>
      </c>
      <c r="B1163" s="1" t="str">
        <f>_xlfn.XLOOKUP(tblRequirementMeasureXref[[#This Row],[dm_id]],tblDataRequirement[dm_id],tblDataRequirement[dm_phase])</f>
        <v>outcome</v>
      </c>
      <c r="C1163" s="1">
        <v>79</v>
      </c>
      <c r="D1163" s="1">
        <v>298</v>
      </c>
      <c r="G1163" s="1"/>
      <c r="H1163" s="61" t="str">
        <f>_xlfn.XLOOKUP(tblRequirementMeasureXref[[#This Row],[msr_id]],tblMeasure[msr_id],tblMeasure[msr_table])</f>
        <v>Location Worksheet</v>
      </c>
      <c r="I1163" s="22" t="str">
        <f>_xlfn.XLOOKUP(tblRequirementMeasureXref[[#This Row],[msr_id]],tblMeasure[msr_id],tblMeasure[msr_name])</f>
        <v>Location ratings by domain (Overall, Caring, Effective, Response, Safe, Unspecified, Well-led)</v>
      </c>
      <c r="J1163" s="22" t="str">
        <f>_xlfn.XLOOKUP(tblRequirementMeasureXref[[#This Row],[msr_id]],tblMeasure[msr_id],tblMeasure[primary_dimensions])</f>
        <v>ratings</v>
      </c>
      <c r="K1163" s="22" t="str">
        <f>_xlfn.XLOOKUP(tblRequirementMeasureXref[[#This Row],[msr_id]],tblMeasure[msr_id],tblMeasure[msr_min_geo_resolution])</f>
        <v>Location</v>
      </c>
      <c r="L1163" s="22" t="str">
        <f>_xlfn.XLOOKUP(tblRequirementMeasureXref[[#This Row],[msr_id]],tblMeasure[msr_id],tblMeasure[src_name])</f>
        <v>State of Care Ratings Data</v>
      </c>
    </row>
    <row r="1164" spans="1:12" x14ac:dyDescent="0.15">
      <c r="A1164" s="1" t="str">
        <f>_xlfn.XLOOKUP(tblRequirementMeasureXref[[#This Row],[dm_id]],tblDataRequirement[dm_id],tblDataRequirement[domain_sub_requirement])</f>
        <v>Users:Demographics:Age</v>
      </c>
      <c r="B1164" s="1" t="str">
        <f>_xlfn.XLOOKUP(tblRequirementMeasureXref[[#This Row],[dm_id]],tblDataRequirement[dm_id],tblDataRequirement[dm_phase])</f>
        <v>demand</v>
      </c>
      <c r="C1164" s="1">
        <v>51</v>
      </c>
      <c r="D1164" s="1">
        <v>299</v>
      </c>
      <c r="G1164" s="1"/>
      <c r="H1164" s="61" t="str">
        <f>_xlfn.XLOOKUP(tblRequirementMeasureXref[[#This Row],[msr_id]],tblMeasure[msr_id],tblMeasure[msr_table])</f>
        <v>Table 4.1</v>
      </c>
      <c r="I1164" s="22" t="str">
        <f>_xlfn.XLOOKUP(tblRequirementMeasureXref[[#This Row],[msr_id]],tblMeasure[msr_id],tblMeasure[msr_name])</f>
        <v>Disability prevalence by age group, 2017/18, United Kingdom</v>
      </c>
      <c r="J1164" s="22" t="str">
        <f>_xlfn.XLOOKUP(tblRequirementMeasureXref[[#This Row],[msr_id]],tblMeasure[msr_id],tblMeasure[primary_dimensions])</f>
        <v>disability prevalence</v>
      </c>
      <c r="K1164" s="22" t="str">
        <f>_xlfn.XLOOKUP(tblRequirementMeasureXref[[#This Row],[msr_id]],tblMeasure[msr_id],tblMeasure[msr_min_geo_resolution])</f>
        <v>UK</v>
      </c>
      <c r="L1164" s="22" t="str">
        <f>_xlfn.XLOOKUP(tblRequirementMeasureXref[[#This Row],[msr_id]],tblMeasure[msr_id],tblMeasure[src_name])</f>
        <v>Family Resources Survey</v>
      </c>
    </row>
    <row r="1165" spans="1:12" x14ac:dyDescent="0.15">
      <c r="A1165" s="1" t="str">
        <f>_xlfn.XLOOKUP(tblRequirementMeasureXref[[#This Row],[dm_id]],tblDataRequirement[dm_id],tblDataRequirement[domain_sub_requirement])</f>
        <v>Users:Care need:Disability/Dependence</v>
      </c>
      <c r="B1165" s="1" t="str">
        <f>_xlfn.XLOOKUP(tblRequirementMeasureXref[[#This Row],[dm_id]],tblDataRequirement[dm_id],tblDataRequirement[dm_phase])</f>
        <v>demand</v>
      </c>
      <c r="C1165" s="1">
        <v>61</v>
      </c>
      <c r="D1165" s="1">
        <v>299</v>
      </c>
      <c r="G1165" s="1"/>
      <c r="H1165" s="61" t="str">
        <f>_xlfn.XLOOKUP(tblRequirementMeasureXref[[#This Row],[msr_id]],tblMeasure[msr_id],tblMeasure[msr_table])</f>
        <v>Table 4.1</v>
      </c>
      <c r="I1165" s="22" t="str">
        <f>_xlfn.XLOOKUP(tblRequirementMeasureXref[[#This Row],[msr_id]],tblMeasure[msr_id],tblMeasure[msr_name])</f>
        <v>Disability prevalence by age group, 2017/18, United Kingdom</v>
      </c>
      <c r="J1165" s="22" t="str">
        <f>_xlfn.XLOOKUP(tblRequirementMeasureXref[[#This Row],[msr_id]],tblMeasure[msr_id],tblMeasure[primary_dimensions])</f>
        <v>disability prevalence</v>
      </c>
      <c r="K1165" s="22" t="str">
        <f>_xlfn.XLOOKUP(tblRequirementMeasureXref[[#This Row],[msr_id]],tblMeasure[msr_id],tblMeasure[msr_min_geo_resolution])</f>
        <v>UK</v>
      </c>
      <c r="L1165" s="22" t="str">
        <f>_xlfn.XLOOKUP(tblRequirementMeasureXref[[#This Row],[msr_id]],tblMeasure[msr_id],tblMeasure[src_name])</f>
        <v>Family Resources Survey</v>
      </c>
    </row>
    <row r="1166" spans="1:12" x14ac:dyDescent="0.15">
      <c r="A1166" s="1" t="str">
        <f>_xlfn.XLOOKUP(tblRequirementMeasureXref[[#This Row],[dm_id]],tblDataRequirement[dm_id],tblDataRequirement[domain_sub_requirement])</f>
        <v>Users:Demographics:Age</v>
      </c>
      <c r="B1166" s="1" t="str">
        <f>_xlfn.XLOOKUP(tblRequirementMeasureXref[[#This Row],[dm_id]],tblDataRequirement[dm_id],tblDataRequirement[dm_phase])</f>
        <v>demand</v>
      </c>
      <c r="C1166" s="1">
        <v>51</v>
      </c>
      <c r="D1166" s="1">
        <v>301</v>
      </c>
      <c r="G1166" s="1"/>
      <c r="H1166" s="61" t="str">
        <f>_xlfn.XLOOKUP(tblRequirementMeasureXref[[#This Row],[msr_id]],tblMeasure[msr_id],tblMeasure[msr_table])</f>
        <v>Table 4.3</v>
      </c>
      <c r="I1166" s="22" t="str">
        <f>_xlfn.XLOOKUP(tblRequirementMeasureXref[[#This Row],[msr_id]],tblMeasure[msr_id],tblMeasure[msr_name])</f>
        <v>Disability prevalence by age and gender, average of 2015/16, 2016/17 and 2017/18 United Kingdom</v>
      </c>
      <c r="J1166" s="22" t="str">
        <f>_xlfn.XLOOKUP(tblRequirementMeasureXref[[#This Row],[msr_id]],tblMeasure[msr_id],tblMeasure[primary_dimensions])</f>
        <v>disability prevalence</v>
      </c>
      <c r="K1166" s="22" t="str">
        <f>_xlfn.XLOOKUP(tblRequirementMeasureXref[[#This Row],[msr_id]],tblMeasure[msr_id],tblMeasure[msr_min_geo_resolution])</f>
        <v>UK</v>
      </c>
      <c r="L1166" s="22" t="str">
        <f>_xlfn.XLOOKUP(tblRequirementMeasureXref[[#This Row],[msr_id]],tblMeasure[msr_id],tblMeasure[src_name])</f>
        <v>Family Resources Survey</v>
      </c>
    </row>
    <row r="1167" spans="1:12" x14ac:dyDescent="0.15">
      <c r="A1167" s="1" t="str">
        <f>_xlfn.XLOOKUP(tblRequirementMeasureXref[[#This Row],[dm_id]],tblDataRequirement[dm_id],tblDataRequirement[domain_sub_requirement])</f>
        <v>Users:Demographics:Gender</v>
      </c>
      <c r="B1167" s="1" t="str">
        <f>_xlfn.XLOOKUP(tblRequirementMeasureXref[[#This Row],[dm_id]],tblDataRequirement[dm_id],tblDataRequirement[dm_phase])</f>
        <v>demand</v>
      </c>
      <c r="C1167" s="1">
        <v>62</v>
      </c>
      <c r="D1167" s="1">
        <v>301</v>
      </c>
      <c r="G1167" s="1"/>
      <c r="H1167" s="61" t="str">
        <f>_xlfn.XLOOKUP(tblRequirementMeasureXref[[#This Row],[msr_id]],tblMeasure[msr_id],tblMeasure[msr_table])</f>
        <v>Table 4.3</v>
      </c>
      <c r="I1167" s="22" t="str">
        <f>_xlfn.XLOOKUP(tblRequirementMeasureXref[[#This Row],[msr_id]],tblMeasure[msr_id],tblMeasure[msr_name])</f>
        <v>Disability prevalence by age and gender, average of 2015/16, 2016/17 and 2017/18 United Kingdom</v>
      </c>
      <c r="J1167" s="22" t="str">
        <f>_xlfn.XLOOKUP(tblRequirementMeasureXref[[#This Row],[msr_id]],tblMeasure[msr_id],tblMeasure[primary_dimensions])</f>
        <v>disability prevalence</v>
      </c>
      <c r="K1167" s="22" t="str">
        <f>_xlfn.XLOOKUP(tblRequirementMeasureXref[[#This Row],[msr_id]],tblMeasure[msr_id],tblMeasure[msr_min_geo_resolution])</f>
        <v>UK</v>
      </c>
      <c r="L1167" s="22" t="str">
        <f>_xlfn.XLOOKUP(tblRequirementMeasureXref[[#This Row],[msr_id]],tblMeasure[msr_id],tblMeasure[src_name])</f>
        <v>Family Resources Survey</v>
      </c>
    </row>
    <row r="1168" spans="1:12" x14ac:dyDescent="0.15">
      <c r="A1168" s="1" t="str">
        <f>_xlfn.XLOOKUP(tblRequirementMeasureXref[[#This Row],[dm_id]],tblDataRequirement[dm_id],tblDataRequirement[domain_sub_requirement])</f>
        <v>Users:Care need:Disability/Dependence</v>
      </c>
      <c r="B1168" s="1" t="str">
        <f>_xlfn.XLOOKUP(tblRequirementMeasureXref[[#This Row],[dm_id]],tblDataRequirement[dm_id],tblDataRequirement[dm_phase])</f>
        <v>demand</v>
      </c>
      <c r="C1168" s="1">
        <v>61</v>
      </c>
      <c r="D1168" s="1">
        <v>301</v>
      </c>
      <c r="G1168" s="1"/>
      <c r="H1168" s="61" t="str">
        <f>_xlfn.XLOOKUP(tblRequirementMeasureXref[[#This Row],[msr_id]],tblMeasure[msr_id],tblMeasure[msr_table])</f>
        <v>Table 4.3</v>
      </c>
      <c r="I1168" s="22" t="str">
        <f>_xlfn.XLOOKUP(tblRequirementMeasureXref[[#This Row],[msr_id]],tblMeasure[msr_id],tblMeasure[msr_name])</f>
        <v>Disability prevalence by age and gender, average of 2015/16, 2016/17 and 2017/18 United Kingdom</v>
      </c>
      <c r="J1168" s="22" t="str">
        <f>_xlfn.XLOOKUP(tblRequirementMeasureXref[[#This Row],[msr_id]],tblMeasure[msr_id],tblMeasure[primary_dimensions])</f>
        <v>disability prevalence</v>
      </c>
      <c r="K1168" s="22" t="str">
        <f>_xlfn.XLOOKUP(tblRequirementMeasureXref[[#This Row],[msr_id]],tblMeasure[msr_id],tblMeasure[msr_min_geo_resolution])</f>
        <v>UK</v>
      </c>
      <c r="L1168" s="22" t="str">
        <f>_xlfn.XLOOKUP(tblRequirementMeasureXref[[#This Row],[msr_id]],tblMeasure[msr_id],tblMeasure[src_name])</f>
        <v>Family Resources Survey</v>
      </c>
    </row>
    <row r="1169" spans="1:12" x14ac:dyDescent="0.15">
      <c r="A1169" s="1" t="str">
        <f>_xlfn.XLOOKUP(tblRequirementMeasureXref[[#This Row],[dm_id]],tblDataRequirement[dm_id],tblDataRequirement[domain_sub_requirement])</f>
        <v>Users:Care need:Disability/Dependence</v>
      </c>
      <c r="B1169" s="1" t="str">
        <f>_xlfn.XLOOKUP(tblRequirementMeasureXref[[#This Row],[dm_id]],tblDataRequirement[dm_id],tblDataRequirement[dm_phase])</f>
        <v>demand</v>
      </c>
      <c r="C1169" s="1">
        <v>61</v>
      </c>
      <c r="D1169" s="1">
        <v>302</v>
      </c>
      <c r="G1169" s="1"/>
      <c r="H1169" s="61" t="str">
        <f>_xlfn.XLOOKUP(tblRequirementMeasureXref[[#This Row],[msr_id]],tblMeasure[msr_id],tblMeasure[msr_table])</f>
        <v>Table 4.4</v>
      </c>
      <c r="I1169" s="22" t="str">
        <f>_xlfn.XLOOKUP(tblRequirementMeasureXref[[#This Row],[msr_id]],tblMeasure[msr_id],tblMeasure[msr_name])</f>
        <v xml:space="preserve">Disability prevalence by region/ country, 2017/18, United Kingdom </v>
      </c>
      <c r="J1169" s="22" t="str">
        <f>_xlfn.XLOOKUP(tblRequirementMeasureXref[[#This Row],[msr_id]],tblMeasure[msr_id],tblMeasure[primary_dimensions])</f>
        <v>disability prevalence</v>
      </c>
      <c r="K1169" s="22" t="str">
        <f>_xlfn.XLOOKUP(tblRequirementMeasureXref[[#This Row],[msr_id]],tblMeasure[msr_id],tblMeasure[msr_min_geo_resolution])</f>
        <v>Region</v>
      </c>
      <c r="L1169" s="22" t="str">
        <f>_xlfn.XLOOKUP(tblRequirementMeasureXref[[#This Row],[msr_id]],tblMeasure[msr_id],tblMeasure[src_name])</f>
        <v>Family Resources Survey</v>
      </c>
    </row>
    <row r="1170" spans="1:12" x14ac:dyDescent="0.15">
      <c r="A1170" s="1" t="str">
        <f>_xlfn.XLOOKUP(tblRequirementMeasureXref[[#This Row],[dm_id]],tblDataRequirement[dm_id],tblDataRequirement[domain_sub_requirement])</f>
        <v>Users:Care need:Disability/Dependence</v>
      </c>
      <c r="B1170" s="1" t="str">
        <f>_xlfn.XLOOKUP(tblRequirementMeasureXref[[#This Row],[dm_id]],tblDataRequirement[dm_id],tblDataRequirement[dm_phase])</f>
        <v>demand</v>
      </c>
      <c r="C1170" s="1">
        <v>61</v>
      </c>
      <c r="D1170" s="1">
        <v>303</v>
      </c>
      <c r="G1170" s="1"/>
      <c r="H1170" s="61" t="str">
        <f>_xlfn.XLOOKUP(tblRequirementMeasureXref[[#This Row],[msr_id]],tblMeasure[msr_id],tblMeasure[msr_table])</f>
        <v>Table 4.5</v>
      </c>
      <c r="I1170" s="22" t="str">
        <f>_xlfn.XLOOKUP(tblRequirementMeasureXref[[#This Row],[msr_id]],tblMeasure[msr_id],tblMeasure[msr_name])</f>
        <v>Impairment types reported by disabled people, 2015/16, 2016/17 and 2017/18 United Kingdom</v>
      </c>
      <c r="J1170" s="22" t="str">
        <f>_xlfn.XLOOKUP(tblRequirementMeasureXref[[#This Row],[msr_id]],tblMeasure[msr_id],tblMeasure[primary_dimensions])</f>
        <v>disability impairment type</v>
      </c>
      <c r="K1170" s="22" t="str">
        <f>_xlfn.XLOOKUP(tblRequirementMeasureXref[[#This Row],[msr_id]],tblMeasure[msr_id],tblMeasure[msr_min_geo_resolution])</f>
        <v>UK</v>
      </c>
      <c r="L1170" s="22" t="str">
        <f>_xlfn.XLOOKUP(tblRequirementMeasureXref[[#This Row],[msr_id]],tblMeasure[msr_id],tblMeasure[src_name])</f>
        <v>Family Resources Survey</v>
      </c>
    </row>
    <row r="1171" spans="1:12" x14ac:dyDescent="0.15">
      <c r="A1171" s="1" t="str">
        <f>_xlfn.XLOOKUP(tblRequirementMeasureXref[[#This Row],[dm_id]],tblDataRequirement[dm_id],tblDataRequirement[domain_sub_requirement])</f>
        <v>Users:Care need:Disability/Dependence</v>
      </c>
      <c r="B1171" s="1" t="str">
        <f>_xlfn.XLOOKUP(tblRequirementMeasureXref[[#This Row],[dm_id]],tblDataRequirement[dm_id],tblDataRequirement[dm_phase])</f>
        <v>demand</v>
      </c>
      <c r="C1171" s="1">
        <v>61</v>
      </c>
      <c r="D1171" s="1">
        <v>304</v>
      </c>
      <c r="G1171" s="1"/>
      <c r="H1171" s="61" t="str">
        <f>_xlfn.XLOOKUP(tblRequirementMeasureXref[[#This Row],[msr_id]],tblMeasure[msr_id],tblMeasure[msr_table])</f>
        <v>Table 4.6</v>
      </c>
      <c r="I1171" s="22" t="str">
        <f>_xlfn.XLOOKUP(tblRequirementMeasureXref[[#This Row],[msr_id]],tblMeasure[msr_id],tblMeasure[msr_name])</f>
        <v>Impairment types reported by disabled people, by age group, 2017/18, United Kingdom</v>
      </c>
      <c r="J1171" s="22" t="str">
        <f>_xlfn.XLOOKUP(tblRequirementMeasureXref[[#This Row],[msr_id]],tblMeasure[msr_id],tblMeasure[primary_dimensions])</f>
        <v>disability impairment type</v>
      </c>
      <c r="K1171" s="22" t="str">
        <f>_xlfn.XLOOKUP(tblRequirementMeasureXref[[#This Row],[msr_id]],tblMeasure[msr_id],tblMeasure[msr_min_geo_resolution])</f>
        <v>UK</v>
      </c>
      <c r="L1171" s="22" t="str">
        <f>_xlfn.XLOOKUP(tblRequirementMeasureXref[[#This Row],[msr_id]],tblMeasure[msr_id],tblMeasure[src_name])</f>
        <v>Family Resources Survey</v>
      </c>
    </row>
    <row r="1172" spans="1:12" x14ac:dyDescent="0.15">
      <c r="A1172" s="1" t="str">
        <f>_xlfn.XLOOKUP(tblRequirementMeasureXref[[#This Row],[dm_id]],tblDataRequirement[dm_id],tblDataRequirement[domain_sub_requirement])</f>
        <v>Users:Demographics:Age</v>
      </c>
      <c r="B1172" s="1" t="str">
        <f>_xlfn.XLOOKUP(tblRequirementMeasureXref[[#This Row],[dm_id]],tblDataRequirement[dm_id],tblDataRequirement[dm_phase])</f>
        <v>demand</v>
      </c>
      <c r="C1172" s="1">
        <v>51</v>
      </c>
      <c r="D1172" s="1">
        <v>304</v>
      </c>
      <c r="G1172" s="1"/>
      <c r="H1172" s="61" t="str">
        <f>_xlfn.XLOOKUP(tblRequirementMeasureXref[[#This Row],[msr_id]],tblMeasure[msr_id],tblMeasure[msr_table])</f>
        <v>Table 4.6</v>
      </c>
      <c r="I1172" s="22" t="str">
        <f>_xlfn.XLOOKUP(tblRequirementMeasureXref[[#This Row],[msr_id]],tblMeasure[msr_id],tblMeasure[msr_name])</f>
        <v>Impairment types reported by disabled people, by age group, 2017/18, United Kingdom</v>
      </c>
      <c r="J1172" s="22" t="str">
        <f>_xlfn.XLOOKUP(tblRequirementMeasureXref[[#This Row],[msr_id]],tblMeasure[msr_id],tblMeasure[primary_dimensions])</f>
        <v>disability impairment type</v>
      </c>
      <c r="K1172" s="22" t="str">
        <f>_xlfn.XLOOKUP(tblRequirementMeasureXref[[#This Row],[msr_id]],tblMeasure[msr_id],tblMeasure[msr_min_geo_resolution])</f>
        <v>UK</v>
      </c>
      <c r="L1172" s="22" t="str">
        <f>_xlfn.XLOOKUP(tblRequirementMeasureXref[[#This Row],[msr_id]],tblMeasure[msr_id],tblMeasure[src_name])</f>
        <v>Family Resources Survey</v>
      </c>
    </row>
    <row r="1173" spans="1:12" x14ac:dyDescent="0.15">
      <c r="A1173" s="1" t="str">
        <f>_xlfn.XLOOKUP(tblRequirementMeasureXref[[#This Row],[dm_id]],tblDataRequirement[dm_id],tblDataRequirement[domain_sub_requirement])</f>
        <v>Users:Demographics:Age</v>
      </c>
      <c r="B1173" s="1" t="str">
        <f>_xlfn.XLOOKUP(tblRequirementMeasureXref[[#This Row],[dm_id]],tblDataRequirement[dm_id],tblDataRequirement[dm_phase])</f>
        <v>demand</v>
      </c>
      <c r="C1173" s="1">
        <v>51</v>
      </c>
      <c r="D1173" s="1">
        <v>305</v>
      </c>
      <c r="G1173" s="1"/>
      <c r="H1173" s="61" t="str">
        <f>_xlfn.XLOOKUP(tblRequirementMeasureXref[[#This Row],[msr_id]],tblMeasure[msr_id],tblMeasure[msr_table])</f>
        <v>Table 4.7</v>
      </c>
      <c r="I1173" s="22" t="str">
        <f>_xlfn.XLOOKUP(tblRequirementMeasureXref[[#This Row],[msr_id]],tblMeasure[msr_id],tblMeasure[msr_name])</f>
        <v>Adults by disability status, of working age, by employment status and gender, 2017/18, United Kingdom</v>
      </c>
      <c r="J1173" s="22" t="str">
        <f>_xlfn.XLOOKUP(tblRequirementMeasureXref[[#This Row],[msr_id]],tblMeasure[msr_id],tblMeasure[primary_dimensions])</f>
        <v>adults, disability status, employment status</v>
      </c>
      <c r="K1173" s="22" t="str">
        <f>_xlfn.XLOOKUP(tblRequirementMeasureXref[[#This Row],[msr_id]],tblMeasure[msr_id],tblMeasure[msr_min_geo_resolution])</f>
        <v>UK</v>
      </c>
      <c r="L1173" s="22" t="str">
        <f>_xlfn.XLOOKUP(tblRequirementMeasureXref[[#This Row],[msr_id]],tblMeasure[msr_id],tblMeasure[src_name])</f>
        <v>Family Resources Survey</v>
      </c>
    </row>
    <row r="1174" spans="1:12" x14ac:dyDescent="0.15">
      <c r="A1174" s="1" t="str">
        <f>_xlfn.XLOOKUP(tblRequirementMeasureXref[[#This Row],[dm_id]],tblDataRequirement[dm_id],tblDataRequirement[domain_sub_requirement])</f>
        <v>Users:Demographics:Gender</v>
      </c>
      <c r="B1174" s="1" t="str">
        <f>_xlfn.XLOOKUP(tblRequirementMeasureXref[[#This Row],[dm_id]],tblDataRequirement[dm_id],tblDataRequirement[dm_phase])</f>
        <v>demand</v>
      </c>
      <c r="C1174" s="1">
        <v>62</v>
      </c>
      <c r="D1174" s="1">
        <v>305</v>
      </c>
      <c r="G1174" s="1"/>
      <c r="H1174" s="61" t="str">
        <f>_xlfn.XLOOKUP(tblRequirementMeasureXref[[#This Row],[msr_id]],tblMeasure[msr_id],tblMeasure[msr_table])</f>
        <v>Table 4.7</v>
      </c>
      <c r="I1174" s="22" t="str">
        <f>_xlfn.XLOOKUP(tblRequirementMeasureXref[[#This Row],[msr_id]],tblMeasure[msr_id],tblMeasure[msr_name])</f>
        <v>Adults by disability status, of working age, by employment status and gender, 2017/18, United Kingdom</v>
      </c>
      <c r="J1174" s="22" t="str">
        <f>_xlfn.XLOOKUP(tblRequirementMeasureXref[[#This Row],[msr_id]],tblMeasure[msr_id],tblMeasure[primary_dimensions])</f>
        <v>adults, disability status, employment status</v>
      </c>
      <c r="K1174" s="22" t="str">
        <f>_xlfn.XLOOKUP(tblRequirementMeasureXref[[#This Row],[msr_id]],tblMeasure[msr_id],tblMeasure[msr_min_geo_resolution])</f>
        <v>UK</v>
      </c>
      <c r="L1174" s="22" t="str">
        <f>_xlfn.XLOOKUP(tblRequirementMeasureXref[[#This Row],[msr_id]],tblMeasure[msr_id],tblMeasure[src_name])</f>
        <v>Family Resources Survey</v>
      </c>
    </row>
    <row r="1175" spans="1:12" x14ac:dyDescent="0.15">
      <c r="A1175" s="1" t="str">
        <f>_xlfn.XLOOKUP(tblRequirementMeasureXref[[#This Row],[dm_id]],tblDataRequirement[dm_id],tblDataRequirement[domain_sub_requirement])</f>
        <v>Users:Care need:Disability/Dependence</v>
      </c>
      <c r="B1175" s="1" t="str">
        <f>_xlfn.XLOOKUP(tblRequirementMeasureXref[[#This Row],[dm_id]],tblDataRequirement[dm_id],tblDataRequirement[dm_phase])</f>
        <v>demand</v>
      </c>
      <c r="C1175" s="1">
        <v>61</v>
      </c>
      <c r="D1175" s="1">
        <v>305</v>
      </c>
      <c r="G1175" s="1"/>
      <c r="H1175" s="61" t="str">
        <f>_xlfn.XLOOKUP(tblRequirementMeasureXref[[#This Row],[msr_id]],tblMeasure[msr_id],tblMeasure[msr_table])</f>
        <v>Table 4.7</v>
      </c>
      <c r="I1175" s="22" t="str">
        <f>_xlfn.XLOOKUP(tblRequirementMeasureXref[[#This Row],[msr_id]],tblMeasure[msr_id],tblMeasure[msr_name])</f>
        <v>Adults by disability status, of working age, by employment status and gender, 2017/18, United Kingdom</v>
      </c>
      <c r="J1175" s="22" t="str">
        <f>_xlfn.XLOOKUP(tblRequirementMeasureXref[[#This Row],[msr_id]],tblMeasure[msr_id],tblMeasure[primary_dimensions])</f>
        <v>adults, disability status, employment status</v>
      </c>
      <c r="K1175" s="22" t="str">
        <f>_xlfn.XLOOKUP(tblRequirementMeasureXref[[#This Row],[msr_id]],tblMeasure[msr_id],tblMeasure[msr_min_geo_resolution])</f>
        <v>UK</v>
      </c>
      <c r="L1175" s="22" t="str">
        <f>_xlfn.XLOOKUP(tblRequirementMeasureXref[[#This Row],[msr_id]],tblMeasure[msr_id],tblMeasure[src_name])</f>
        <v>Family Resources Survey</v>
      </c>
    </row>
    <row r="1176" spans="1:12" x14ac:dyDescent="0.15">
      <c r="A1176" s="1" t="str">
        <f>_xlfn.XLOOKUP(tblRequirementMeasureXref[[#This Row],[dm_id]],tblDataRequirement[dm_id],tblDataRequirement[domain_sub_requirement])</f>
        <v>Users:Demographics:Socioeconomic status / employment / income</v>
      </c>
      <c r="B1176" s="1" t="str">
        <f>_xlfn.XLOOKUP(tblRequirementMeasureXref[[#This Row],[dm_id]],tblDataRequirement[dm_id],tblDataRequirement[dm_phase])</f>
        <v>outcome</v>
      </c>
      <c r="C1176" s="1">
        <v>105</v>
      </c>
      <c r="D1176" s="1">
        <v>305</v>
      </c>
      <c r="G1176" s="1"/>
      <c r="H1176" s="61" t="str">
        <f>_xlfn.XLOOKUP(tblRequirementMeasureXref[[#This Row],[msr_id]],tblMeasure[msr_id],tblMeasure[msr_table])</f>
        <v>Table 4.7</v>
      </c>
      <c r="I1176" s="22" t="str">
        <f>_xlfn.XLOOKUP(tblRequirementMeasureXref[[#This Row],[msr_id]],tblMeasure[msr_id],tblMeasure[msr_name])</f>
        <v>Adults by disability status, of working age, by employment status and gender, 2017/18, United Kingdom</v>
      </c>
      <c r="J1176" s="22" t="str">
        <f>_xlfn.XLOOKUP(tblRequirementMeasureXref[[#This Row],[msr_id]],tblMeasure[msr_id],tblMeasure[primary_dimensions])</f>
        <v>adults, disability status, employment status</v>
      </c>
      <c r="K1176" s="22" t="str">
        <f>_xlfn.XLOOKUP(tblRequirementMeasureXref[[#This Row],[msr_id]],tblMeasure[msr_id],tblMeasure[msr_min_geo_resolution])</f>
        <v>UK</v>
      </c>
      <c r="L1176" s="22" t="str">
        <f>_xlfn.XLOOKUP(tblRequirementMeasureXref[[#This Row],[msr_id]],tblMeasure[msr_id],tblMeasure[src_name])</f>
        <v>Family Resources Survey</v>
      </c>
    </row>
    <row r="1177" spans="1:12" x14ac:dyDescent="0.15">
      <c r="A1177" s="1" t="str">
        <f>_xlfn.XLOOKUP(tblRequirementMeasureXref[[#This Row],[dm_id]],tblDataRequirement[dm_id],tblDataRequirement[domain_sub_requirement])</f>
        <v>Users:Context:Family/Household structure</v>
      </c>
      <c r="B1177" s="1" t="str">
        <f>_xlfn.XLOOKUP(tblRequirementMeasureXref[[#This Row],[dm_id]],tblDataRequirement[dm_id],tblDataRequirement[dm_phase])</f>
        <v>demand</v>
      </c>
      <c r="C1177" s="1">
        <v>63</v>
      </c>
      <c r="D1177" s="1">
        <v>306</v>
      </c>
      <c r="G1177" s="1"/>
      <c r="H1177" s="61" t="str">
        <f>_xlfn.XLOOKUP(tblRequirementMeasureXref[[#This Row],[msr_id]],tblMeasure[msr_id],tblMeasure[msr_table])</f>
        <v>Table 4.8</v>
      </c>
      <c r="I1177" s="22" t="str">
        <f>_xlfn.XLOOKUP(tblRequirementMeasureXref[[#This Row],[msr_id]],tblMeasure[msr_id],tblMeasure[msr_name])</f>
        <v xml:space="preserve">Benefit units by disability status and benefit unit type, 2017/18, United Kingdom </v>
      </c>
      <c r="J1177" s="22" t="str">
        <f>_xlfn.XLOOKUP(tblRequirementMeasureXref[[#This Row],[msr_id]],tblMeasure[msr_id],tblMeasure[primary_dimensions])</f>
        <v>benefit units, type, disability status</v>
      </c>
      <c r="K1177" s="22" t="str">
        <f>_xlfn.XLOOKUP(tblRequirementMeasureXref[[#This Row],[msr_id]],tblMeasure[msr_id],tblMeasure[msr_min_geo_resolution])</f>
        <v>UK</v>
      </c>
      <c r="L1177" s="22" t="str">
        <f>_xlfn.XLOOKUP(tblRequirementMeasureXref[[#This Row],[msr_id]],tblMeasure[msr_id],tblMeasure[src_name])</f>
        <v>Family Resources Survey</v>
      </c>
    </row>
    <row r="1178" spans="1:12" x14ac:dyDescent="0.15">
      <c r="A1178" s="1" t="str">
        <f>_xlfn.XLOOKUP(tblRequirementMeasureXref[[#This Row],[dm_id]],tblDataRequirement[dm_id],tblDataRequirement[domain_sub_requirement])</f>
        <v>Users:Care need:Disability/Dependence</v>
      </c>
      <c r="B1178" s="1" t="str">
        <f>_xlfn.XLOOKUP(tblRequirementMeasureXref[[#This Row],[dm_id]],tblDataRequirement[dm_id],tblDataRequirement[dm_phase])</f>
        <v>demand</v>
      </c>
      <c r="C1178" s="1">
        <v>61</v>
      </c>
      <c r="D1178" s="1">
        <v>306</v>
      </c>
      <c r="G1178" s="1"/>
      <c r="H1178" s="61" t="str">
        <f>_xlfn.XLOOKUP(tblRequirementMeasureXref[[#This Row],[msr_id]],tblMeasure[msr_id],tblMeasure[msr_table])</f>
        <v>Table 4.8</v>
      </c>
      <c r="I1178" s="22" t="str">
        <f>_xlfn.XLOOKUP(tblRequirementMeasureXref[[#This Row],[msr_id]],tblMeasure[msr_id],tblMeasure[msr_name])</f>
        <v xml:space="preserve">Benefit units by disability status and benefit unit type, 2017/18, United Kingdom </v>
      </c>
      <c r="J1178" s="22" t="str">
        <f>_xlfn.XLOOKUP(tblRequirementMeasureXref[[#This Row],[msr_id]],tblMeasure[msr_id],tblMeasure[primary_dimensions])</f>
        <v>benefit units, type, disability status</v>
      </c>
      <c r="K1178" s="22" t="str">
        <f>_xlfn.XLOOKUP(tblRequirementMeasureXref[[#This Row],[msr_id]],tblMeasure[msr_id],tblMeasure[msr_min_geo_resolution])</f>
        <v>UK</v>
      </c>
      <c r="L1178" s="22" t="str">
        <f>_xlfn.XLOOKUP(tblRequirementMeasureXref[[#This Row],[msr_id]],tblMeasure[msr_id],tblMeasure[src_name])</f>
        <v>Family Resources Survey</v>
      </c>
    </row>
    <row r="1179" spans="1:12" x14ac:dyDescent="0.15">
      <c r="A1179" s="1" t="str">
        <f>_xlfn.XLOOKUP(tblRequirementMeasureXref[[#This Row],[dm_id]],tblDataRequirement[dm_id],tblDataRequirement[domain_sub_requirement])</f>
        <v>Users:Context:Family/Household structure</v>
      </c>
      <c r="B1179" s="1" t="str">
        <f>_xlfn.XLOOKUP(tblRequirementMeasureXref[[#This Row],[dm_id]],tblDataRequirement[dm_id],tblDataRequirement[dm_phase])</f>
        <v>demand</v>
      </c>
      <c r="C1179" s="1">
        <v>63</v>
      </c>
      <c r="D1179" s="1">
        <v>307</v>
      </c>
      <c r="G1179" s="1"/>
      <c r="H1179" s="61" t="str">
        <f>_xlfn.XLOOKUP(tblRequirementMeasureXref[[#This Row],[msr_id]],tblMeasure[msr_id],tblMeasure[msr_table])</f>
        <v>Table 4.9</v>
      </c>
      <c r="I1179" s="22" t="str">
        <f>_xlfn.XLOOKUP(tblRequirementMeasureXref[[#This Row],[msr_id]],tblMeasure[msr_id],tblMeasure[msr_name])</f>
        <v xml:space="preserve">Benefit units by disability status and state support receipt, 2017/18, United Kingdom </v>
      </c>
      <c r="J1179" s="22" t="str">
        <f>_xlfn.XLOOKUP(tblRequirementMeasureXref[[#This Row],[msr_id]],tblMeasure[msr_id],tblMeasure[primary_dimensions])</f>
        <v>benefit units, type, disability status, state support receipt</v>
      </c>
      <c r="K1179" s="22" t="str">
        <f>_xlfn.XLOOKUP(tblRequirementMeasureXref[[#This Row],[msr_id]],tblMeasure[msr_id],tblMeasure[msr_min_geo_resolution])</f>
        <v>UK</v>
      </c>
      <c r="L1179" s="22" t="str">
        <f>_xlfn.XLOOKUP(tblRequirementMeasureXref[[#This Row],[msr_id]],tblMeasure[msr_id],tblMeasure[src_name])</f>
        <v>Family Resources Survey</v>
      </c>
    </row>
    <row r="1180" spans="1:12" x14ac:dyDescent="0.15">
      <c r="A1180" s="1" t="str">
        <f>_xlfn.XLOOKUP(tblRequirementMeasureXref[[#This Row],[dm_id]],tblDataRequirement[dm_id],tblDataRequirement[domain_sub_requirement])</f>
        <v>Users:Care need:Disability/Dependence</v>
      </c>
      <c r="B1180" s="1" t="str">
        <f>_xlfn.XLOOKUP(tblRequirementMeasureXref[[#This Row],[dm_id]],tblDataRequirement[dm_id],tblDataRequirement[dm_phase])</f>
        <v>demand</v>
      </c>
      <c r="C1180" s="1">
        <v>61</v>
      </c>
      <c r="D1180" s="1">
        <v>307</v>
      </c>
      <c r="G1180" s="1"/>
      <c r="H1180" s="61" t="str">
        <f>_xlfn.XLOOKUP(tblRequirementMeasureXref[[#This Row],[msr_id]],tblMeasure[msr_id],tblMeasure[msr_table])</f>
        <v>Table 4.9</v>
      </c>
      <c r="I1180" s="22" t="str">
        <f>_xlfn.XLOOKUP(tblRequirementMeasureXref[[#This Row],[msr_id]],tblMeasure[msr_id],tblMeasure[msr_name])</f>
        <v xml:space="preserve">Benefit units by disability status and state support receipt, 2017/18, United Kingdom </v>
      </c>
      <c r="J1180" s="22" t="str">
        <f>_xlfn.XLOOKUP(tblRequirementMeasureXref[[#This Row],[msr_id]],tblMeasure[msr_id],tblMeasure[primary_dimensions])</f>
        <v>benefit units, type, disability status, state support receipt</v>
      </c>
      <c r="K1180" s="22" t="str">
        <f>_xlfn.XLOOKUP(tblRequirementMeasureXref[[#This Row],[msr_id]],tblMeasure[msr_id],tblMeasure[msr_min_geo_resolution])</f>
        <v>UK</v>
      </c>
      <c r="L1180" s="22" t="str">
        <f>_xlfn.XLOOKUP(tblRequirementMeasureXref[[#This Row],[msr_id]],tblMeasure[msr_id],tblMeasure[src_name])</f>
        <v>Family Resources Survey</v>
      </c>
    </row>
    <row r="1181" spans="1:12" x14ac:dyDescent="0.15">
      <c r="A1181" s="1" t="str">
        <f>_xlfn.XLOOKUP(tblRequirementMeasureXref[[#This Row],[dm_id]],tblDataRequirement[dm_id],tblDataRequirement[domain_sub_requirement])</f>
        <v>Users:Income:State support / benefits</v>
      </c>
      <c r="B1181" s="1" t="str">
        <f>_xlfn.XLOOKUP(tblRequirementMeasureXref[[#This Row],[dm_id]],tblDataRequirement[dm_id],tblDataRequirement[dm_phase])</f>
        <v>supply</v>
      </c>
      <c r="C1181" s="1">
        <v>64</v>
      </c>
      <c r="D1181" s="1">
        <v>307</v>
      </c>
      <c r="G1181" s="1"/>
      <c r="H1181" s="61" t="str">
        <f>_xlfn.XLOOKUP(tblRequirementMeasureXref[[#This Row],[msr_id]],tblMeasure[msr_id],tblMeasure[msr_table])</f>
        <v>Table 4.9</v>
      </c>
      <c r="I1181" s="22" t="str">
        <f>_xlfn.XLOOKUP(tblRequirementMeasureXref[[#This Row],[msr_id]],tblMeasure[msr_id],tblMeasure[msr_name])</f>
        <v xml:space="preserve">Benefit units by disability status and state support receipt, 2017/18, United Kingdom </v>
      </c>
      <c r="J1181" s="22" t="str">
        <f>_xlfn.XLOOKUP(tblRequirementMeasureXref[[#This Row],[msr_id]],tblMeasure[msr_id],tblMeasure[primary_dimensions])</f>
        <v>benefit units, type, disability status, state support receipt</v>
      </c>
      <c r="K1181" s="22" t="str">
        <f>_xlfn.XLOOKUP(tblRequirementMeasureXref[[#This Row],[msr_id]],tblMeasure[msr_id],tblMeasure[msr_min_geo_resolution])</f>
        <v>UK</v>
      </c>
      <c r="L1181" s="22" t="str">
        <f>_xlfn.XLOOKUP(tblRequirementMeasureXref[[#This Row],[msr_id]],tblMeasure[msr_id],tblMeasure[src_name])</f>
        <v>Family Resources Survey</v>
      </c>
    </row>
    <row r="1182" spans="1:12" x14ac:dyDescent="0.15">
      <c r="A1182" s="1" t="str">
        <f>_xlfn.XLOOKUP(tblRequirementMeasureXref[[#This Row],[dm_id]],tblDataRequirement[dm_id],tblDataRequirement[domain_sub_requirement])</f>
        <v>Unpaid Carers:Workforce:Workforce</v>
      </c>
      <c r="B1182" s="1" t="str">
        <f>_xlfn.XLOOKUP(tblRequirementMeasureXref[[#This Row],[dm_id]],tblDataRequirement[dm_id],tblDataRequirement[dm_phase])</f>
        <v>supply</v>
      </c>
      <c r="C1182" s="1">
        <v>19</v>
      </c>
      <c r="D1182" s="1">
        <v>308</v>
      </c>
      <c r="G1182" s="1"/>
      <c r="H1182" s="61" t="str">
        <f>_xlfn.XLOOKUP(tblRequirementMeasureXref[[#This Row],[msr_id]],tblMeasure[msr_id],tblMeasure[msr_table])</f>
        <v>Table 5.1</v>
      </c>
      <c r="I1182" s="22" t="str">
        <f>_xlfn.XLOOKUP(tblRequirementMeasureXref[[#This Row],[msr_id]],tblMeasure[msr_id],tblMeasure[msr_name])</f>
        <v>Percentage of people providing informal care by gender, 2007/08 to 2017/18, United Kingdom</v>
      </c>
      <c r="J1182" s="22" t="str">
        <f>_xlfn.XLOOKUP(tblRequirementMeasureXref[[#This Row],[msr_id]],tblMeasure[msr_id],tblMeasure[primary_dimensions])</f>
        <v>informal carers, carer gender</v>
      </c>
      <c r="K1182" s="22" t="str">
        <f>_xlfn.XLOOKUP(tblRequirementMeasureXref[[#This Row],[msr_id]],tblMeasure[msr_id],tblMeasure[msr_min_geo_resolution])</f>
        <v>UK</v>
      </c>
      <c r="L1182" s="22" t="str">
        <f>_xlfn.XLOOKUP(tblRequirementMeasureXref[[#This Row],[msr_id]],tblMeasure[msr_id],tblMeasure[src_name])</f>
        <v>Family Resources Survey</v>
      </c>
    </row>
    <row r="1183" spans="1:12" x14ac:dyDescent="0.15">
      <c r="A1183" s="1" t="str">
        <f>_xlfn.XLOOKUP(tblRequirementMeasureXref[[#This Row],[dm_id]],tblDataRequirement[dm_id],tblDataRequirement[domain_sub_requirement])</f>
        <v>Unpaid Carers:Demographics:Gender</v>
      </c>
      <c r="B1183" s="1" t="str">
        <f>_xlfn.XLOOKUP(tblRequirementMeasureXref[[#This Row],[dm_id]],tblDataRequirement[dm_id],tblDataRequirement[dm_phase])</f>
        <v>supply</v>
      </c>
      <c r="C1183" s="1">
        <v>82</v>
      </c>
      <c r="D1183" s="1">
        <v>308</v>
      </c>
      <c r="G1183" s="1"/>
      <c r="H1183" s="61" t="str">
        <f>_xlfn.XLOOKUP(tblRequirementMeasureXref[[#This Row],[msr_id]],tblMeasure[msr_id],tblMeasure[msr_table])</f>
        <v>Table 5.1</v>
      </c>
      <c r="I1183" s="22" t="str">
        <f>_xlfn.XLOOKUP(tblRequirementMeasureXref[[#This Row],[msr_id]],tblMeasure[msr_id],tblMeasure[msr_name])</f>
        <v>Percentage of people providing informal care by gender, 2007/08 to 2017/18, United Kingdom</v>
      </c>
      <c r="J1183" s="22" t="str">
        <f>_xlfn.XLOOKUP(tblRequirementMeasureXref[[#This Row],[msr_id]],tblMeasure[msr_id],tblMeasure[primary_dimensions])</f>
        <v>informal carers, carer gender</v>
      </c>
      <c r="K1183" s="22" t="str">
        <f>_xlfn.XLOOKUP(tblRequirementMeasureXref[[#This Row],[msr_id]],tblMeasure[msr_id],tblMeasure[msr_min_geo_resolution])</f>
        <v>UK</v>
      </c>
      <c r="L1183" s="22" t="str">
        <f>_xlfn.XLOOKUP(tblRequirementMeasureXref[[#This Row],[msr_id]],tblMeasure[msr_id],tblMeasure[src_name])</f>
        <v>Family Resources Survey</v>
      </c>
    </row>
    <row r="1184" spans="1:12" x14ac:dyDescent="0.15">
      <c r="A1184" s="1" t="str">
        <f>_xlfn.XLOOKUP(tblRequirementMeasureXref[[#This Row],[dm_id]],tblDataRequirement[dm_id],tblDataRequirement[domain_sub_requirement])</f>
        <v>Unpaid Carers:Workforce:Workforce</v>
      </c>
      <c r="B1184" s="1" t="str">
        <f>_xlfn.XLOOKUP(tblRequirementMeasureXref[[#This Row],[dm_id]],tblDataRequirement[dm_id],tblDataRequirement[dm_phase])</f>
        <v>supply</v>
      </c>
      <c r="C1184" s="1">
        <v>19</v>
      </c>
      <c r="D1184" s="1">
        <v>309</v>
      </c>
      <c r="G1184" s="1"/>
      <c r="H1184" s="61" t="str">
        <f>_xlfn.XLOOKUP(tblRequirementMeasureXref[[#This Row],[msr_id]],tblMeasure[msr_id],tblMeasure[msr_table])</f>
        <v>Table 5.2</v>
      </c>
      <c r="I1184" s="22" t="str">
        <f>_xlfn.XLOOKUP(tblRequirementMeasureXref[[#This Row],[msr_id]],tblMeasure[msr_id],tblMeasure[msr_name])</f>
        <v>Percentage of people providing informal care by age and gender, 2017/18, United Kingdom</v>
      </c>
      <c r="J1184" s="22" t="str">
        <f>_xlfn.XLOOKUP(tblRequirementMeasureXref[[#This Row],[msr_id]],tblMeasure[msr_id],tblMeasure[primary_dimensions])</f>
        <v>informal carers, carer, gender, carer age</v>
      </c>
      <c r="K1184" s="22" t="str">
        <f>_xlfn.XLOOKUP(tblRequirementMeasureXref[[#This Row],[msr_id]],tblMeasure[msr_id],tblMeasure[msr_min_geo_resolution])</f>
        <v>UK</v>
      </c>
      <c r="L1184" s="22" t="str">
        <f>_xlfn.XLOOKUP(tblRequirementMeasureXref[[#This Row],[msr_id]],tblMeasure[msr_id],tblMeasure[src_name])</f>
        <v>Family Resources Survey</v>
      </c>
    </row>
    <row r="1185" spans="1:12" x14ac:dyDescent="0.15">
      <c r="A1185" s="1" t="str">
        <f>_xlfn.XLOOKUP(tblRequirementMeasureXref[[#This Row],[dm_id]],tblDataRequirement[dm_id],tblDataRequirement[domain_sub_requirement])</f>
        <v>Unpaid Carers:Demographics:Age</v>
      </c>
      <c r="B1185" s="1" t="str">
        <f>_xlfn.XLOOKUP(tblRequirementMeasureXref[[#This Row],[dm_id]],tblDataRequirement[dm_id],tblDataRequirement[dm_phase])</f>
        <v>supply</v>
      </c>
      <c r="C1185" s="1">
        <v>81</v>
      </c>
      <c r="D1185" s="1">
        <v>309</v>
      </c>
      <c r="G1185" s="1"/>
      <c r="H1185" s="61" t="str">
        <f>_xlfn.XLOOKUP(tblRequirementMeasureXref[[#This Row],[msr_id]],tblMeasure[msr_id],tblMeasure[msr_table])</f>
        <v>Table 5.2</v>
      </c>
      <c r="I1185" s="22" t="str">
        <f>_xlfn.XLOOKUP(tblRequirementMeasureXref[[#This Row],[msr_id]],tblMeasure[msr_id],tblMeasure[msr_name])</f>
        <v>Percentage of people providing informal care by age and gender, 2017/18, United Kingdom</v>
      </c>
      <c r="J1185" s="22" t="str">
        <f>_xlfn.XLOOKUP(tblRequirementMeasureXref[[#This Row],[msr_id]],tblMeasure[msr_id],tblMeasure[primary_dimensions])</f>
        <v>informal carers, carer, gender, carer age</v>
      </c>
      <c r="K1185" s="22" t="str">
        <f>_xlfn.XLOOKUP(tblRequirementMeasureXref[[#This Row],[msr_id]],tblMeasure[msr_id],tblMeasure[msr_min_geo_resolution])</f>
        <v>UK</v>
      </c>
      <c r="L1185" s="22" t="str">
        <f>_xlfn.XLOOKUP(tblRequirementMeasureXref[[#This Row],[msr_id]],tblMeasure[msr_id],tblMeasure[src_name])</f>
        <v>Family Resources Survey</v>
      </c>
    </row>
    <row r="1186" spans="1:12" x14ac:dyDescent="0.15">
      <c r="A1186" s="1" t="str">
        <f>_xlfn.XLOOKUP(tblRequirementMeasureXref[[#This Row],[dm_id]],tblDataRequirement[dm_id],tblDataRequirement[domain_sub_requirement])</f>
        <v>Unpaid Carers:Demographics:Gender</v>
      </c>
      <c r="B1186" s="1" t="str">
        <f>_xlfn.XLOOKUP(tblRequirementMeasureXref[[#This Row],[dm_id]],tblDataRequirement[dm_id],tblDataRequirement[dm_phase])</f>
        <v>supply</v>
      </c>
      <c r="C1186" s="1">
        <v>82</v>
      </c>
      <c r="D1186" s="1">
        <v>309</v>
      </c>
      <c r="G1186" s="1"/>
      <c r="H1186" s="61" t="str">
        <f>_xlfn.XLOOKUP(tblRequirementMeasureXref[[#This Row],[msr_id]],tblMeasure[msr_id],tblMeasure[msr_table])</f>
        <v>Table 5.2</v>
      </c>
      <c r="I1186" s="22" t="str">
        <f>_xlfn.XLOOKUP(tblRequirementMeasureXref[[#This Row],[msr_id]],tblMeasure[msr_id],tblMeasure[msr_name])</f>
        <v>Percentage of people providing informal care by age and gender, 2017/18, United Kingdom</v>
      </c>
      <c r="J1186" s="22" t="str">
        <f>_xlfn.XLOOKUP(tblRequirementMeasureXref[[#This Row],[msr_id]],tblMeasure[msr_id],tblMeasure[primary_dimensions])</f>
        <v>informal carers, carer, gender, carer age</v>
      </c>
      <c r="K1186" s="22" t="str">
        <f>_xlfn.XLOOKUP(tblRequirementMeasureXref[[#This Row],[msr_id]],tblMeasure[msr_id],tblMeasure[msr_min_geo_resolution])</f>
        <v>UK</v>
      </c>
      <c r="L1186" s="22" t="str">
        <f>_xlfn.XLOOKUP(tblRequirementMeasureXref[[#This Row],[msr_id]],tblMeasure[msr_id],tblMeasure[src_name])</f>
        <v>Family Resources Survey</v>
      </c>
    </row>
    <row r="1187" spans="1:12" x14ac:dyDescent="0.15">
      <c r="A1187" s="1" t="str">
        <f>_xlfn.XLOOKUP(tblRequirementMeasureXref[[#This Row],[dm_id]],tblDataRequirement[dm_id],tblDataRequirement[domain_sub_requirement])</f>
        <v>Unpaid Carers:Workforce:Workforce</v>
      </c>
      <c r="B1187" s="1" t="str">
        <f>_xlfn.XLOOKUP(tblRequirementMeasureXref[[#This Row],[dm_id]],tblDataRequirement[dm_id],tblDataRequirement[dm_phase])</f>
        <v>supply</v>
      </c>
      <c r="C1187" s="1">
        <v>19</v>
      </c>
      <c r="D1187" s="1">
        <v>310</v>
      </c>
      <c r="G1187" s="1"/>
      <c r="H1187" s="61" t="str">
        <f>_xlfn.XLOOKUP(tblRequirementMeasureXref[[#This Row],[msr_id]],tblMeasure[msr_id],tblMeasure[msr_table])</f>
        <v>Table 5.3</v>
      </c>
      <c r="I1187" s="22" t="str">
        <f>_xlfn.XLOOKUP(tblRequirementMeasureXref[[#This Row],[msr_id]],tblMeasure[msr_id],tblMeasure[msr_name])</f>
        <v>Adult informal carers by gender, age and number of hours per week providing care, 2017/18, United Kingdom</v>
      </c>
      <c r="J1187" s="22" t="str">
        <f>_xlfn.XLOOKUP(tblRequirementMeasureXref[[#This Row],[msr_id]],tblMeasure[msr_id],tblMeasure[primary_dimensions])</f>
        <v>adult informal carers, carer gender, carer age, hours worked</v>
      </c>
      <c r="K1187" s="22" t="str">
        <f>_xlfn.XLOOKUP(tblRequirementMeasureXref[[#This Row],[msr_id]],tblMeasure[msr_id],tblMeasure[msr_min_geo_resolution])</f>
        <v>UK</v>
      </c>
      <c r="L1187" s="22" t="str">
        <f>_xlfn.XLOOKUP(tblRequirementMeasureXref[[#This Row],[msr_id]],tblMeasure[msr_id],tblMeasure[src_name])</f>
        <v>Family Resources Survey</v>
      </c>
    </row>
    <row r="1188" spans="1:12" x14ac:dyDescent="0.15">
      <c r="A1188" s="1" t="str">
        <f>_xlfn.XLOOKUP(tblRequirementMeasureXref[[#This Row],[dm_id]],tblDataRequirement[dm_id],tblDataRequirement[domain_sub_requirement])</f>
        <v>Unpaid Carers:Demographics:Age</v>
      </c>
      <c r="B1188" s="1" t="str">
        <f>_xlfn.XLOOKUP(tblRequirementMeasureXref[[#This Row],[dm_id]],tblDataRequirement[dm_id],tblDataRequirement[dm_phase])</f>
        <v>supply</v>
      </c>
      <c r="C1188" s="1">
        <v>81</v>
      </c>
      <c r="D1188" s="1">
        <v>310</v>
      </c>
      <c r="G1188" s="1"/>
      <c r="H1188" s="61" t="str">
        <f>_xlfn.XLOOKUP(tblRequirementMeasureXref[[#This Row],[msr_id]],tblMeasure[msr_id],tblMeasure[msr_table])</f>
        <v>Table 5.3</v>
      </c>
      <c r="I1188" s="22" t="str">
        <f>_xlfn.XLOOKUP(tblRequirementMeasureXref[[#This Row],[msr_id]],tblMeasure[msr_id],tblMeasure[msr_name])</f>
        <v>Adult informal carers by gender, age and number of hours per week providing care, 2017/18, United Kingdom</v>
      </c>
      <c r="J1188" s="22" t="str">
        <f>_xlfn.XLOOKUP(tblRequirementMeasureXref[[#This Row],[msr_id]],tblMeasure[msr_id],tblMeasure[primary_dimensions])</f>
        <v>adult informal carers, carer gender, carer age, hours worked</v>
      </c>
      <c r="K1188" s="22" t="str">
        <f>_xlfn.XLOOKUP(tblRequirementMeasureXref[[#This Row],[msr_id]],tblMeasure[msr_id],tblMeasure[msr_min_geo_resolution])</f>
        <v>UK</v>
      </c>
      <c r="L1188" s="22" t="str">
        <f>_xlfn.XLOOKUP(tblRequirementMeasureXref[[#This Row],[msr_id]],tblMeasure[msr_id],tblMeasure[src_name])</f>
        <v>Family Resources Survey</v>
      </c>
    </row>
    <row r="1189" spans="1:12" x14ac:dyDescent="0.15">
      <c r="A1189" s="1" t="str">
        <f>_xlfn.XLOOKUP(tblRequirementMeasureXref[[#This Row],[dm_id]],tblDataRequirement[dm_id],tblDataRequirement[domain_sub_requirement])</f>
        <v>Unpaid Carers:Demographics:Gender</v>
      </c>
      <c r="B1189" s="1" t="str">
        <f>_xlfn.XLOOKUP(tblRequirementMeasureXref[[#This Row],[dm_id]],tblDataRequirement[dm_id],tblDataRequirement[dm_phase])</f>
        <v>supply</v>
      </c>
      <c r="C1189" s="1">
        <v>82</v>
      </c>
      <c r="D1189" s="1">
        <v>310</v>
      </c>
      <c r="G1189" s="1"/>
      <c r="H1189" s="61" t="str">
        <f>_xlfn.XLOOKUP(tblRequirementMeasureXref[[#This Row],[msr_id]],tblMeasure[msr_id],tblMeasure[msr_table])</f>
        <v>Table 5.3</v>
      </c>
      <c r="I1189" s="22" t="str">
        <f>_xlfn.XLOOKUP(tblRequirementMeasureXref[[#This Row],[msr_id]],tblMeasure[msr_id],tblMeasure[msr_name])</f>
        <v>Adult informal carers by gender, age and number of hours per week providing care, 2017/18, United Kingdom</v>
      </c>
      <c r="J1189" s="22" t="str">
        <f>_xlfn.XLOOKUP(tblRequirementMeasureXref[[#This Row],[msr_id]],tblMeasure[msr_id],tblMeasure[primary_dimensions])</f>
        <v>adult informal carers, carer gender, carer age, hours worked</v>
      </c>
      <c r="K1189" s="22" t="str">
        <f>_xlfn.XLOOKUP(tblRequirementMeasureXref[[#This Row],[msr_id]],tblMeasure[msr_id],tblMeasure[msr_min_geo_resolution])</f>
        <v>UK</v>
      </c>
      <c r="L1189" s="22" t="str">
        <f>_xlfn.XLOOKUP(tblRequirementMeasureXref[[#This Row],[msr_id]],tblMeasure[msr_id],tblMeasure[src_name])</f>
        <v>Family Resources Survey</v>
      </c>
    </row>
    <row r="1190" spans="1:12" x14ac:dyDescent="0.15">
      <c r="A1190" s="1" t="str">
        <f>_xlfn.XLOOKUP(tblRequirementMeasureXref[[#This Row],[dm_id]],tblDataRequirement[dm_id],tblDataRequirement[domain_sub_requirement])</f>
        <v>Unpaid Carers:Experience:Workload</v>
      </c>
      <c r="B1190" s="1" t="str">
        <f>_xlfn.XLOOKUP(tblRequirementMeasureXref[[#This Row],[dm_id]],tblDataRequirement[dm_id],tblDataRequirement[dm_phase])</f>
        <v>demand</v>
      </c>
      <c r="C1190" s="1">
        <v>86</v>
      </c>
      <c r="D1190" s="1">
        <v>310</v>
      </c>
      <c r="G1190" s="1"/>
      <c r="H1190" s="61" t="str">
        <f>_xlfn.XLOOKUP(tblRequirementMeasureXref[[#This Row],[msr_id]],tblMeasure[msr_id],tblMeasure[msr_table])</f>
        <v>Table 5.3</v>
      </c>
      <c r="I1190" s="22" t="str">
        <f>_xlfn.XLOOKUP(tblRequirementMeasureXref[[#This Row],[msr_id]],tblMeasure[msr_id],tblMeasure[msr_name])</f>
        <v>Adult informal carers by gender, age and number of hours per week providing care, 2017/18, United Kingdom</v>
      </c>
      <c r="J1190" s="22" t="str">
        <f>_xlfn.XLOOKUP(tblRequirementMeasureXref[[#This Row],[msr_id]],tblMeasure[msr_id],tblMeasure[primary_dimensions])</f>
        <v>adult informal carers, carer gender, carer age, hours worked</v>
      </c>
      <c r="K1190" s="22" t="str">
        <f>_xlfn.XLOOKUP(tblRequirementMeasureXref[[#This Row],[msr_id]],tblMeasure[msr_id],tblMeasure[msr_min_geo_resolution])</f>
        <v>UK</v>
      </c>
      <c r="L1190" s="22" t="str">
        <f>_xlfn.XLOOKUP(tblRequirementMeasureXref[[#This Row],[msr_id]],tblMeasure[msr_id],tblMeasure[src_name])</f>
        <v>Family Resources Survey</v>
      </c>
    </row>
    <row r="1191" spans="1:12" x14ac:dyDescent="0.15">
      <c r="A1191" s="1" t="str">
        <f>_xlfn.XLOOKUP(tblRequirementMeasureXref[[#This Row],[dm_id]],tblDataRequirement[dm_id],tblDataRequirement[domain_sub_requirement])</f>
        <v>Unpaid Carers:Workforce:Workforce</v>
      </c>
      <c r="B1191" s="1" t="str">
        <f>_xlfn.XLOOKUP(tblRequirementMeasureXref[[#This Row],[dm_id]],tblDataRequirement[dm_id],tblDataRequirement[dm_phase])</f>
        <v>supply</v>
      </c>
      <c r="C1191" s="1">
        <v>19</v>
      </c>
      <c r="D1191" s="1">
        <v>310</v>
      </c>
      <c r="G1191" s="1"/>
      <c r="H1191" s="61" t="str">
        <f>_xlfn.XLOOKUP(tblRequirementMeasureXref[[#This Row],[msr_id]],tblMeasure[msr_id],tblMeasure[msr_table])</f>
        <v>Table 5.3</v>
      </c>
      <c r="I1191" s="22" t="str">
        <f>_xlfn.XLOOKUP(tblRequirementMeasureXref[[#This Row],[msr_id]],tblMeasure[msr_id],tblMeasure[msr_name])</f>
        <v>Adult informal carers by gender, age and number of hours per week providing care, 2017/18, United Kingdom</v>
      </c>
      <c r="J1191" s="22" t="str">
        <f>_xlfn.XLOOKUP(tblRequirementMeasureXref[[#This Row],[msr_id]],tblMeasure[msr_id],tblMeasure[primary_dimensions])</f>
        <v>adult informal carers, carer gender, carer age, hours worked</v>
      </c>
      <c r="K1191" s="22" t="str">
        <f>_xlfn.XLOOKUP(tblRequirementMeasureXref[[#This Row],[msr_id]],tblMeasure[msr_id],tblMeasure[msr_min_geo_resolution])</f>
        <v>UK</v>
      </c>
      <c r="L1191" s="22" t="str">
        <f>_xlfn.XLOOKUP(tblRequirementMeasureXref[[#This Row],[msr_id]],tblMeasure[msr_id],tblMeasure[src_name])</f>
        <v>Family Resources Survey</v>
      </c>
    </row>
    <row r="1192" spans="1:12" x14ac:dyDescent="0.15">
      <c r="A1192" s="1" t="str">
        <f>_xlfn.XLOOKUP(tblRequirementMeasureXref[[#This Row],[dm_id]],tblDataRequirement[dm_id],tblDataRequirement[domain_sub_requirement])</f>
        <v>Unpaid Carers:Demographics:Gender</v>
      </c>
      <c r="B1192" s="1" t="str">
        <f>_xlfn.XLOOKUP(tblRequirementMeasureXref[[#This Row],[dm_id]],tblDataRequirement[dm_id],tblDataRequirement[dm_phase])</f>
        <v>supply</v>
      </c>
      <c r="C1192" s="1">
        <v>82</v>
      </c>
      <c r="D1192" s="1">
        <v>310</v>
      </c>
      <c r="G1192" s="1"/>
      <c r="H1192" s="61" t="str">
        <f>_xlfn.XLOOKUP(tblRequirementMeasureXref[[#This Row],[msr_id]],tblMeasure[msr_id],tblMeasure[msr_table])</f>
        <v>Table 5.3</v>
      </c>
      <c r="I1192" s="22" t="str">
        <f>_xlfn.XLOOKUP(tblRequirementMeasureXref[[#This Row],[msr_id]],tblMeasure[msr_id],tblMeasure[msr_name])</f>
        <v>Adult informal carers by gender, age and number of hours per week providing care, 2017/18, United Kingdom</v>
      </c>
      <c r="J1192" s="22" t="str">
        <f>_xlfn.XLOOKUP(tblRequirementMeasureXref[[#This Row],[msr_id]],tblMeasure[msr_id],tblMeasure[primary_dimensions])</f>
        <v>adult informal carers, carer gender, carer age, hours worked</v>
      </c>
      <c r="K1192" s="22" t="str">
        <f>_xlfn.XLOOKUP(tblRequirementMeasureXref[[#This Row],[msr_id]],tblMeasure[msr_id],tblMeasure[msr_min_geo_resolution])</f>
        <v>UK</v>
      </c>
      <c r="L1192" s="22" t="str">
        <f>_xlfn.XLOOKUP(tblRequirementMeasureXref[[#This Row],[msr_id]],tblMeasure[msr_id],tblMeasure[src_name])</f>
        <v>Family Resources Survey</v>
      </c>
    </row>
    <row r="1193" spans="1:12" x14ac:dyDescent="0.15">
      <c r="A1193" s="1" t="str">
        <f>_xlfn.XLOOKUP(tblRequirementMeasureXref[[#This Row],[dm_id]],tblDataRequirement[dm_id],tblDataRequirement[domain_sub_requirement])</f>
        <v>Unpaid Carers:Workforce:Workforce</v>
      </c>
      <c r="B1193" s="1" t="str">
        <f>_xlfn.XLOOKUP(tblRequirementMeasureXref[[#This Row],[dm_id]],tblDataRequirement[dm_id],tblDataRequirement[dm_phase])</f>
        <v>supply</v>
      </c>
      <c r="C1193" s="1">
        <v>19</v>
      </c>
      <c r="D1193" s="1">
        <v>311</v>
      </c>
      <c r="G1193" s="1"/>
      <c r="H1193" s="61" t="str">
        <f>_xlfn.XLOOKUP(tblRequirementMeasureXref[[#This Row],[msr_id]],tblMeasure[msr_id],tblMeasure[msr_table])</f>
        <v>Table 5.4</v>
      </c>
      <c r="I1193" s="22" t="str">
        <f>_xlfn.XLOOKUP(tblRequirementMeasureXref[[#This Row],[msr_id]],tblMeasure[msr_id],tblMeasure[msr_name])</f>
        <v>Adult informal carers by employment status and gender, 2017/18, United Kingdom</v>
      </c>
      <c r="J1193" s="22" t="str">
        <f>_xlfn.XLOOKUP(tblRequirementMeasureXref[[#This Row],[msr_id]],tblMeasure[msr_id],tblMeasure[primary_dimensions])</f>
        <v>adult informal carers, carer gender, employment status</v>
      </c>
      <c r="K1193" s="22" t="str">
        <f>_xlfn.XLOOKUP(tblRequirementMeasureXref[[#This Row],[msr_id]],tblMeasure[msr_id],tblMeasure[msr_min_geo_resolution])</f>
        <v>UK</v>
      </c>
      <c r="L1193" s="22" t="str">
        <f>_xlfn.XLOOKUP(tblRequirementMeasureXref[[#This Row],[msr_id]],tblMeasure[msr_id],tblMeasure[src_name])</f>
        <v>Family Resources Survey</v>
      </c>
    </row>
    <row r="1194" spans="1:12" x14ac:dyDescent="0.15">
      <c r="A1194" s="1" t="str">
        <f>_xlfn.XLOOKUP(tblRequirementMeasureXref[[#This Row],[dm_id]],tblDataRequirement[dm_id],tblDataRequirement[domain_sub_requirement])</f>
        <v>Unpaid Carers:Demographics:Gender</v>
      </c>
      <c r="B1194" s="1" t="str">
        <f>_xlfn.XLOOKUP(tblRequirementMeasureXref[[#This Row],[dm_id]],tblDataRequirement[dm_id],tblDataRequirement[dm_phase])</f>
        <v>supply</v>
      </c>
      <c r="C1194" s="1">
        <v>82</v>
      </c>
      <c r="D1194" s="1">
        <v>311</v>
      </c>
      <c r="G1194" s="1"/>
      <c r="H1194" s="61" t="str">
        <f>_xlfn.XLOOKUP(tblRequirementMeasureXref[[#This Row],[msr_id]],tblMeasure[msr_id],tblMeasure[msr_table])</f>
        <v>Table 5.4</v>
      </c>
      <c r="I1194" s="22" t="str">
        <f>_xlfn.XLOOKUP(tblRequirementMeasureXref[[#This Row],[msr_id]],tblMeasure[msr_id],tblMeasure[msr_name])</f>
        <v>Adult informal carers by employment status and gender, 2017/18, United Kingdom</v>
      </c>
      <c r="J1194" s="22" t="str">
        <f>_xlfn.XLOOKUP(tblRequirementMeasureXref[[#This Row],[msr_id]],tblMeasure[msr_id],tblMeasure[primary_dimensions])</f>
        <v>adult informal carers, carer gender, employment status</v>
      </c>
      <c r="K1194" s="22" t="str">
        <f>_xlfn.XLOOKUP(tblRequirementMeasureXref[[#This Row],[msr_id]],tblMeasure[msr_id],tblMeasure[msr_min_geo_resolution])</f>
        <v>UK</v>
      </c>
      <c r="L1194" s="22" t="str">
        <f>_xlfn.XLOOKUP(tblRequirementMeasureXref[[#This Row],[msr_id]],tblMeasure[msr_id],tblMeasure[src_name])</f>
        <v>Family Resources Survey</v>
      </c>
    </row>
    <row r="1195" spans="1:12" x14ac:dyDescent="0.15">
      <c r="A1195" s="1" t="str">
        <f>_xlfn.XLOOKUP(tblRequirementMeasureXref[[#This Row],[dm_id]],tblDataRequirement[dm_id],tblDataRequirement[domain_sub_requirement])</f>
        <v>Unpaid Carers:Quality of life:Employment/Income</v>
      </c>
      <c r="B1195" s="1" t="str">
        <f>_xlfn.XLOOKUP(tblRequirementMeasureXref[[#This Row],[dm_id]],tblDataRequirement[dm_id],tblDataRequirement[dm_phase])</f>
        <v>outcome</v>
      </c>
      <c r="C1195" s="1">
        <v>88</v>
      </c>
      <c r="D1195" s="1">
        <v>311</v>
      </c>
      <c r="G1195" s="1"/>
      <c r="H1195" s="61" t="str">
        <f>_xlfn.XLOOKUP(tblRequirementMeasureXref[[#This Row],[msr_id]],tblMeasure[msr_id],tblMeasure[msr_table])</f>
        <v>Table 5.4</v>
      </c>
      <c r="I1195" s="22" t="str">
        <f>_xlfn.XLOOKUP(tblRequirementMeasureXref[[#This Row],[msr_id]],tblMeasure[msr_id],tblMeasure[msr_name])</f>
        <v>Adult informal carers by employment status and gender, 2017/18, United Kingdom</v>
      </c>
      <c r="J1195" s="22" t="str">
        <f>_xlfn.XLOOKUP(tblRequirementMeasureXref[[#This Row],[msr_id]],tblMeasure[msr_id],tblMeasure[primary_dimensions])</f>
        <v>adult informal carers, carer gender, employment status</v>
      </c>
      <c r="K1195" s="22" t="str">
        <f>_xlfn.XLOOKUP(tblRequirementMeasureXref[[#This Row],[msr_id]],tblMeasure[msr_id],tblMeasure[msr_min_geo_resolution])</f>
        <v>UK</v>
      </c>
      <c r="L1195" s="22" t="str">
        <f>_xlfn.XLOOKUP(tblRequirementMeasureXref[[#This Row],[msr_id]],tblMeasure[msr_id],tblMeasure[src_name])</f>
        <v>Family Resources Survey</v>
      </c>
    </row>
    <row r="1196" spans="1:12" x14ac:dyDescent="0.15">
      <c r="A1196" s="1" t="str">
        <f>_xlfn.XLOOKUP(tblRequirementMeasureXref[[#This Row],[dm_id]],tblDataRequirement[dm_id],tblDataRequirement[domain_sub_requirement])</f>
        <v>Unpaid Carers:Workforce:Workforce</v>
      </c>
      <c r="B1196" s="1" t="str">
        <f>_xlfn.XLOOKUP(tblRequirementMeasureXref[[#This Row],[dm_id]],tblDataRequirement[dm_id],tblDataRequirement[dm_phase])</f>
        <v>supply</v>
      </c>
      <c r="C1196" s="1">
        <v>19</v>
      </c>
      <c r="D1196" s="1">
        <v>312</v>
      </c>
      <c r="G1196" s="1"/>
      <c r="H1196" s="61" t="str">
        <f>_xlfn.XLOOKUP(tblRequirementMeasureXref[[#This Row],[msr_id]],tblMeasure[msr_id],tblMeasure[msr_table])</f>
        <v>Table 5.5</v>
      </c>
      <c r="I1196" s="22" t="str">
        <f>_xlfn.XLOOKUP(tblRequirementMeasureXref[[#This Row],[msr_id]],tblMeasure[msr_id],tblMeasure[msr_name])</f>
        <v>Adult informal carers by main source of total weekly household income, hours caring and gender, 2017/18, United Kingdom</v>
      </c>
      <c r="J1196" s="22" t="str">
        <f>_xlfn.XLOOKUP(tblRequirementMeasureXref[[#This Row],[msr_id]],tblMeasure[msr_id],tblMeasure[primary_dimensions])</f>
        <v>adult informal carers, carer gender, employment status, source of income</v>
      </c>
      <c r="K1196" s="22" t="str">
        <f>_xlfn.XLOOKUP(tblRequirementMeasureXref[[#This Row],[msr_id]],tblMeasure[msr_id],tblMeasure[msr_min_geo_resolution])</f>
        <v>UK</v>
      </c>
      <c r="L1196" s="22" t="str">
        <f>_xlfn.XLOOKUP(tblRequirementMeasureXref[[#This Row],[msr_id]],tblMeasure[msr_id],tblMeasure[src_name])</f>
        <v>Family Resources Survey</v>
      </c>
    </row>
    <row r="1197" spans="1:12" x14ac:dyDescent="0.15">
      <c r="A1197" s="1" t="str">
        <f>_xlfn.XLOOKUP(tblRequirementMeasureXref[[#This Row],[dm_id]],tblDataRequirement[dm_id],tblDataRequirement[domain_sub_requirement])</f>
        <v>Unpaid Carers:Demographics:Age</v>
      </c>
      <c r="B1197" s="1" t="str">
        <f>_xlfn.XLOOKUP(tblRequirementMeasureXref[[#This Row],[dm_id]],tblDataRequirement[dm_id],tblDataRequirement[dm_phase])</f>
        <v>supply</v>
      </c>
      <c r="C1197" s="1">
        <v>81</v>
      </c>
      <c r="D1197" s="1">
        <v>312</v>
      </c>
      <c r="G1197" s="1"/>
      <c r="H1197" s="61" t="str">
        <f>_xlfn.XLOOKUP(tblRequirementMeasureXref[[#This Row],[msr_id]],tblMeasure[msr_id],tblMeasure[msr_table])</f>
        <v>Table 5.5</v>
      </c>
      <c r="I1197" s="22" t="str">
        <f>_xlfn.XLOOKUP(tblRequirementMeasureXref[[#This Row],[msr_id]],tblMeasure[msr_id],tblMeasure[msr_name])</f>
        <v>Adult informal carers by main source of total weekly household income, hours caring and gender, 2017/18, United Kingdom</v>
      </c>
      <c r="J1197" s="22" t="str">
        <f>_xlfn.XLOOKUP(tblRequirementMeasureXref[[#This Row],[msr_id]],tblMeasure[msr_id],tblMeasure[primary_dimensions])</f>
        <v>adult informal carers, carer gender, employment status, source of income</v>
      </c>
      <c r="K1197" s="22" t="str">
        <f>_xlfn.XLOOKUP(tblRequirementMeasureXref[[#This Row],[msr_id]],tblMeasure[msr_id],tblMeasure[msr_min_geo_resolution])</f>
        <v>UK</v>
      </c>
      <c r="L1197" s="22" t="str">
        <f>_xlfn.XLOOKUP(tblRequirementMeasureXref[[#This Row],[msr_id]],tblMeasure[msr_id],tblMeasure[src_name])</f>
        <v>Family Resources Survey</v>
      </c>
    </row>
    <row r="1198" spans="1:12" x14ac:dyDescent="0.15">
      <c r="A1198" s="1" t="str">
        <f>_xlfn.XLOOKUP(tblRequirementMeasureXref[[#This Row],[dm_id]],tblDataRequirement[dm_id],tblDataRequirement[domain_sub_requirement])</f>
        <v>Unpaid Carers:Quality of life:Employment/Income</v>
      </c>
      <c r="B1198" s="1" t="str">
        <f>_xlfn.XLOOKUP(tblRequirementMeasureXref[[#This Row],[dm_id]],tblDataRequirement[dm_id],tblDataRequirement[dm_phase])</f>
        <v>outcome</v>
      </c>
      <c r="C1198" s="1">
        <v>88</v>
      </c>
      <c r="D1198" s="1">
        <v>312</v>
      </c>
      <c r="G1198" s="1"/>
      <c r="H1198" s="61" t="str">
        <f>_xlfn.XLOOKUP(tblRequirementMeasureXref[[#This Row],[msr_id]],tblMeasure[msr_id],tblMeasure[msr_table])</f>
        <v>Table 5.5</v>
      </c>
      <c r="I1198" s="22" t="str">
        <f>_xlfn.XLOOKUP(tblRequirementMeasureXref[[#This Row],[msr_id]],tblMeasure[msr_id],tblMeasure[msr_name])</f>
        <v>Adult informal carers by main source of total weekly household income, hours caring and gender, 2017/18, United Kingdom</v>
      </c>
      <c r="J1198" s="22" t="str">
        <f>_xlfn.XLOOKUP(tblRequirementMeasureXref[[#This Row],[msr_id]],tblMeasure[msr_id],tblMeasure[primary_dimensions])</f>
        <v>adult informal carers, carer gender, employment status, source of income</v>
      </c>
      <c r="K1198" s="22" t="str">
        <f>_xlfn.XLOOKUP(tblRequirementMeasureXref[[#This Row],[msr_id]],tblMeasure[msr_id],tblMeasure[msr_min_geo_resolution])</f>
        <v>UK</v>
      </c>
      <c r="L1198" s="22" t="str">
        <f>_xlfn.XLOOKUP(tblRequirementMeasureXref[[#This Row],[msr_id]],tblMeasure[msr_id],tblMeasure[src_name])</f>
        <v>Family Resources Survey</v>
      </c>
    </row>
    <row r="1199" spans="1:12" x14ac:dyDescent="0.15">
      <c r="A1199" s="1" t="str">
        <f>_xlfn.XLOOKUP(tblRequirementMeasureXref[[#This Row],[dm_id]],tblDataRequirement[dm_id],tblDataRequirement[domain_sub_requirement])</f>
        <v>Unpaid Carers:Experience:Workload</v>
      </c>
      <c r="B1199" s="1" t="str">
        <f>_xlfn.XLOOKUP(tblRequirementMeasureXref[[#This Row],[dm_id]],tblDataRequirement[dm_id],tblDataRequirement[dm_phase])</f>
        <v>demand</v>
      </c>
      <c r="C1199" s="1">
        <v>86</v>
      </c>
      <c r="D1199" s="1">
        <v>312</v>
      </c>
      <c r="G1199" s="1"/>
      <c r="H1199" s="61" t="str">
        <f>_xlfn.XLOOKUP(tblRequirementMeasureXref[[#This Row],[msr_id]],tblMeasure[msr_id],tblMeasure[msr_table])</f>
        <v>Table 5.5</v>
      </c>
      <c r="I1199" s="1" t="str">
        <f>_xlfn.XLOOKUP(tblRequirementMeasureXref[[#This Row],[msr_id]],tblMeasure[msr_id],tblMeasure[msr_name])</f>
        <v>Adult informal carers by main source of total weekly household income, hours caring and gender, 2017/18, United Kingdom</v>
      </c>
      <c r="J1199" s="1" t="str">
        <f>_xlfn.XLOOKUP(tblRequirementMeasureXref[[#This Row],[msr_id]],tblMeasure[msr_id],tblMeasure[primary_dimensions])</f>
        <v>adult informal carers, carer gender, employment status, source of income</v>
      </c>
      <c r="K1199" s="1" t="str">
        <f>_xlfn.XLOOKUP(tblRequirementMeasureXref[[#This Row],[msr_id]],tblMeasure[msr_id],tblMeasure[msr_min_geo_resolution])</f>
        <v>UK</v>
      </c>
      <c r="L1199" s="1" t="str">
        <f>_xlfn.XLOOKUP(tblRequirementMeasureXref[[#This Row],[msr_id]],tblMeasure[msr_id],tblMeasure[src_name])</f>
        <v>Family Resources Survey</v>
      </c>
    </row>
    <row r="1200" spans="1:12" x14ac:dyDescent="0.15">
      <c r="A1200" s="1" t="str">
        <f>_xlfn.XLOOKUP(tblRequirementMeasureXref[[#This Row],[dm_id]],tblDataRequirement[dm_id],tblDataRequirement[domain_sub_requirement])</f>
        <v>Unpaid Carers:Workforce:Workforce</v>
      </c>
      <c r="B1200" s="1" t="str">
        <f>_xlfn.XLOOKUP(tblRequirementMeasureXref[[#This Row],[dm_id]],tblDataRequirement[dm_id],tblDataRequirement[dm_phase])</f>
        <v>supply</v>
      </c>
      <c r="C1200" s="1">
        <v>19</v>
      </c>
      <c r="D1200" s="1">
        <v>313</v>
      </c>
      <c r="G1200" s="1"/>
      <c r="H1200" s="61" t="str">
        <f>_xlfn.XLOOKUP(tblRequirementMeasureXref[[#This Row],[msr_id]],tblMeasure[msr_id],tblMeasure[msr_table])</f>
        <v>Table 5.6</v>
      </c>
      <c r="I1200" s="22" t="str">
        <f>_xlfn.XLOOKUP(tblRequirementMeasureXref[[#This Row],[msr_id]],tblMeasure[msr_id],tblMeasure[msr_name])</f>
        <v>Adult informal carers by gender, age and net weekly income, 2017/18, United Kingdom</v>
      </c>
      <c r="J1200" s="22" t="str">
        <f>_xlfn.XLOOKUP(tblRequirementMeasureXref[[#This Row],[msr_id]],tblMeasure[msr_id],tblMeasure[primary_dimensions])</f>
        <v>adult informal carers, carer gender, carer age, employment status, source of income</v>
      </c>
      <c r="K1200" s="22" t="str">
        <f>_xlfn.XLOOKUP(tblRequirementMeasureXref[[#This Row],[msr_id]],tblMeasure[msr_id],tblMeasure[msr_min_geo_resolution])</f>
        <v>UK</v>
      </c>
      <c r="L1200" s="22" t="str">
        <f>_xlfn.XLOOKUP(tblRequirementMeasureXref[[#This Row],[msr_id]],tblMeasure[msr_id],tblMeasure[src_name])</f>
        <v>Family Resources Survey</v>
      </c>
    </row>
    <row r="1201" spans="1:12" x14ac:dyDescent="0.15">
      <c r="A1201" s="1" t="str">
        <f>_xlfn.XLOOKUP(tblRequirementMeasureXref[[#This Row],[dm_id]],tblDataRequirement[dm_id],tblDataRequirement[domain_sub_requirement])</f>
        <v>Unpaid Carers:Demographics:Age</v>
      </c>
      <c r="B1201" s="1" t="str">
        <f>_xlfn.XLOOKUP(tblRequirementMeasureXref[[#This Row],[dm_id]],tblDataRequirement[dm_id],tblDataRequirement[dm_phase])</f>
        <v>supply</v>
      </c>
      <c r="C1201" s="1">
        <v>81</v>
      </c>
      <c r="D1201" s="1">
        <v>313</v>
      </c>
      <c r="G1201" s="1"/>
      <c r="H1201" s="61" t="str">
        <f>_xlfn.XLOOKUP(tblRequirementMeasureXref[[#This Row],[msr_id]],tblMeasure[msr_id],tblMeasure[msr_table])</f>
        <v>Table 5.6</v>
      </c>
      <c r="I1201" s="22" t="str">
        <f>_xlfn.XLOOKUP(tblRequirementMeasureXref[[#This Row],[msr_id]],tblMeasure[msr_id],tblMeasure[msr_name])</f>
        <v>Adult informal carers by gender, age and net weekly income, 2017/18, United Kingdom</v>
      </c>
      <c r="J1201" s="22" t="str">
        <f>_xlfn.XLOOKUP(tblRequirementMeasureXref[[#This Row],[msr_id]],tblMeasure[msr_id],tblMeasure[primary_dimensions])</f>
        <v>adult informal carers, carer gender, carer age, employment status, source of income</v>
      </c>
      <c r="K1201" s="22" t="str">
        <f>_xlfn.XLOOKUP(tblRequirementMeasureXref[[#This Row],[msr_id]],tblMeasure[msr_id],tblMeasure[msr_min_geo_resolution])</f>
        <v>UK</v>
      </c>
      <c r="L1201" s="22" t="str">
        <f>_xlfn.XLOOKUP(tblRequirementMeasureXref[[#This Row],[msr_id]],tblMeasure[msr_id],tblMeasure[src_name])</f>
        <v>Family Resources Survey</v>
      </c>
    </row>
    <row r="1202" spans="1:12" x14ac:dyDescent="0.15">
      <c r="A1202" s="1" t="str">
        <f>_xlfn.XLOOKUP(tblRequirementMeasureXref[[#This Row],[dm_id]],tblDataRequirement[dm_id],tblDataRequirement[domain_sub_requirement])</f>
        <v>Unpaid Carers:Demographics:Gender</v>
      </c>
      <c r="B1202" s="1" t="str">
        <f>_xlfn.XLOOKUP(tblRequirementMeasureXref[[#This Row],[dm_id]],tblDataRequirement[dm_id],tblDataRequirement[dm_phase])</f>
        <v>supply</v>
      </c>
      <c r="C1202" s="1">
        <v>82</v>
      </c>
      <c r="D1202" s="1">
        <v>313</v>
      </c>
      <c r="G1202" s="1"/>
      <c r="H1202" s="62" t="str">
        <f>_xlfn.XLOOKUP(tblRequirementMeasureXref[[#This Row],[msr_id]],tblMeasure[msr_id],tblMeasure[msr_table])</f>
        <v>Table 5.6</v>
      </c>
      <c r="I1202" s="22" t="str">
        <f>_xlfn.XLOOKUP(tblRequirementMeasureXref[[#This Row],[msr_id]],tblMeasure[msr_id],tblMeasure[msr_name])</f>
        <v>Adult informal carers by gender, age and net weekly income, 2017/18, United Kingdom</v>
      </c>
      <c r="J1202" s="22" t="str">
        <f>_xlfn.XLOOKUP(tblRequirementMeasureXref[[#This Row],[msr_id]],tblMeasure[msr_id],tblMeasure[primary_dimensions])</f>
        <v>adult informal carers, carer gender, carer age, employment status, source of income</v>
      </c>
      <c r="K1202" s="22" t="str">
        <f>_xlfn.XLOOKUP(tblRequirementMeasureXref[[#This Row],[msr_id]],tblMeasure[msr_id],tblMeasure[msr_min_geo_resolution])</f>
        <v>UK</v>
      </c>
      <c r="L1202" s="22" t="str">
        <f>_xlfn.XLOOKUP(tblRequirementMeasureXref[[#This Row],[msr_id]],tblMeasure[msr_id],tblMeasure[src_name])</f>
        <v>Family Resources Survey</v>
      </c>
    </row>
    <row r="1203" spans="1:12" x14ac:dyDescent="0.15">
      <c r="A1203" s="1" t="str">
        <f>_xlfn.XLOOKUP(tblRequirementMeasureXref[[#This Row],[dm_id]],tblDataRequirement[dm_id],tblDataRequirement[domain_sub_requirement])</f>
        <v>Unpaid Carers:Quality of life:Employment/Income</v>
      </c>
      <c r="B1203" s="1" t="str">
        <f>_xlfn.XLOOKUP(tblRequirementMeasureXref[[#This Row],[dm_id]],tblDataRequirement[dm_id],tblDataRequirement[dm_phase])</f>
        <v>outcome</v>
      </c>
      <c r="C1203" s="1">
        <v>88</v>
      </c>
      <c r="D1203" s="1">
        <v>313</v>
      </c>
      <c r="G1203" s="1"/>
      <c r="H1203" s="62" t="str">
        <f>_xlfn.XLOOKUP(tblRequirementMeasureXref[[#This Row],[msr_id]],tblMeasure[msr_id],tblMeasure[msr_table])</f>
        <v>Table 5.6</v>
      </c>
      <c r="I1203" s="22" t="str">
        <f>_xlfn.XLOOKUP(tblRequirementMeasureXref[[#This Row],[msr_id]],tblMeasure[msr_id],tblMeasure[msr_name])</f>
        <v>Adult informal carers by gender, age and net weekly income, 2017/18, United Kingdom</v>
      </c>
      <c r="J1203" s="22" t="str">
        <f>_xlfn.XLOOKUP(tblRequirementMeasureXref[[#This Row],[msr_id]],tblMeasure[msr_id],tblMeasure[primary_dimensions])</f>
        <v>adult informal carers, carer gender, carer age, employment status, source of income</v>
      </c>
      <c r="K1203" s="22" t="str">
        <f>_xlfn.XLOOKUP(tblRequirementMeasureXref[[#This Row],[msr_id]],tblMeasure[msr_id],tblMeasure[msr_min_geo_resolution])</f>
        <v>UK</v>
      </c>
      <c r="L1203" s="22" t="str">
        <f>_xlfn.XLOOKUP(tblRequirementMeasureXref[[#This Row],[msr_id]],tblMeasure[msr_id],tblMeasure[src_name])</f>
        <v>Family Resources Survey</v>
      </c>
    </row>
    <row r="1204" spans="1:12" x14ac:dyDescent="0.15">
      <c r="A1204" s="1" t="str">
        <f>_xlfn.XLOOKUP(tblRequirementMeasureXref[[#This Row],[dm_id]],tblDataRequirement[dm_id],tblDataRequirement[domain_sub_requirement])</f>
        <v>Unpaid Carers:Workforce:Workforce</v>
      </c>
      <c r="B1204" s="1" t="str">
        <f>_xlfn.XLOOKUP(tblRequirementMeasureXref[[#This Row],[dm_id]],tblDataRequirement[dm_id],tblDataRequirement[dm_phase])</f>
        <v>supply</v>
      </c>
      <c r="C1204" s="1">
        <v>19</v>
      </c>
      <c r="D1204" s="1">
        <v>314</v>
      </c>
      <c r="G1204" s="1"/>
      <c r="H1204" s="62" t="str">
        <f>_xlfn.XLOOKUP(tblRequirementMeasureXref[[#This Row],[msr_id]],tblMeasure[msr_id],tblMeasure[msr_table])</f>
        <v>Table 5.7</v>
      </c>
      <c r="I1204" s="22" t="str">
        <f>_xlfn.XLOOKUP(tblRequirementMeasureXref[[#This Row],[msr_id]],tblMeasure[msr_id],tblMeasure[msr_name])</f>
        <v xml:space="preserve">Who informal carers care for by gender, 2017/18, United Kingdom </v>
      </c>
      <c r="J1204" s="22" t="str">
        <f>_xlfn.XLOOKUP(tblRequirementMeasureXref[[#This Row],[msr_id]],tblMeasure[msr_id],tblMeasure[primary_dimensions])</f>
        <v>who cared for by informal carer, carer gender</v>
      </c>
      <c r="K1204" s="22" t="str">
        <f>_xlfn.XLOOKUP(tblRequirementMeasureXref[[#This Row],[msr_id]],tblMeasure[msr_id],tblMeasure[msr_min_geo_resolution])</f>
        <v>UK</v>
      </c>
      <c r="L1204" s="22" t="str">
        <f>_xlfn.XLOOKUP(tblRequirementMeasureXref[[#This Row],[msr_id]],tblMeasure[msr_id],tblMeasure[src_name])</f>
        <v>Family Resources Survey</v>
      </c>
    </row>
    <row r="1205" spans="1:12" x14ac:dyDescent="0.15">
      <c r="A1205" s="1" t="str">
        <f>_xlfn.XLOOKUP(tblRequirementMeasureXref[[#This Row],[dm_id]],tblDataRequirement[dm_id],tblDataRequirement[domain_sub_requirement])</f>
        <v>Users:Context:Family/Household structure</v>
      </c>
      <c r="B1205" s="1" t="str">
        <f>_xlfn.XLOOKUP(tblRequirementMeasureXref[[#This Row],[dm_id]],tblDataRequirement[dm_id],tblDataRequirement[dm_phase])</f>
        <v>demand</v>
      </c>
      <c r="C1205" s="1">
        <v>63</v>
      </c>
      <c r="D1205" s="1">
        <v>314</v>
      </c>
      <c r="G1205" s="1"/>
      <c r="H1205" s="62" t="str">
        <f>_xlfn.XLOOKUP(tblRequirementMeasureXref[[#This Row],[msr_id]],tblMeasure[msr_id],tblMeasure[msr_table])</f>
        <v>Table 5.7</v>
      </c>
      <c r="I1205" s="22" t="str">
        <f>_xlfn.XLOOKUP(tblRequirementMeasureXref[[#This Row],[msr_id]],tblMeasure[msr_id],tblMeasure[msr_name])</f>
        <v xml:space="preserve">Who informal carers care for by gender, 2017/18, United Kingdom </v>
      </c>
      <c r="J1205" s="22" t="str">
        <f>_xlfn.XLOOKUP(tblRequirementMeasureXref[[#This Row],[msr_id]],tblMeasure[msr_id],tblMeasure[primary_dimensions])</f>
        <v>who cared for by informal carer, carer gender</v>
      </c>
      <c r="K1205" s="22" t="str">
        <f>_xlfn.XLOOKUP(tblRequirementMeasureXref[[#This Row],[msr_id]],tblMeasure[msr_id],tblMeasure[msr_min_geo_resolution])</f>
        <v>UK</v>
      </c>
      <c r="L1205" s="22" t="str">
        <f>_xlfn.XLOOKUP(tblRequirementMeasureXref[[#This Row],[msr_id]],tblMeasure[msr_id],tblMeasure[src_name])</f>
        <v>Family Resources Survey</v>
      </c>
    </row>
    <row r="1206" spans="1:12" x14ac:dyDescent="0.15">
      <c r="A1206" s="1" t="str">
        <f>_xlfn.XLOOKUP(tblRequirementMeasureXref[[#This Row],[dm_id]],tblDataRequirement[dm_id],tblDataRequirement[domain_sub_requirement])</f>
        <v>Service:Support setting:Home</v>
      </c>
      <c r="B1206" s="1" t="str">
        <f>_xlfn.XLOOKUP(tblRequirementMeasureXref[[#This Row],[dm_id]],tblDataRequirement[dm_id],tblDataRequirement[dm_phase])</f>
        <v>operate</v>
      </c>
      <c r="C1206" s="1">
        <v>40</v>
      </c>
      <c r="D1206" s="1">
        <v>314</v>
      </c>
      <c r="G1206" s="1"/>
      <c r="H1206" s="62" t="str">
        <f>_xlfn.XLOOKUP(tblRequirementMeasureXref[[#This Row],[msr_id]],tblMeasure[msr_id],tblMeasure[msr_table])</f>
        <v>Table 5.7</v>
      </c>
      <c r="I1206" s="22" t="str">
        <f>_xlfn.XLOOKUP(tblRequirementMeasureXref[[#This Row],[msr_id]],tblMeasure[msr_id],tblMeasure[msr_name])</f>
        <v xml:space="preserve">Who informal carers care for by gender, 2017/18, United Kingdom </v>
      </c>
      <c r="J1206" s="22" t="str">
        <f>_xlfn.XLOOKUP(tblRequirementMeasureXref[[#This Row],[msr_id]],tblMeasure[msr_id],tblMeasure[primary_dimensions])</f>
        <v>who cared for by informal carer, carer gender</v>
      </c>
      <c r="K1206" s="22" t="str">
        <f>_xlfn.XLOOKUP(tblRequirementMeasureXref[[#This Row],[msr_id]],tblMeasure[msr_id],tblMeasure[msr_min_geo_resolution])</f>
        <v>UK</v>
      </c>
      <c r="L1206" s="22" t="str">
        <f>_xlfn.XLOOKUP(tblRequirementMeasureXref[[#This Row],[msr_id]],tblMeasure[msr_id],tblMeasure[src_name])</f>
        <v>Family Resources Survey</v>
      </c>
    </row>
    <row r="1207" spans="1:12" x14ac:dyDescent="0.15">
      <c r="A1207" s="1" t="str">
        <f>_xlfn.XLOOKUP(tblRequirementMeasureXref[[#This Row],[dm_id]],tblDataRequirement[dm_id],tblDataRequirement[domain_sub_requirement])</f>
        <v>Users:Demographics:Age</v>
      </c>
      <c r="B1207" s="1" t="str">
        <f>_xlfn.XLOOKUP(tblRequirementMeasureXref[[#This Row],[dm_id]],tblDataRequirement[dm_id],tblDataRequirement[dm_phase])</f>
        <v>demand</v>
      </c>
      <c r="C1207" s="1">
        <v>51</v>
      </c>
      <c r="D1207" s="1">
        <v>315</v>
      </c>
      <c r="G1207" s="1"/>
      <c r="H1207" s="62" t="str">
        <f>_xlfn.XLOOKUP(tblRequirementMeasureXref[[#This Row],[msr_id]],tblMeasure[msr_id],tblMeasure[msr_table])</f>
        <v>Table 5.8</v>
      </c>
      <c r="I1207" s="22" t="str">
        <f>_xlfn.XLOOKUP(tblRequirementMeasureXref[[#This Row],[msr_id]],tblMeasure[msr_id],tblMeasure[msr_name])</f>
        <v>Percentage of people receiving care by age and gender, 2017/18, United Kingdom</v>
      </c>
      <c r="J1207" s="22" t="str">
        <f>_xlfn.XLOOKUP(tblRequirementMeasureXref[[#This Row],[msr_id]],tblMeasure[msr_id],tblMeasure[primary_dimensions])</f>
        <v>people receiving care</v>
      </c>
      <c r="K1207" s="22" t="str">
        <f>_xlfn.XLOOKUP(tblRequirementMeasureXref[[#This Row],[msr_id]],tblMeasure[msr_id],tblMeasure[msr_min_geo_resolution])</f>
        <v>UK</v>
      </c>
      <c r="L1207" s="22" t="str">
        <f>_xlfn.XLOOKUP(tblRequirementMeasureXref[[#This Row],[msr_id]],tblMeasure[msr_id],tblMeasure[src_name])</f>
        <v>Family Resources Survey</v>
      </c>
    </row>
    <row r="1208" spans="1:12" x14ac:dyDescent="0.15">
      <c r="A1208" s="1" t="str">
        <f>_xlfn.XLOOKUP(tblRequirementMeasureXref[[#This Row],[dm_id]],tblDataRequirement[dm_id],tblDataRequirement[domain_sub_requirement])</f>
        <v>Users:Demographics:Gender</v>
      </c>
      <c r="B1208" s="1" t="str">
        <f>_xlfn.XLOOKUP(tblRequirementMeasureXref[[#This Row],[dm_id]],tblDataRequirement[dm_id],tblDataRequirement[dm_phase])</f>
        <v>demand</v>
      </c>
      <c r="C1208" s="1">
        <v>62</v>
      </c>
      <c r="D1208" s="1">
        <v>315</v>
      </c>
      <c r="G1208" s="1"/>
      <c r="H1208" s="62" t="str">
        <f>_xlfn.XLOOKUP(tblRequirementMeasureXref[[#This Row],[msr_id]],tblMeasure[msr_id],tblMeasure[msr_table])</f>
        <v>Table 5.8</v>
      </c>
      <c r="I1208" s="22" t="str">
        <f>_xlfn.XLOOKUP(tblRequirementMeasureXref[[#This Row],[msr_id]],tblMeasure[msr_id],tblMeasure[msr_name])</f>
        <v>Percentage of people receiving care by age and gender, 2017/18, United Kingdom</v>
      </c>
      <c r="J1208" s="22" t="str">
        <f>_xlfn.XLOOKUP(tblRequirementMeasureXref[[#This Row],[msr_id]],tblMeasure[msr_id],tblMeasure[primary_dimensions])</f>
        <v>people receiving care</v>
      </c>
      <c r="K1208" s="22" t="str">
        <f>_xlfn.XLOOKUP(tblRequirementMeasureXref[[#This Row],[msr_id]],tblMeasure[msr_id],tblMeasure[msr_min_geo_resolution])</f>
        <v>UK</v>
      </c>
      <c r="L1208" s="22" t="str">
        <f>_xlfn.XLOOKUP(tblRequirementMeasureXref[[#This Row],[msr_id]],tblMeasure[msr_id],tblMeasure[src_name])</f>
        <v>Family Resources Survey</v>
      </c>
    </row>
    <row r="1209" spans="1:12" x14ac:dyDescent="0.15">
      <c r="A1209" s="1" t="str">
        <f>_xlfn.XLOOKUP(tblRequirementMeasureXref[[#This Row],[dm_id]],tblDataRequirement[dm_id],tblDataRequirement[domain_sub_requirement])</f>
        <v>Users:Demographics:Age</v>
      </c>
      <c r="B1209" s="1" t="str">
        <f>_xlfn.XLOOKUP(tblRequirementMeasureXref[[#This Row],[dm_id]],tblDataRequirement[dm_id],tblDataRequirement[dm_phase])</f>
        <v>demand</v>
      </c>
      <c r="C1209" s="1">
        <v>51</v>
      </c>
      <c r="D1209" s="1">
        <v>316</v>
      </c>
      <c r="G1209" s="1"/>
      <c r="H1209" s="62" t="str">
        <f>_xlfn.XLOOKUP(tblRequirementMeasureXref[[#This Row],[msr_id]],tblMeasure[msr_id],tblMeasure[msr_table])</f>
        <v>Table 5.9</v>
      </c>
      <c r="I1209" s="22" t="str">
        <f>_xlfn.XLOOKUP(tblRequirementMeasureXref[[#This Row],[msr_id]],tblMeasure[msr_id],tblMeasure[msr_name])</f>
        <v>People receiving care at least once a week by age and frequency of care, 2017/18, United Kingdom</v>
      </c>
      <c r="J1209" s="22" t="str">
        <f>_xlfn.XLOOKUP(tblRequirementMeasureXref[[#This Row],[msr_id]],tblMeasure[msr_id],tblMeasure[primary_dimensions])</f>
        <v>people receiving care, frequency of care</v>
      </c>
      <c r="K1209" s="22" t="str">
        <f>_xlfn.XLOOKUP(tblRequirementMeasureXref[[#This Row],[msr_id]],tblMeasure[msr_id],tblMeasure[msr_min_geo_resolution])</f>
        <v>UK</v>
      </c>
      <c r="L1209" s="22" t="str">
        <f>_xlfn.XLOOKUP(tblRequirementMeasureXref[[#This Row],[msr_id]],tblMeasure[msr_id],tblMeasure[src_name])</f>
        <v>Family Resources Survey</v>
      </c>
    </row>
    <row r="1210" spans="1:12" x14ac:dyDescent="0.15">
      <c r="A1210" s="1" t="str">
        <f>_xlfn.XLOOKUP(tblRequirementMeasureXref[[#This Row],[dm_id]],tblDataRequirement[dm_id],tblDataRequirement[domain_sub_requirement])</f>
        <v>Users:Demographics:Gender</v>
      </c>
      <c r="B1210" s="1" t="str">
        <f>_xlfn.XLOOKUP(tblRequirementMeasureXref[[#This Row],[dm_id]],tblDataRequirement[dm_id],tblDataRequirement[dm_phase])</f>
        <v>demand</v>
      </c>
      <c r="C1210" s="1">
        <v>62</v>
      </c>
      <c r="D1210" s="1">
        <v>317</v>
      </c>
      <c r="G1210" s="1"/>
      <c r="H1210" s="62" t="str">
        <f>_xlfn.XLOOKUP(tblRequirementMeasureXref[[#This Row],[msr_id]],tblMeasure[msr_id],tblMeasure[msr_table])</f>
        <v>Table 5.10</v>
      </c>
      <c r="I1210" s="22" t="str">
        <f>_xlfn.XLOOKUP(tblRequirementMeasureXref[[#This Row],[msr_id]],tblMeasure[msr_id],tblMeasure[msr_name])</f>
        <v xml:space="preserve">People receiving care by main source of total weekly household income and gender, 2017/18, United Kingdom </v>
      </c>
      <c r="J1210" s="22" t="str">
        <f>_xlfn.XLOOKUP(tblRequirementMeasureXref[[#This Row],[msr_id]],tblMeasure[msr_id],tblMeasure[primary_dimensions])</f>
        <v>people receiving care, source of income</v>
      </c>
      <c r="K1210" s="22" t="str">
        <f>_xlfn.XLOOKUP(tblRequirementMeasureXref[[#This Row],[msr_id]],tblMeasure[msr_id],tblMeasure[msr_min_geo_resolution])</f>
        <v>UK</v>
      </c>
      <c r="L1210" s="22" t="str">
        <f>_xlfn.XLOOKUP(tblRequirementMeasureXref[[#This Row],[msr_id]],tblMeasure[msr_id],tblMeasure[src_name])</f>
        <v>Family Resources Survey</v>
      </c>
    </row>
    <row r="1211" spans="1:12" x14ac:dyDescent="0.15">
      <c r="A1211" s="1" t="str">
        <f>_xlfn.XLOOKUP(tblRequirementMeasureXref[[#This Row],[dm_id]],tblDataRequirement[dm_id],tblDataRequirement[domain_sub_requirement])</f>
        <v>Users:Income:State support / benefits</v>
      </c>
      <c r="B1211" s="1" t="str">
        <f>_xlfn.XLOOKUP(tblRequirementMeasureXref[[#This Row],[dm_id]],tblDataRequirement[dm_id],tblDataRequirement[dm_phase])</f>
        <v>supply</v>
      </c>
      <c r="C1211" s="1">
        <v>64</v>
      </c>
      <c r="D1211" s="1">
        <v>317</v>
      </c>
      <c r="G1211" s="1"/>
      <c r="H1211" s="62" t="str">
        <f>_xlfn.XLOOKUP(tblRequirementMeasureXref[[#This Row],[msr_id]],tblMeasure[msr_id],tblMeasure[msr_table])</f>
        <v>Table 5.10</v>
      </c>
      <c r="I1211" s="22" t="str">
        <f>_xlfn.XLOOKUP(tblRequirementMeasureXref[[#This Row],[msr_id]],tblMeasure[msr_id],tblMeasure[msr_name])</f>
        <v xml:space="preserve">People receiving care by main source of total weekly household income and gender, 2017/18, United Kingdom </v>
      </c>
      <c r="J1211" s="22" t="str">
        <f>_xlfn.XLOOKUP(tblRequirementMeasureXref[[#This Row],[msr_id]],tblMeasure[msr_id],tblMeasure[primary_dimensions])</f>
        <v>people receiving care, source of income</v>
      </c>
      <c r="K1211" s="22" t="str">
        <f>_xlfn.XLOOKUP(tblRequirementMeasureXref[[#This Row],[msr_id]],tblMeasure[msr_id],tblMeasure[msr_min_geo_resolution])</f>
        <v>UK</v>
      </c>
      <c r="L1211" s="22" t="str">
        <f>_xlfn.XLOOKUP(tblRequirementMeasureXref[[#This Row],[msr_id]],tblMeasure[msr_id],tblMeasure[src_name])</f>
        <v>Family Resources Survey</v>
      </c>
    </row>
    <row r="1212" spans="1:12" x14ac:dyDescent="0.15">
      <c r="A1212" s="1" t="str">
        <f>_xlfn.XLOOKUP(tblRequirementMeasureXref[[#This Row],[dm_id]],tblDataRequirement[dm_id],tblDataRequirement[domain_sub_requirement])</f>
        <v>Unpaid Carers:Income:State support / benefits</v>
      </c>
      <c r="B1212" s="1" t="str">
        <f>_xlfn.XLOOKUP(tblRequirementMeasureXref[[#This Row],[dm_id]],tblDataRequirement[dm_id],tblDataRequirement[dm_phase])</f>
        <v>supply</v>
      </c>
      <c r="C1212" s="1">
        <v>94</v>
      </c>
      <c r="D1212" s="1">
        <v>317</v>
      </c>
      <c r="G1212" s="1"/>
      <c r="H1212" s="62" t="str">
        <f>_xlfn.XLOOKUP(tblRequirementMeasureXref[[#This Row],[msr_id]],tblMeasure[msr_id],tblMeasure[msr_table])</f>
        <v>Table 5.10</v>
      </c>
      <c r="I1212" s="22" t="str">
        <f>_xlfn.XLOOKUP(tblRequirementMeasureXref[[#This Row],[msr_id]],tblMeasure[msr_id],tblMeasure[msr_name])</f>
        <v xml:space="preserve">People receiving care by main source of total weekly household income and gender, 2017/18, United Kingdom </v>
      </c>
      <c r="J1212" s="22" t="str">
        <f>_xlfn.XLOOKUP(tblRequirementMeasureXref[[#This Row],[msr_id]],tblMeasure[msr_id],tblMeasure[primary_dimensions])</f>
        <v>people receiving care, source of income</v>
      </c>
      <c r="K1212" s="22" t="str">
        <f>_xlfn.XLOOKUP(tblRequirementMeasureXref[[#This Row],[msr_id]],tblMeasure[msr_id],tblMeasure[msr_min_geo_resolution])</f>
        <v>UK</v>
      </c>
      <c r="L1212" s="22" t="str">
        <f>_xlfn.XLOOKUP(tblRequirementMeasureXref[[#This Row],[msr_id]],tblMeasure[msr_id],tblMeasure[src_name])</f>
        <v>Family Resources Survey</v>
      </c>
    </row>
    <row r="1213" spans="1:12" x14ac:dyDescent="0.15">
      <c r="A1213" s="1" t="str">
        <f>_xlfn.XLOOKUP(tblRequirementMeasureXref[[#This Row],[dm_id]],tblDataRequirement[dm_id],tblDataRequirement[domain_sub_requirement])</f>
        <v>Unpaid Carers:Demographics:Age</v>
      </c>
      <c r="B1213" s="1" t="str">
        <f>_xlfn.XLOOKUP(tblRequirementMeasureXref[[#This Row],[dm_id]],tblDataRequirement[dm_id],tblDataRequirement[dm_phase])</f>
        <v>supply</v>
      </c>
      <c r="C1213" s="1">
        <v>81</v>
      </c>
      <c r="D1213" s="1">
        <v>318</v>
      </c>
      <c r="G1213" s="1"/>
      <c r="H1213" s="62" t="str">
        <f>_xlfn.XLOOKUP(tblRequirementMeasureXref[[#This Row],[msr_id]],tblMeasure[msr_id],tblMeasure[msr_table])</f>
        <v>Cases in Payment</v>
      </c>
      <c r="I1213" s="22" t="str">
        <f>_xlfn.XLOOKUP(tblRequirementMeasureXref[[#This Row],[msr_id]],tblMeasure[msr_id],tblMeasure[msr_name])</f>
        <v>Number of people in receipt of payment of an allowance, by gender, age, region, LA</v>
      </c>
      <c r="J1213" s="22" t="str">
        <f>_xlfn.XLOOKUP(tblRequirementMeasureXref[[#This Row],[msr_id]],tblMeasure[msr_id],tblMeasure[primary_dimensions])</f>
        <v>carer cases, carer age, carer gender, claim duration, benefit amount</v>
      </c>
      <c r="K1213" s="22" t="str">
        <f>_xlfn.XLOOKUP(tblRequirementMeasureXref[[#This Row],[msr_id]],tblMeasure[msr_id],tblMeasure[msr_min_geo_resolution])</f>
        <v>LA</v>
      </c>
      <c r="L1213" s="22" t="str">
        <f>_xlfn.XLOOKUP(tblRequirementMeasureXref[[#This Row],[msr_id]],tblMeasure[msr_id],tblMeasure[src_name])</f>
        <v>Stat-Xplore</v>
      </c>
    </row>
    <row r="1214" spans="1:12" x14ac:dyDescent="0.15">
      <c r="A1214" s="1" t="str">
        <f>_xlfn.XLOOKUP(tblRequirementMeasureXref[[#This Row],[dm_id]],tblDataRequirement[dm_id],tblDataRequirement[domain_sub_requirement])</f>
        <v>Unpaid Carers:Demographics:Gender</v>
      </c>
      <c r="B1214" s="1" t="str">
        <f>_xlfn.XLOOKUP(tblRequirementMeasureXref[[#This Row],[dm_id]],tblDataRequirement[dm_id],tblDataRequirement[dm_phase])</f>
        <v>supply</v>
      </c>
      <c r="C1214" s="1">
        <v>82</v>
      </c>
      <c r="D1214" s="1">
        <v>318</v>
      </c>
      <c r="G1214" s="1"/>
      <c r="H1214" s="62" t="str">
        <f>_xlfn.XLOOKUP(tblRequirementMeasureXref[[#This Row],[msr_id]],tblMeasure[msr_id],tblMeasure[msr_table])</f>
        <v>Cases in Payment</v>
      </c>
      <c r="I1214" s="22" t="str">
        <f>_xlfn.XLOOKUP(tblRequirementMeasureXref[[#This Row],[msr_id]],tblMeasure[msr_id],tblMeasure[msr_name])</f>
        <v>Number of people in receipt of payment of an allowance, by gender, age, region, LA</v>
      </c>
      <c r="J1214" s="22" t="str">
        <f>_xlfn.XLOOKUP(tblRequirementMeasureXref[[#This Row],[msr_id]],tblMeasure[msr_id],tblMeasure[primary_dimensions])</f>
        <v>carer cases, carer age, carer gender, claim duration, benefit amount</v>
      </c>
      <c r="K1214" s="22" t="str">
        <f>_xlfn.XLOOKUP(tblRequirementMeasureXref[[#This Row],[msr_id]],tblMeasure[msr_id],tblMeasure[msr_min_geo_resolution])</f>
        <v>LA</v>
      </c>
      <c r="L1214" s="22" t="str">
        <f>_xlfn.XLOOKUP(tblRequirementMeasureXref[[#This Row],[msr_id]],tblMeasure[msr_id],tblMeasure[src_name])</f>
        <v>Stat-Xplore</v>
      </c>
    </row>
    <row r="1215" spans="1:12" x14ac:dyDescent="0.15">
      <c r="A1215" s="1" t="str">
        <f>_xlfn.XLOOKUP(tblRequirementMeasureXref[[#This Row],[dm_id]],tblDataRequirement[dm_id],tblDataRequirement[domain_sub_requirement])</f>
        <v>Users:Income:State support / benefits</v>
      </c>
      <c r="B1215" s="1" t="str">
        <f>_xlfn.XLOOKUP(tblRequirementMeasureXref[[#This Row],[dm_id]],tblDataRequirement[dm_id],tblDataRequirement[dm_phase])</f>
        <v>supply</v>
      </c>
      <c r="C1215" s="1">
        <v>64</v>
      </c>
      <c r="D1215" s="1">
        <v>318</v>
      </c>
      <c r="G1215" s="1"/>
      <c r="H1215" s="62" t="str">
        <f>_xlfn.XLOOKUP(tblRequirementMeasureXref[[#This Row],[msr_id]],tblMeasure[msr_id],tblMeasure[msr_table])</f>
        <v>Cases in Payment</v>
      </c>
      <c r="I1215" s="22" t="str">
        <f>_xlfn.XLOOKUP(tblRequirementMeasureXref[[#This Row],[msr_id]],tblMeasure[msr_id],tblMeasure[msr_name])</f>
        <v>Number of people in receipt of payment of an allowance, by gender, age, region, LA</v>
      </c>
      <c r="J1215" s="22" t="str">
        <f>_xlfn.XLOOKUP(tblRequirementMeasureXref[[#This Row],[msr_id]],tblMeasure[msr_id],tblMeasure[primary_dimensions])</f>
        <v>carer cases, carer age, carer gender, claim duration, benefit amount</v>
      </c>
      <c r="K1215" s="22" t="str">
        <f>_xlfn.XLOOKUP(tblRequirementMeasureXref[[#This Row],[msr_id]],tblMeasure[msr_id],tblMeasure[msr_min_geo_resolution])</f>
        <v>LA</v>
      </c>
      <c r="L1215" s="22" t="str">
        <f>_xlfn.XLOOKUP(tblRequirementMeasureXref[[#This Row],[msr_id]],tblMeasure[msr_id],tblMeasure[src_name])</f>
        <v>Stat-Xplore</v>
      </c>
    </row>
    <row r="1216" spans="1:12" x14ac:dyDescent="0.15">
      <c r="A1216" s="1" t="str">
        <f>_xlfn.XLOOKUP(tblRequirementMeasureXref[[#This Row],[dm_id]],tblDataRequirement[dm_id],tblDataRequirement[domain_sub_requirement])</f>
        <v>Funders:Expenditure:Central government</v>
      </c>
      <c r="B1216" s="1" t="str">
        <f>_xlfn.XLOOKUP(tblRequirementMeasureXref[[#This Row],[dm_id]],tblDataRequirement[dm_id],tblDataRequirement[dm_phase])</f>
        <v>supply</v>
      </c>
      <c r="C1216" s="1">
        <v>4</v>
      </c>
      <c r="D1216" s="1">
        <v>318</v>
      </c>
      <c r="G1216" s="1"/>
      <c r="H1216" s="62" t="str">
        <f>_xlfn.XLOOKUP(tblRequirementMeasureXref[[#This Row],[msr_id]],tblMeasure[msr_id],tblMeasure[msr_table])</f>
        <v>Cases in Payment</v>
      </c>
      <c r="I1216" s="22" t="str">
        <f>_xlfn.XLOOKUP(tblRequirementMeasureXref[[#This Row],[msr_id]],tblMeasure[msr_id],tblMeasure[msr_name])</f>
        <v>Number of people in receipt of payment of an allowance, by gender, age, region, LA</v>
      </c>
      <c r="J1216" s="22" t="str">
        <f>_xlfn.XLOOKUP(tblRequirementMeasureXref[[#This Row],[msr_id]],tblMeasure[msr_id],tblMeasure[primary_dimensions])</f>
        <v>carer cases, carer age, carer gender, claim duration, benefit amount</v>
      </c>
      <c r="K1216" s="22" t="str">
        <f>_xlfn.XLOOKUP(tblRequirementMeasureXref[[#This Row],[msr_id]],tblMeasure[msr_id],tblMeasure[msr_min_geo_resolution])</f>
        <v>LA</v>
      </c>
      <c r="L1216" s="22" t="str">
        <f>_xlfn.XLOOKUP(tblRequirementMeasureXref[[#This Row],[msr_id]],tblMeasure[msr_id],tblMeasure[src_name])</f>
        <v>Stat-Xplore</v>
      </c>
    </row>
    <row r="1217" spans="1:12" x14ac:dyDescent="0.15">
      <c r="A1217" s="1" t="str">
        <f>_xlfn.XLOOKUP(tblRequirementMeasureXref[[#This Row],[dm_id]],tblDataRequirement[dm_id],tblDataRequirement[domain_sub_requirement])</f>
        <v>Unpaid Carers:Workforce:Workforce</v>
      </c>
      <c r="B1217" s="1" t="str">
        <f>_xlfn.XLOOKUP(tblRequirementMeasureXref[[#This Row],[dm_id]],tblDataRequirement[dm_id],tblDataRequirement[dm_phase])</f>
        <v>supply</v>
      </c>
      <c r="C1217" s="1">
        <v>19</v>
      </c>
      <c r="D1217" s="1">
        <v>319</v>
      </c>
      <c r="G1217" s="1"/>
      <c r="H1217" s="62" t="str">
        <f>_xlfn.XLOOKUP(tblRequirementMeasureXref[[#This Row],[msr_id]],tblMeasure[msr_id],tblMeasure[msr_table])</f>
        <v>Cases with Entitlement</v>
      </c>
      <c r="I1217" s="22" t="str">
        <f>_xlfn.XLOOKUP(tblRequirementMeasureXref[[#This Row],[msr_id]],tblMeasure[msr_id],tblMeasure[msr_name])</f>
        <v>Number of people in receipt of an allowance and those with entitlement where the payment has been suspended (e.g. in hospital), by gender, age, region, LA</v>
      </c>
      <c r="J1217" s="22" t="str">
        <f>_xlfn.XLOOKUP(tblRequirementMeasureXref[[#This Row],[msr_id]],tblMeasure[msr_id],tblMeasure[primary_dimensions])</f>
        <v>carer cases, carer age, carer gender, claim duration, benefit amount</v>
      </c>
      <c r="K1217" s="22" t="str">
        <f>_xlfn.XLOOKUP(tblRequirementMeasureXref[[#This Row],[msr_id]],tblMeasure[msr_id],tblMeasure[msr_min_geo_resolution])</f>
        <v>LA</v>
      </c>
      <c r="L1217" s="22" t="str">
        <f>_xlfn.XLOOKUP(tblRequirementMeasureXref[[#This Row],[msr_id]],tblMeasure[msr_id],tblMeasure[src_name])</f>
        <v>Stat-Xplore</v>
      </c>
    </row>
    <row r="1218" spans="1:12" x14ac:dyDescent="0.15">
      <c r="A1218" s="1" t="str">
        <f>_xlfn.XLOOKUP(tblRequirementMeasureXref[[#This Row],[dm_id]],tblDataRequirement[dm_id],tblDataRequirement[domain_sub_requirement])</f>
        <v>Unpaid Carers:Income:State support / benefits</v>
      </c>
      <c r="B1218" s="1" t="str">
        <f>_xlfn.XLOOKUP(tblRequirementMeasureXref[[#This Row],[dm_id]],tblDataRequirement[dm_id],tblDataRequirement[dm_phase])</f>
        <v>supply</v>
      </c>
      <c r="C1218" s="1">
        <v>94</v>
      </c>
      <c r="D1218" s="1">
        <v>319</v>
      </c>
      <c r="G1218" s="1"/>
      <c r="H1218" s="62" t="str">
        <f>_xlfn.XLOOKUP(tblRequirementMeasureXref[[#This Row],[msr_id]],tblMeasure[msr_id],tblMeasure[msr_table])</f>
        <v>Cases with Entitlement</v>
      </c>
      <c r="I1218" s="22" t="str">
        <f>_xlfn.XLOOKUP(tblRequirementMeasureXref[[#This Row],[msr_id]],tblMeasure[msr_id],tblMeasure[msr_name])</f>
        <v>Number of people in receipt of an allowance and those with entitlement where the payment has been suspended (e.g. in hospital), by gender, age, region, LA</v>
      </c>
      <c r="J1218" s="22" t="str">
        <f>_xlfn.XLOOKUP(tblRequirementMeasureXref[[#This Row],[msr_id]],tblMeasure[msr_id],tblMeasure[primary_dimensions])</f>
        <v>carer cases, carer age, carer gender, claim duration, benefit amount</v>
      </c>
      <c r="K1218" s="22" t="str">
        <f>_xlfn.XLOOKUP(tblRequirementMeasureXref[[#This Row],[msr_id]],tblMeasure[msr_id],tblMeasure[msr_min_geo_resolution])</f>
        <v>LA</v>
      </c>
      <c r="L1218" s="22" t="str">
        <f>_xlfn.XLOOKUP(tblRequirementMeasureXref[[#This Row],[msr_id]],tblMeasure[msr_id],tblMeasure[src_name])</f>
        <v>Stat-Xplore</v>
      </c>
    </row>
    <row r="1219" spans="1:12" x14ac:dyDescent="0.15">
      <c r="A1219" s="1" t="str">
        <f>_xlfn.XLOOKUP(tblRequirementMeasureXref[[#This Row],[dm_id]],tblDataRequirement[dm_id],tblDataRequirement[domain_sub_requirement])</f>
        <v>Unpaid Carers:Demographics:Age</v>
      </c>
      <c r="B1219" s="1" t="str">
        <f>_xlfn.XLOOKUP(tblRequirementMeasureXref[[#This Row],[dm_id]],tblDataRequirement[dm_id],tblDataRequirement[dm_phase])</f>
        <v>supply</v>
      </c>
      <c r="C1219" s="1">
        <v>81</v>
      </c>
      <c r="D1219" s="1">
        <v>319</v>
      </c>
      <c r="G1219" s="1"/>
      <c r="H1219" s="62" t="str">
        <f>_xlfn.XLOOKUP(tblRequirementMeasureXref[[#This Row],[msr_id]],tblMeasure[msr_id],tblMeasure[msr_table])</f>
        <v>Cases with Entitlement</v>
      </c>
      <c r="I1219" s="22" t="str">
        <f>_xlfn.XLOOKUP(tblRequirementMeasureXref[[#This Row],[msr_id]],tblMeasure[msr_id],tblMeasure[msr_name])</f>
        <v>Number of people in receipt of an allowance and those with entitlement where the payment has been suspended (e.g. in hospital), by gender, age, region, LA</v>
      </c>
      <c r="J1219" s="22" t="str">
        <f>_xlfn.XLOOKUP(tblRequirementMeasureXref[[#This Row],[msr_id]],tblMeasure[msr_id],tblMeasure[primary_dimensions])</f>
        <v>carer cases, carer age, carer gender, claim duration, benefit amount</v>
      </c>
      <c r="K1219" s="22" t="str">
        <f>_xlfn.XLOOKUP(tblRequirementMeasureXref[[#This Row],[msr_id]],tblMeasure[msr_id],tblMeasure[msr_min_geo_resolution])</f>
        <v>LA</v>
      </c>
      <c r="L1219" s="22" t="str">
        <f>_xlfn.XLOOKUP(tblRequirementMeasureXref[[#This Row],[msr_id]],tblMeasure[msr_id],tblMeasure[src_name])</f>
        <v>Stat-Xplore</v>
      </c>
    </row>
    <row r="1220" spans="1:12" x14ac:dyDescent="0.15">
      <c r="A1220" s="1" t="str">
        <f>_xlfn.XLOOKUP(tblRequirementMeasureXref[[#This Row],[dm_id]],tblDataRequirement[dm_id],tblDataRequirement[domain_sub_requirement])</f>
        <v>Unpaid Carers:Demographics:Gender</v>
      </c>
      <c r="B1220" s="1" t="str">
        <f>_xlfn.XLOOKUP(tblRequirementMeasureXref[[#This Row],[dm_id]],tblDataRequirement[dm_id],tblDataRequirement[dm_phase])</f>
        <v>supply</v>
      </c>
      <c r="C1220" s="1">
        <v>82</v>
      </c>
      <c r="D1220" s="1">
        <v>319</v>
      </c>
      <c r="G1220" s="1"/>
      <c r="H1220" s="62" t="str">
        <f>_xlfn.XLOOKUP(tblRequirementMeasureXref[[#This Row],[msr_id]],tblMeasure[msr_id],tblMeasure[msr_table])</f>
        <v>Cases with Entitlement</v>
      </c>
      <c r="I1220" s="22" t="str">
        <f>_xlfn.XLOOKUP(tblRequirementMeasureXref[[#This Row],[msr_id]],tblMeasure[msr_id],tblMeasure[msr_name])</f>
        <v>Number of people in receipt of an allowance and those with entitlement where the payment has been suspended (e.g. in hospital), by gender, age, region, LA</v>
      </c>
      <c r="J1220" s="22" t="str">
        <f>_xlfn.XLOOKUP(tblRequirementMeasureXref[[#This Row],[msr_id]],tblMeasure[msr_id],tblMeasure[primary_dimensions])</f>
        <v>carer cases, carer age, carer gender, claim duration, benefit amount</v>
      </c>
      <c r="K1220" s="22" t="str">
        <f>_xlfn.XLOOKUP(tblRequirementMeasureXref[[#This Row],[msr_id]],tblMeasure[msr_id],tblMeasure[msr_min_geo_resolution])</f>
        <v>LA</v>
      </c>
      <c r="L1220" s="22" t="str">
        <f>_xlfn.XLOOKUP(tblRequirementMeasureXref[[#This Row],[msr_id]],tblMeasure[msr_id],tblMeasure[src_name])</f>
        <v>Stat-Xplore</v>
      </c>
    </row>
    <row r="1221" spans="1:12" x14ac:dyDescent="0.15">
      <c r="A1221" s="1" t="str">
        <f>_xlfn.XLOOKUP(tblRequirementMeasureXref[[#This Row],[dm_id]],tblDataRequirement[dm_id],tblDataRequirement[domain_sub_requirement])</f>
        <v>Funders:Expenditure:Central government</v>
      </c>
      <c r="B1221" s="1" t="str">
        <f>_xlfn.XLOOKUP(tblRequirementMeasureXref[[#This Row],[dm_id]],tblDataRequirement[dm_id],tblDataRequirement[dm_phase])</f>
        <v>supply</v>
      </c>
      <c r="C1221" s="1">
        <v>4</v>
      </c>
      <c r="D1221" s="1">
        <v>319</v>
      </c>
      <c r="G1221" s="1"/>
      <c r="H1221" s="62" t="str">
        <f>_xlfn.XLOOKUP(tblRequirementMeasureXref[[#This Row],[msr_id]],tblMeasure[msr_id],tblMeasure[msr_table])</f>
        <v>Cases with Entitlement</v>
      </c>
      <c r="I1221" s="22" t="str">
        <f>_xlfn.XLOOKUP(tblRequirementMeasureXref[[#This Row],[msr_id]],tblMeasure[msr_id],tblMeasure[msr_name])</f>
        <v>Number of people in receipt of an allowance and those with entitlement where the payment has been suspended (e.g. in hospital), by gender, age, region, LA</v>
      </c>
      <c r="J1221" s="22" t="str">
        <f>_xlfn.XLOOKUP(tblRequirementMeasureXref[[#This Row],[msr_id]],tblMeasure[msr_id],tblMeasure[primary_dimensions])</f>
        <v>carer cases, carer age, carer gender, claim duration, benefit amount</v>
      </c>
      <c r="K1221" s="22" t="str">
        <f>_xlfn.XLOOKUP(tblRequirementMeasureXref[[#This Row],[msr_id]],tblMeasure[msr_id],tblMeasure[msr_min_geo_resolution])</f>
        <v>LA</v>
      </c>
      <c r="L1221" s="22" t="str">
        <f>_xlfn.XLOOKUP(tblRequirementMeasureXref[[#This Row],[msr_id]],tblMeasure[msr_id],tblMeasure[src_name])</f>
        <v>Stat-Xplore</v>
      </c>
    </row>
    <row r="1222" spans="1:12" x14ac:dyDescent="0.15">
      <c r="A1222" s="1" t="str">
        <f>_xlfn.XLOOKUP(tblRequirementMeasureXref[[#This Row],[dm_id]],tblDataRequirement[dm_id],tblDataRequirement[domain_sub_requirement])</f>
        <v>Users:Demographics:Age</v>
      </c>
      <c r="B1222" s="1" t="str">
        <f>_xlfn.XLOOKUP(tblRequirementMeasureXref[[#This Row],[dm_id]],tblDataRequirement[dm_id],tblDataRequirement[dm_phase])</f>
        <v>demand</v>
      </c>
      <c r="C1222" s="1">
        <v>51</v>
      </c>
      <c r="D1222" s="1">
        <v>320</v>
      </c>
      <c r="G1222" s="1"/>
      <c r="H1222" s="62" t="str">
        <f>_xlfn.XLOOKUP(tblRequirementMeasureXref[[#This Row],[msr_id]],tblMeasure[msr_id],tblMeasure[msr_table])</f>
        <v>Cases in Payment</v>
      </c>
      <c r="I1222" s="22" t="str">
        <f>_xlfn.XLOOKUP(tblRequirementMeasureXref[[#This Row],[msr_id]],tblMeasure[msr_id],tblMeasure[msr_name])</f>
        <v>Number of people in receipt of payment of an allowance, by gender, age, region, LA</v>
      </c>
      <c r="J1222" s="22" t="str">
        <f>_xlfn.XLOOKUP(tblRequirementMeasureXref[[#This Row],[msr_id]],tblMeasure[msr_id],tblMeasure[primary_dimensions])</f>
        <v>DLA cases, claim duration, disability condition</v>
      </c>
      <c r="K1222" s="22" t="str">
        <f>_xlfn.XLOOKUP(tblRequirementMeasureXref[[#This Row],[msr_id]],tblMeasure[msr_id],tblMeasure[msr_min_geo_resolution])</f>
        <v>LA</v>
      </c>
      <c r="L1222" s="22" t="str">
        <f>_xlfn.XLOOKUP(tblRequirementMeasureXref[[#This Row],[msr_id]],tblMeasure[msr_id],tblMeasure[src_name])</f>
        <v>Stat-Xplore</v>
      </c>
    </row>
    <row r="1223" spans="1:12" x14ac:dyDescent="0.15">
      <c r="A1223" s="1" t="str">
        <f>_xlfn.XLOOKUP(tblRequirementMeasureXref[[#This Row],[dm_id]],tblDataRequirement[dm_id],tblDataRequirement[domain_sub_requirement])</f>
        <v>Users:Demographics:Gender</v>
      </c>
      <c r="B1223" s="1" t="str">
        <f>_xlfn.XLOOKUP(tblRequirementMeasureXref[[#This Row],[dm_id]],tblDataRequirement[dm_id],tblDataRequirement[dm_phase])</f>
        <v>demand</v>
      </c>
      <c r="C1223" s="1">
        <v>62</v>
      </c>
      <c r="D1223" s="1">
        <v>320</v>
      </c>
      <c r="G1223" s="1"/>
      <c r="H1223" s="62" t="str">
        <f>_xlfn.XLOOKUP(tblRequirementMeasureXref[[#This Row],[msr_id]],tblMeasure[msr_id],tblMeasure[msr_table])</f>
        <v>Cases in Payment</v>
      </c>
      <c r="I1223" s="22" t="str">
        <f>_xlfn.XLOOKUP(tblRequirementMeasureXref[[#This Row],[msr_id]],tblMeasure[msr_id],tblMeasure[msr_name])</f>
        <v>Number of people in receipt of payment of an allowance, by gender, age, region, LA</v>
      </c>
      <c r="J1223" s="22" t="str">
        <f>_xlfn.XLOOKUP(tblRequirementMeasureXref[[#This Row],[msr_id]],tblMeasure[msr_id],tblMeasure[primary_dimensions])</f>
        <v>DLA cases, claim duration, disability condition</v>
      </c>
      <c r="K1223" s="22" t="str">
        <f>_xlfn.XLOOKUP(tblRequirementMeasureXref[[#This Row],[msr_id]],tblMeasure[msr_id],tblMeasure[msr_min_geo_resolution])</f>
        <v>LA</v>
      </c>
      <c r="L1223" s="22" t="str">
        <f>_xlfn.XLOOKUP(tblRequirementMeasureXref[[#This Row],[msr_id]],tblMeasure[msr_id],tblMeasure[src_name])</f>
        <v>Stat-Xplore</v>
      </c>
    </row>
    <row r="1224" spans="1:12" x14ac:dyDescent="0.15">
      <c r="A1224" s="1" t="str">
        <f>_xlfn.XLOOKUP(tblRequirementMeasureXref[[#This Row],[dm_id]],tblDataRequirement[dm_id],tblDataRequirement[domain_sub_requirement])</f>
        <v>Users:Income:State support / benefits</v>
      </c>
      <c r="B1224" s="1" t="str">
        <f>_xlfn.XLOOKUP(tblRequirementMeasureXref[[#This Row],[dm_id]],tblDataRequirement[dm_id],tblDataRequirement[dm_phase])</f>
        <v>supply</v>
      </c>
      <c r="C1224" s="1">
        <v>64</v>
      </c>
      <c r="D1224" s="1">
        <v>320</v>
      </c>
      <c r="G1224" s="1"/>
      <c r="H1224" s="62" t="str">
        <f>_xlfn.XLOOKUP(tblRequirementMeasureXref[[#This Row],[msr_id]],tblMeasure[msr_id],tblMeasure[msr_table])</f>
        <v>Cases in Payment</v>
      </c>
      <c r="I1224" s="22" t="str">
        <f>_xlfn.XLOOKUP(tblRequirementMeasureXref[[#This Row],[msr_id]],tblMeasure[msr_id],tblMeasure[msr_name])</f>
        <v>Number of people in receipt of payment of an allowance, by gender, age, region, LA</v>
      </c>
      <c r="J1224" s="22" t="str">
        <f>_xlfn.XLOOKUP(tblRequirementMeasureXref[[#This Row],[msr_id]],tblMeasure[msr_id],tblMeasure[primary_dimensions])</f>
        <v>DLA cases, claim duration, disability condition</v>
      </c>
      <c r="K1224" s="22" t="str">
        <f>_xlfn.XLOOKUP(tblRequirementMeasureXref[[#This Row],[msr_id]],tblMeasure[msr_id],tblMeasure[msr_min_geo_resolution])</f>
        <v>LA</v>
      </c>
      <c r="L1224" s="22" t="str">
        <f>_xlfn.XLOOKUP(tblRequirementMeasureXref[[#This Row],[msr_id]],tblMeasure[msr_id],tblMeasure[src_name])</f>
        <v>Stat-Xplore</v>
      </c>
    </row>
    <row r="1225" spans="1:12" x14ac:dyDescent="0.15">
      <c r="A1225" s="1" t="str">
        <f>_xlfn.XLOOKUP(tblRequirementMeasureXref[[#This Row],[dm_id]],tblDataRequirement[dm_id],tblDataRequirement[domain_sub_requirement])</f>
        <v>Funders:Expenditure:Central government</v>
      </c>
      <c r="B1225" s="1" t="str">
        <f>_xlfn.XLOOKUP(tblRequirementMeasureXref[[#This Row],[dm_id]],tblDataRequirement[dm_id],tblDataRequirement[dm_phase])</f>
        <v>supply</v>
      </c>
      <c r="C1225" s="1">
        <v>4</v>
      </c>
      <c r="D1225" s="1">
        <v>320</v>
      </c>
      <c r="G1225" s="1"/>
      <c r="H1225" s="62" t="str">
        <f>_xlfn.XLOOKUP(tblRequirementMeasureXref[[#This Row],[msr_id]],tblMeasure[msr_id],tblMeasure[msr_table])</f>
        <v>Cases in Payment</v>
      </c>
      <c r="I1225" s="22" t="str">
        <f>_xlfn.XLOOKUP(tblRequirementMeasureXref[[#This Row],[msr_id]],tblMeasure[msr_id],tblMeasure[msr_name])</f>
        <v>Number of people in receipt of payment of an allowance, by gender, age, region, LA</v>
      </c>
      <c r="J1225" s="22" t="str">
        <f>_xlfn.XLOOKUP(tblRequirementMeasureXref[[#This Row],[msr_id]],tblMeasure[msr_id],tblMeasure[primary_dimensions])</f>
        <v>DLA cases, claim duration, disability condition</v>
      </c>
      <c r="K1225" s="22" t="str">
        <f>_xlfn.XLOOKUP(tblRequirementMeasureXref[[#This Row],[msr_id]],tblMeasure[msr_id],tblMeasure[msr_min_geo_resolution])</f>
        <v>LA</v>
      </c>
      <c r="L1225" s="22" t="str">
        <f>_xlfn.XLOOKUP(tblRequirementMeasureXref[[#This Row],[msr_id]],tblMeasure[msr_id],tblMeasure[src_name])</f>
        <v>Stat-Xplore</v>
      </c>
    </row>
    <row r="1226" spans="1:12" x14ac:dyDescent="0.15">
      <c r="A1226" s="1" t="str">
        <f>_xlfn.XLOOKUP(tblRequirementMeasureXref[[#This Row],[dm_id]],tblDataRequirement[dm_id],tblDataRequirement[domain_sub_requirement])</f>
        <v>Users:Care need:Disability/Dependence</v>
      </c>
      <c r="B1226" s="1" t="str">
        <f>_xlfn.XLOOKUP(tblRequirementMeasureXref[[#This Row],[dm_id]],tblDataRequirement[dm_id],tblDataRequirement[dm_phase])</f>
        <v>demand</v>
      </c>
      <c r="C1226" s="1">
        <v>61</v>
      </c>
      <c r="D1226" s="1">
        <v>320</v>
      </c>
      <c r="G1226" s="1"/>
      <c r="H1226" s="62" t="str">
        <f>_xlfn.XLOOKUP(tblRequirementMeasureXref[[#This Row],[msr_id]],tblMeasure[msr_id],tblMeasure[msr_table])</f>
        <v>Cases in Payment</v>
      </c>
      <c r="I1226" s="22" t="str">
        <f>_xlfn.XLOOKUP(tblRequirementMeasureXref[[#This Row],[msr_id]],tblMeasure[msr_id],tblMeasure[msr_name])</f>
        <v>Number of people in receipt of payment of an allowance, by gender, age, region, LA</v>
      </c>
      <c r="J1226" s="22" t="str">
        <f>_xlfn.XLOOKUP(tblRequirementMeasureXref[[#This Row],[msr_id]],tblMeasure[msr_id],tblMeasure[primary_dimensions])</f>
        <v>DLA cases, claim duration, disability condition</v>
      </c>
      <c r="K1226" s="22" t="str">
        <f>_xlfn.XLOOKUP(tblRequirementMeasureXref[[#This Row],[msr_id]],tblMeasure[msr_id],tblMeasure[msr_min_geo_resolution])</f>
        <v>LA</v>
      </c>
      <c r="L1226" s="22" t="str">
        <f>_xlfn.XLOOKUP(tblRequirementMeasureXref[[#This Row],[msr_id]],tblMeasure[msr_id],tblMeasure[src_name])</f>
        <v>Stat-Xplore</v>
      </c>
    </row>
    <row r="1227" spans="1:12" x14ac:dyDescent="0.15">
      <c r="A1227" s="1" t="str">
        <f>_xlfn.XLOOKUP(tblRequirementMeasureXref[[#This Row],[dm_id]],tblDataRequirement[dm_id],tblDataRequirement[domain_sub_requirement])</f>
        <v>Users:Demographics:Age</v>
      </c>
      <c r="B1227" s="1" t="str">
        <f>_xlfn.XLOOKUP(tblRequirementMeasureXref[[#This Row],[dm_id]],tblDataRequirement[dm_id],tblDataRequirement[dm_phase])</f>
        <v>demand</v>
      </c>
      <c r="C1227" s="1">
        <v>51</v>
      </c>
      <c r="D1227" s="1">
        <v>321</v>
      </c>
      <c r="G1227" s="1"/>
      <c r="H1227" s="62" t="str">
        <f>_xlfn.XLOOKUP(tblRequirementMeasureXref[[#This Row],[msr_id]],tblMeasure[msr_id],tblMeasure[msr_table])</f>
        <v>Cases with Entitlement</v>
      </c>
      <c r="I1227" s="22" t="str">
        <f>_xlfn.XLOOKUP(tblRequirementMeasureXref[[#This Row],[msr_id]],tblMeasure[msr_id],tblMeasure[msr_name])</f>
        <v>Number of people in receipt of an allowance and those with entitlement where the payment has been suspended (e.g. in hospital), by gender, age, region, LA</v>
      </c>
      <c r="J1227" s="22" t="str">
        <f>_xlfn.XLOOKUP(tblRequirementMeasureXref[[#This Row],[msr_id]],tblMeasure[msr_id],tblMeasure[primary_dimensions])</f>
        <v>DLA cases, claim duration, disability condition</v>
      </c>
      <c r="K1227" s="22" t="str">
        <f>_xlfn.XLOOKUP(tblRequirementMeasureXref[[#This Row],[msr_id]],tblMeasure[msr_id],tblMeasure[msr_min_geo_resolution])</f>
        <v>LA</v>
      </c>
      <c r="L1227" s="22" t="str">
        <f>_xlfn.XLOOKUP(tblRequirementMeasureXref[[#This Row],[msr_id]],tblMeasure[msr_id],tblMeasure[src_name])</f>
        <v>Stat-Xplore</v>
      </c>
    </row>
    <row r="1228" spans="1:12" x14ac:dyDescent="0.15">
      <c r="A1228" s="1" t="str">
        <f>_xlfn.XLOOKUP(tblRequirementMeasureXref[[#This Row],[dm_id]],tblDataRequirement[dm_id],tblDataRequirement[domain_sub_requirement])</f>
        <v>Users:Demographics:Gender</v>
      </c>
      <c r="B1228" s="1" t="str">
        <f>_xlfn.XLOOKUP(tblRequirementMeasureXref[[#This Row],[dm_id]],tblDataRequirement[dm_id],tblDataRequirement[dm_phase])</f>
        <v>demand</v>
      </c>
      <c r="C1228" s="1">
        <v>62</v>
      </c>
      <c r="D1228" s="1">
        <v>321</v>
      </c>
      <c r="G1228" s="1"/>
      <c r="H1228" s="62" t="str">
        <f>_xlfn.XLOOKUP(tblRequirementMeasureXref[[#This Row],[msr_id]],tblMeasure[msr_id],tblMeasure[msr_table])</f>
        <v>Cases with Entitlement</v>
      </c>
      <c r="I1228" s="22" t="str">
        <f>_xlfn.XLOOKUP(tblRequirementMeasureXref[[#This Row],[msr_id]],tblMeasure[msr_id],tblMeasure[msr_name])</f>
        <v>Number of people in receipt of an allowance and those with entitlement where the payment has been suspended (e.g. in hospital), by gender, age, region, LA</v>
      </c>
      <c r="J1228" s="22" t="str">
        <f>_xlfn.XLOOKUP(tblRequirementMeasureXref[[#This Row],[msr_id]],tblMeasure[msr_id],tblMeasure[primary_dimensions])</f>
        <v>DLA cases, claim duration, disability condition</v>
      </c>
      <c r="K1228" s="22" t="str">
        <f>_xlfn.XLOOKUP(tblRequirementMeasureXref[[#This Row],[msr_id]],tblMeasure[msr_id],tblMeasure[msr_min_geo_resolution])</f>
        <v>LA</v>
      </c>
      <c r="L1228" s="22" t="str">
        <f>_xlfn.XLOOKUP(tblRequirementMeasureXref[[#This Row],[msr_id]],tblMeasure[msr_id],tblMeasure[src_name])</f>
        <v>Stat-Xplore</v>
      </c>
    </row>
    <row r="1229" spans="1:12" x14ac:dyDescent="0.15">
      <c r="A1229" s="1" t="str">
        <f>_xlfn.XLOOKUP(tblRequirementMeasureXref[[#This Row],[dm_id]],tblDataRequirement[dm_id],tblDataRequirement[domain_sub_requirement])</f>
        <v>Users:Income:State support / benefits</v>
      </c>
      <c r="B1229" s="1" t="str">
        <f>_xlfn.XLOOKUP(tblRequirementMeasureXref[[#This Row],[dm_id]],tblDataRequirement[dm_id],tblDataRequirement[dm_phase])</f>
        <v>supply</v>
      </c>
      <c r="C1229" s="1">
        <v>64</v>
      </c>
      <c r="D1229" s="1">
        <v>321</v>
      </c>
      <c r="G1229" s="1"/>
      <c r="H1229" s="62" t="str">
        <f>_xlfn.XLOOKUP(tblRequirementMeasureXref[[#This Row],[msr_id]],tblMeasure[msr_id],tblMeasure[msr_table])</f>
        <v>Cases with Entitlement</v>
      </c>
      <c r="I1229" s="22" t="str">
        <f>_xlfn.XLOOKUP(tblRequirementMeasureXref[[#This Row],[msr_id]],tblMeasure[msr_id],tblMeasure[msr_name])</f>
        <v>Number of people in receipt of an allowance and those with entitlement where the payment has been suspended (e.g. in hospital), by gender, age, region, LA</v>
      </c>
      <c r="J1229" s="22" t="str">
        <f>_xlfn.XLOOKUP(tblRequirementMeasureXref[[#This Row],[msr_id]],tblMeasure[msr_id],tblMeasure[primary_dimensions])</f>
        <v>DLA cases, claim duration, disability condition</v>
      </c>
      <c r="K1229" s="22" t="str">
        <f>_xlfn.XLOOKUP(tblRequirementMeasureXref[[#This Row],[msr_id]],tblMeasure[msr_id],tblMeasure[msr_min_geo_resolution])</f>
        <v>LA</v>
      </c>
      <c r="L1229" s="22" t="str">
        <f>_xlfn.XLOOKUP(tblRequirementMeasureXref[[#This Row],[msr_id]],tblMeasure[msr_id],tblMeasure[src_name])</f>
        <v>Stat-Xplore</v>
      </c>
    </row>
    <row r="1230" spans="1:12" x14ac:dyDescent="0.15">
      <c r="A1230" s="1" t="str">
        <f>_xlfn.XLOOKUP(tblRequirementMeasureXref[[#This Row],[dm_id]],tblDataRequirement[dm_id],tblDataRequirement[domain_sub_requirement])</f>
        <v>Funders:Expenditure:Central government</v>
      </c>
      <c r="B1230" s="1" t="str">
        <f>_xlfn.XLOOKUP(tblRequirementMeasureXref[[#This Row],[dm_id]],tblDataRequirement[dm_id],tblDataRequirement[dm_phase])</f>
        <v>supply</v>
      </c>
      <c r="C1230" s="1">
        <v>4</v>
      </c>
      <c r="D1230" s="1">
        <v>321</v>
      </c>
      <c r="G1230" s="1"/>
      <c r="H1230" s="62" t="str">
        <f>_xlfn.XLOOKUP(tblRequirementMeasureXref[[#This Row],[msr_id]],tblMeasure[msr_id],tblMeasure[msr_table])</f>
        <v>Cases with Entitlement</v>
      </c>
      <c r="I1230" s="22" t="str">
        <f>_xlfn.XLOOKUP(tblRequirementMeasureXref[[#This Row],[msr_id]],tblMeasure[msr_id],tblMeasure[msr_name])</f>
        <v>Number of people in receipt of an allowance and those with entitlement where the payment has been suspended (e.g. in hospital), by gender, age, region, LA</v>
      </c>
      <c r="J1230" s="22" t="str">
        <f>_xlfn.XLOOKUP(tblRequirementMeasureXref[[#This Row],[msr_id]],tblMeasure[msr_id],tblMeasure[primary_dimensions])</f>
        <v>DLA cases, claim duration, disability condition</v>
      </c>
      <c r="K1230" s="22" t="str">
        <f>_xlfn.XLOOKUP(tblRequirementMeasureXref[[#This Row],[msr_id]],tblMeasure[msr_id],tblMeasure[msr_min_geo_resolution])</f>
        <v>LA</v>
      </c>
      <c r="L1230" s="22" t="str">
        <f>_xlfn.XLOOKUP(tblRequirementMeasureXref[[#This Row],[msr_id]],tblMeasure[msr_id],tblMeasure[src_name])</f>
        <v>Stat-Xplore</v>
      </c>
    </row>
    <row r="1231" spans="1:12" x14ac:dyDescent="0.15">
      <c r="A1231" s="1" t="str">
        <f>_xlfn.XLOOKUP(tblRequirementMeasureXref[[#This Row],[dm_id]],tblDataRequirement[dm_id],tblDataRequirement[domain_sub_requirement])</f>
        <v>Users:Care need:Disability/Dependence</v>
      </c>
      <c r="B1231" s="1" t="str">
        <f>_xlfn.XLOOKUP(tblRequirementMeasureXref[[#This Row],[dm_id]],tblDataRequirement[dm_id],tblDataRequirement[dm_phase])</f>
        <v>demand</v>
      </c>
      <c r="C1231" s="1">
        <v>61</v>
      </c>
      <c r="D1231" s="1">
        <v>321</v>
      </c>
      <c r="G1231" s="1"/>
      <c r="H1231" s="62" t="str">
        <f>_xlfn.XLOOKUP(tblRequirementMeasureXref[[#This Row],[msr_id]],tblMeasure[msr_id],tblMeasure[msr_table])</f>
        <v>Cases with Entitlement</v>
      </c>
      <c r="I1231" s="22" t="str">
        <f>_xlfn.XLOOKUP(tblRequirementMeasureXref[[#This Row],[msr_id]],tblMeasure[msr_id],tblMeasure[msr_name])</f>
        <v>Number of people in receipt of an allowance and those with entitlement where the payment has been suspended (e.g. in hospital), by gender, age, region, LA</v>
      </c>
      <c r="J1231" s="22" t="str">
        <f>_xlfn.XLOOKUP(tblRequirementMeasureXref[[#This Row],[msr_id]],tblMeasure[msr_id],tblMeasure[primary_dimensions])</f>
        <v>DLA cases, claim duration, disability condition</v>
      </c>
      <c r="K1231" s="22" t="str">
        <f>_xlfn.XLOOKUP(tblRequirementMeasureXref[[#This Row],[msr_id]],tblMeasure[msr_id],tblMeasure[msr_min_geo_resolution])</f>
        <v>LA</v>
      </c>
      <c r="L1231" s="22" t="str">
        <f>_xlfn.XLOOKUP(tblRequirementMeasureXref[[#This Row],[msr_id]],tblMeasure[msr_id],tblMeasure[src_name])</f>
        <v>Stat-Xplore</v>
      </c>
    </row>
    <row r="1232" spans="1:12" x14ac:dyDescent="0.15">
      <c r="A1232" s="1" t="str">
        <f>_xlfn.XLOOKUP(tblRequirementMeasureXref[[#This Row],[dm_id]],tblDataRequirement[dm_id],tblDataRequirement[domain_sub_requirement])</f>
        <v>Users:Demographics:Age</v>
      </c>
      <c r="B1232" s="1" t="str">
        <f>_xlfn.XLOOKUP(tblRequirementMeasureXref[[#This Row],[dm_id]],tblDataRequirement[dm_id],tblDataRequirement[dm_phase])</f>
        <v>demand</v>
      </c>
      <c r="C1232" s="1">
        <v>51</v>
      </c>
      <c r="D1232" s="1">
        <v>322</v>
      </c>
      <c r="G1232" s="1"/>
      <c r="H1232" s="62" t="str">
        <f>_xlfn.XLOOKUP(tblRequirementMeasureXref[[#This Row],[msr_id]],tblMeasure[msr_id],tblMeasure[msr_table])</f>
        <v>Cases with Entitlement</v>
      </c>
      <c r="I1232" s="22" t="str">
        <f>_xlfn.XLOOKUP(tblRequirementMeasureXref[[#This Row],[msr_id]],tblMeasure[msr_id],tblMeasure[msr_name])</f>
        <v>Number of cases by disability, age, gender, LA</v>
      </c>
      <c r="J1232" s="22" t="str">
        <f>_xlfn.XLOOKUP(tblRequirementMeasureXref[[#This Row],[msr_id]],tblMeasure[msr_id],tblMeasure[primary_dimensions])</f>
        <v>PIP cases, claim duration, disability category</v>
      </c>
      <c r="K1232" s="22" t="str">
        <f>_xlfn.XLOOKUP(tblRequirementMeasureXref[[#This Row],[msr_id]],tblMeasure[msr_id],tblMeasure[msr_min_geo_resolution])</f>
        <v>LA</v>
      </c>
      <c r="L1232" s="22" t="str">
        <f>_xlfn.XLOOKUP(tblRequirementMeasureXref[[#This Row],[msr_id]],tblMeasure[msr_id],tblMeasure[src_name])</f>
        <v>Stat-Xplore</v>
      </c>
    </row>
    <row r="1233" spans="1:12" x14ac:dyDescent="0.15">
      <c r="A1233" s="1" t="str">
        <f>_xlfn.XLOOKUP(tblRequirementMeasureXref[[#This Row],[dm_id]],tblDataRequirement[dm_id],tblDataRequirement[domain_sub_requirement])</f>
        <v>Users:Demographics:Gender</v>
      </c>
      <c r="B1233" s="1" t="str">
        <f>_xlfn.XLOOKUP(tblRequirementMeasureXref[[#This Row],[dm_id]],tblDataRequirement[dm_id],tblDataRequirement[dm_phase])</f>
        <v>demand</v>
      </c>
      <c r="C1233" s="1">
        <v>62</v>
      </c>
      <c r="D1233" s="1">
        <v>322</v>
      </c>
      <c r="G1233" s="1"/>
      <c r="H1233" s="62" t="str">
        <f>_xlfn.XLOOKUP(tblRequirementMeasureXref[[#This Row],[msr_id]],tblMeasure[msr_id],tblMeasure[msr_table])</f>
        <v>Cases with Entitlement</v>
      </c>
      <c r="I1233" s="22" t="str">
        <f>_xlfn.XLOOKUP(tblRequirementMeasureXref[[#This Row],[msr_id]],tblMeasure[msr_id],tblMeasure[msr_name])</f>
        <v>Number of cases by disability, age, gender, LA</v>
      </c>
      <c r="J1233" s="22" t="str">
        <f>_xlfn.XLOOKUP(tblRequirementMeasureXref[[#This Row],[msr_id]],tblMeasure[msr_id],tblMeasure[primary_dimensions])</f>
        <v>PIP cases, claim duration, disability category</v>
      </c>
      <c r="K1233" s="22" t="str">
        <f>_xlfn.XLOOKUP(tblRequirementMeasureXref[[#This Row],[msr_id]],tblMeasure[msr_id],tblMeasure[msr_min_geo_resolution])</f>
        <v>LA</v>
      </c>
      <c r="L1233" s="22" t="str">
        <f>_xlfn.XLOOKUP(tblRequirementMeasureXref[[#This Row],[msr_id]],tblMeasure[msr_id],tblMeasure[src_name])</f>
        <v>Stat-Xplore</v>
      </c>
    </row>
    <row r="1234" spans="1:12" x14ac:dyDescent="0.15">
      <c r="A1234" s="1" t="str">
        <f>_xlfn.XLOOKUP(tblRequirementMeasureXref[[#This Row],[dm_id]],tblDataRequirement[dm_id],tblDataRequirement[domain_sub_requirement])</f>
        <v>Users:Income:State support / benefits</v>
      </c>
      <c r="B1234" s="1" t="str">
        <f>_xlfn.XLOOKUP(tblRequirementMeasureXref[[#This Row],[dm_id]],tblDataRequirement[dm_id],tblDataRequirement[dm_phase])</f>
        <v>supply</v>
      </c>
      <c r="C1234" s="1">
        <v>64</v>
      </c>
      <c r="D1234" s="1">
        <v>322</v>
      </c>
      <c r="G1234" s="1"/>
      <c r="H1234" s="62" t="str">
        <f>_xlfn.XLOOKUP(tblRequirementMeasureXref[[#This Row],[msr_id]],tblMeasure[msr_id],tblMeasure[msr_table])</f>
        <v>Cases with Entitlement</v>
      </c>
      <c r="I1234" s="22" t="str">
        <f>_xlfn.XLOOKUP(tblRequirementMeasureXref[[#This Row],[msr_id]],tblMeasure[msr_id],tblMeasure[msr_name])</f>
        <v>Number of cases by disability, age, gender, LA</v>
      </c>
      <c r="J1234" s="22" t="str">
        <f>_xlfn.XLOOKUP(tblRequirementMeasureXref[[#This Row],[msr_id]],tblMeasure[msr_id],tblMeasure[primary_dimensions])</f>
        <v>PIP cases, claim duration, disability category</v>
      </c>
      <c r="K1234" s="22" t="str">
        <f>_xlfn.XLOOKUP(tblRequirementMeasureXref[[#This Row],[msr_id]],tblMeasure[msr_id],tblMeasure[msr_min_geo_resolution])</f>
        <v>LA</v>
      </c>
      <c r="L1234" s="22" t="str">
        <f>_xlfn.XLOOKUP(tblRequirementMeasureXref[[#This Row],[msr_id]],tblMeasure[msr_id],tblMeasure[src_name])</f>
        <v>Stat-Xplore</v>
      </c>
    </row>
    <row r="1235" spans="1:12" x14ac:dyDescent="0.15">
      <c r="A1235" s="1" t="str">
        <f>_xlfn.XLOOKUP(tblRequirementMeasureXref[[#This Row],[dm_id]],tblDataRequirement[dm_id],tblDataRequirement[domain_sub_requirement])</f>
        <v>Funders:Expenditure:Central government</v>
      </c>
      <c r="B1235" s="1" t="str">
        <f>_xlfn.XLOOKUP(tblRequirementMeasureXref[[#This Row],[dm_id]],tblDataRequirement[dm_id],tblDataRequirement[dm_phase])</f>
        <v>supply</v>
      </c>
      <c r="C1235" s="1">
        <v>4</v>
      </c>
      <c r="D1235" s="1">
        <v>322</v>
      </c>
      <c r="G1235" s="1"/>
      <c r="H1235" s="62" t="str">
        <f>_xlfn.XLOOKUP(tblRequirementMeasureXref[[#This Row],[msr_id]],tblMeasure[msr_id],tblMeasure[msr_table])</f>
        <v>Cases with Entitlement</v>
      </c>
      <c r="I1235" s="22" t="str">
        <f>_xlfn.XLOOKUP(tblRequirementMeasureXref[[#This Row],[msr_id]],tblMeasure[msr_id],tblMeasure[msr_name])</f>
        <v>Number of cases by disability, age, gender, LA</v>
      </c>
      <c r="J1235" s="22" t="str">
        <f>_xlfn.XLOOKUP(tblRequirementMeasureXref[[#This Row],[msr_id]],tblMeasure[msr_id],tblMeasure[primary_dimensions])</f>
        <v>PIP cases, claim duration, disability category</v>
      </c>
      <c r="K1235" s="22" t="str">
        <f>_xlfn.XLOOKUP(tblRequirementMeasureXref[[#This Row],[msr_id]],tblMeasure[msr_id],tblMeasure[msr_min_geo_resolution])</f>
        <v>LA</v>
      </c>
      <c r="L1235" s="22" t="str">
        <f>_xlfn.XLOOKUP(tblRequirementMeasureXref[[#This Row],[msr_id]],tblMeasure[msr_id],tblMeasure[src_name])</f>
        <v>Stat-Xplore</v>
      </c>
    </row>
    <row r="1236" spans="1:12" x14ac:dyDescent="0.15">
      <c r="A1236" s="1" t="str">
        <f>_xlfn.XLOOKUP(tblRequirementMeasureXref[[#This Row],[dm_id]],tblDataRequirement[dm_id],tblDataRequirement[domain_sub_requirement])</f>
        <v>Users:Care need:Disability/Dependence</v>
      </c>
      <c r="B1236" s="1" t="str">
        <f>_xlfn.XLOOKUP(tblRequirementMeasureXref[[#This Row],[dm_id]],tblDataRequirement[dm_id],tblDataRequirement[dm_phase])</f>
        <v>demand</v>
      </c>
      <c r="C1236" s="1">
        <v>61</v>
      </c>
      <c r="D1236" s="1">
        <v>322</v>
      </c>
      <c r="G1236" s="1"/>
      <c r="H1236" s="62" t="str">
        <f>_xlfn.XLOOKUP(tblRequirementMeasureXref[[#This Row],[msr_id]],tblMeasure[msr_id],tblMeasure[msr_table])</f>
        <v>Cases with Entitlement</v>
      </c>
      <c r="I1236" s="22" t="str">
        <f>_xlfn.XLOOKUP(tblRequirementMeasureXref[[#This Row],[msr_id]],tblMeasure[msr_id],tblMeasure[msr_name])</f>
        <v>Number of cases by disability, age, gender, LA</v>
      </c>
      <c r="J1236" s="22" t="str">
        <f>_xlfn.XLOOKUP(tblRequirementMeasureXref[[#This Row],[msr_id]],tblMeasure[msr_id],tblMeasure[primary_dimensions])</f>
        <v>PIP cases, claim duration, disability category</v>
      </c>
      <c r="K1236" s="22" t="str">
        <f>_xlfn.XLOOKUP(tblRequirementMeasureXref[[#This Row],[msr_id]],tblMeasure[msr_id],tblMeasure[msr_min_geo_resolution])</f>
        <v>LA</v>
      </c>
      <c r="L1236" s="22" t="str">
        <f>_xlfn.XLOOKUP(tblRequirementMeasureXref[[#This Row],[msr_id]],tblMeasure[msr_id],tblMeasure[src_name])</f>
        <v>Stat-Xplore</v>
      </c>
    </row>
    <row r="1237" spans="1:12" x14ac:dyDescent="0.15">
      <c r="A1237" s="1" t="str">
        <f>_xlfn.XLOOKUP(tblRequirementMeasureXref[[#This Row],[dm_id]],tblDataRequirement[dm_id],tblDataRequirement[domain_sub_requirement])</f>
        <v>Users:Demographics:Gender</v>
      </c>
      <c r="B1237" s="1" t="str">
        <f>_xlfn.XLOOKUP(tblRequirementMeasureXref[[#This Row],[dm_id]],tblDataRequirement[dm_id],tblDataRequirement[dm_phase])</f>
        <v>demand</v>
      </c>
      <c r="C1237" s="1">
        <v>62</v>
      </c>
      <c r="D1237" s="1">
        <v>323</v>
      </c>
      <c r="G1237" s="1"/>
      <c r="H1237" s="62" t="str">
        <f>_xlfn.XLOOKUP(tblRequirementMeasureXref[[#This Row],[msr_id]],tblMeasure[msr_id],tblMeasure[msr_table])</f>
        <v>Registrations</v>
      </c>
      <c r="I1237" s="22" t="str">
        <f>_xlfn.XLOOKUP(tblRequirementMeasureXref[[#This Row],[msr_id]],tblMeasure[msr_id],tblMeasure[msr_name])</f>
        <v>Number of registrations by gender, region, LA</v>
      </c>
      <c r="J1237" s="22" t="str">
        <f>_xlfn.XLOOKUP(tblRequirementMeasureXref[[#This Row],[msr_id]],tblMeasure[msr_id],tblMeasure[primary_dimensions])</f>
        <v>PIP registrations</v>
      </c>
      <c r="K1237" s="22" t="str">
        <f>_xlfn.XLOOKUP(tblRequirementMeasureXref[[#This Row],[msr_id]],tblMeasure[msr_id],tblMeasure[msr_min_geo_resolution])</f>
        <v>LA</v>
      </c>
      <c r="L1237" s="22" t="str">
        <f>_xlfn.XLOOKUP(tblRequirementMeasureXref[[#This Row],[msr_id]],tblMeasure[msr_id],tblMeasure[src_name])</f>
        <v>Stat-Xplore</v>
      </c>
    </row>
    <row r="1238" spans="1:12" x14ac:dyDescent="0.15">
      <c r="A1238" s="1" t="str">
        <f>_xlfn.XLOOKUP(tblRequirementMeasureXref[[#This Row],[dm_id]],tblDataRequirement[dm_id],tblDataRequirement[domain_sub_requirement])</f>
        <v>Users:Income:State support / benefits</v>
      </c>
      <c r="B1238" s="1" t="str">
        <f>_xlfn.XLOOKUP(tblRequirementMeasureXref[[#This Row],[dm_id]],tblDataRequirement[dm_id],tblDataRequirement[dm_phase])</f>
        <v>supply</v>
      </c>
      <c r="C1238" s="1">
        <v>64</v>
      </c>
      <c r="D1238" s="1">
        <v>323</v>
      </c>
      <c r="G1238" s="1"/>
      <c r="H1238" s="62" t="str">
        <f>_xlfn.XLOOKUP(tblRequirementMeasureXref[[#This Row],[msr_id]],tblMeasure[msr_id],tblMeasure[msr_table])</f>
        <v>Registrations</v>
      </c>
      <c r="I1238" s="22" t="str">
        <f>_xlfn.XLOOKUP(tblRequirementMeasureXref[[#This Row],[msr_id]],tblMeasure[msr_id],tblMeasure[msr_name])</f>
        <v>Number of registrations by gender, region, LA</v>
      </c>
      <c r="J1238" s="22" t="str">
        <f>_xlfn.XLOOKUP(tblRequirementMeasureXref[[#This Row],[msr_id]],tblMeasure[msr_id],tblMeasure[primary_dimensions])</f>
        <v>PIP registrations</v>
      </c>
      <c r="K1238" s="22" t="str">
        <f>_xlfn.XLOOKUP(tblRequirementMeasureXref[[#This Row],[msr_id]],tblMeasure[msr_id],tblMeasure[msr_min_geo_resolution])</f>
        <v>LA</v>
      </c>
      <c r="L1238" s="22" t="str">
        <f>_xlfn.XLOOKUP(tblRequirementMeasureXref[[#This Row],[msr_id]],tblMeasure[msr_id],tblMeasure[src_name])</f>
        <v>Stat-Xplore</v>
      </c>
    </row>
    <row r="1239" spans="1:12" x14ac:dyDescent="0.15">
      <c r="A1239" s="1" t="str">
        <f>_xlfn.XLOOKUP(tblRequirementMeasureXref[[#This Row],[dm_id]],tblDataRequirement[dm_id],tblDataRequirement[domain_sub_requirement])</f>
        <v>Funders:Expenditure:Central government</v>
      </c>
      <c r="B1239" s="1" t="str">
        <f>_xlfn.XLOOKUP(tblRequirementMeasureXref[[#This Row],[dm_id]],tblDataRequirement[dm_id],tblDataRequirement[dm_phase])</f>
        <v>supply</v>
      </c>
      <c r="C1239" s="1">
        <v>4</v>
      </c>
      <c r="D1239" s="1">
        <v>323</v>
      </c>
      <c r="G1239" s="1"/>
      <c r="H1239" s="62" t="str">
        <f>_xlfn.XLOOKUP(tblRequirementMeasureXref[[#This Row],[msr_id]],tblMeasure[msr_id],tblMeasure[msr_table])</f>
        <v>Registrations</v>
      </c>
      <c r="I1239" s="22" t="str">
        <f>_xlfn.XLOOKUP(tblRequirementMeasureXref[[#This Row],[msr_id]],tblMeasure[msr_id],tblMeasure[msr_name])</f>
        <v>Number of registrations by gender, region, LA</v>
      </c>
      <c r="J1239" s="22" t="str">
        <f>_xlfn.XLOOKUP(tblRequirementMeasureXref[[#This Row],[msr_id]],tblMeasure[msr_id],tblMeasure[primary_dimensions])</f>
        <v>PIP registrations</v>
      </c>
      <c r="K1239" s="22" t="str">
        <f>_xlfn.XLOOKUP(tblRequirementMeasureXref[[#This Row],[msr_id]],tblMeasure[msr_id],tblMeasure[msr_min_geo_resolution])</f>
        <v>LA</v>
      </c>
      <c r="L1239" s="22" t="str">
        <f>_xlfn.XLOOKUP(tblRequirementMeasureXref[[#This Row],[msr_id]],tblMeasure[msr_id],tblMeasure[src_name])</f>
        <v>Stat-Xplore</v>
      </c>
    </row>
    <row r="1240" spans="1:12" x14ac:dyDescent="0.15">
      <c r="A1240" s="1" t="str">
        <f>_xlfn.XLOOKUP(tblRequirementMeasureXref[[#This Row],[dm_id]],tblDataRequirement[dm_id],tblDataRequirement[domain_sub_requirement])</f>
        <v>Users:Care need:Disability/Dependence</v>
      </c>
      <c r="B1240" s="1" t="str">
        <f>_xlfn.XLOOKUP(tblRequirementMeasureXref[[#This Row],[dm_id]],tblDataRequirement[dm_id],tblDataRequirement[dm_phase])</f>
        <v>demand</v>
      </c>
      <c r="C1240" s="1">
        <v>61</v>
      </c>
      <c r="D1240" s="1">
        <v>323</v>
      </c>
      <c r="G1240" s="1"/>
      <c r="H1240" s="62" t="str">
        <f>_xlfn.XLOOKUP(tblRequirementMeasureXref[[#This Row],[msr_id]],tblMeasure[msr_id],tblMeasure[msr_table])</f>
        <v>Registrations</v>
      </c>
      <c r="I1240" s="22" t="str">
        <f>_xlfn.XLOOKUP(tblRequirementMeasureXref[[#This Row],[msr_id]],tblMeasure[msr_id],tblMeasure[msr_name])</f>
        <v>Number of registrations by gender, region, LA</v>
      </c>
      <c r="J1240" s="22" t="str">
        <f>_xlfn.XLOOKUP(tblRequirementMeasureXref[[#This Row],[msr_id]],tblMeasure[msr_id],tblMeasure[primary_dimensions])</f>
        <v>PIP registrations</v>
      </c>
      <c r="K1240" s="22" t="str">
        <f>_xlfn.XLOOKUP(tblRequirementMeasureXref[[#This Row],[msr_id]],tblMeasure[msr_id],tblMeasure[msr_min_geo_resolution])</f>
        <v>LA</v>
      </c>
      <c r="L1240" s="22" t="str">
        <f>_xlfn.XLOOKUP(tblRequirementMeasureXref[[#This Row],[msr_id]],tblMeasure[msr_id],tblMeasure[src_name])</f>
        <v>Stat-Xplore</v>
      </c>
    </row>
    <row r="1241" spans="1:12" x14ac:dyDescent="0.15">
      <c r="A1241" s="1" t="str">
        <f>_xlfn.XLOOKUP(tblRequirementMeasureXref[[#This Row],[dm_id]],tblDataRequirement[dm_id],tblDataRequirement[domain_sub_requirement])</f>
        <v>Service:Integration:NHS primary care</v>
      </c>
      <c r="B1241" s="1" t="str">
        <f>_xlfn.XLOOKUP(tblRequirementMeasureXref[[#This Row],[dm_id]],tblDataRequirement[dm_id],tblDataRequirement[dm_phase])</f>
        <v>operate</v>
      </c>
      <c r="C1241" s="1">
        <v>36</v>
      </c>
      <c r="D1241" s="1">
        <v>324</v>
      </c>
      <c r="G1241" s="1"/>
      <c r="H1241" s="62" t="str">
        <f>_xlfn.XLOOKUP(tblRequirementMeasureXref[[#This Row],[msr_id]],tblMeasure[msr_id],tblMeasure[msr_table])</f>
        <v>Dementia</v>
      </c>
      <c r="I1241" s="22" t="str">
        <f>_xlfn.XLOOKUP(tblRequirementMeasureXref[[#This Row],[msr_id]],tblMeasure[msr_id],tblMeasure[msr_name])</f>
        <v>dementia prevalence</v>
      </c>
      <c r="J1241" s="22" t="str">
        <f>_xlfn.XLOOKUP(tblRequirementMeasureXref[[#This Row],[msr_id]],tblMeasure[msr_id],tblMeasure[primary_dimensions])</f>
        <v>dementia prevalence, care plan reviews</v>
      </c>
      <c r="K1241" s="22" t="str">
        <f>_xlfn.XLOOKUP(tblRequirementMeasureXref[[#This Row],[msr_id]],tblMeasure[msr_id],tblMeasure[msr_min_geo_resolution])</f>
        <v>England</v>
      </c>
      <c r="L1241" s="22" t="str">
        <f>_xlfn.XLOOKUP(tblRequirementMeasureXref[[#This Row],[msr_id]],tblMeasure[msr_id],tblMeasure[src_name])</f>
        <v>Quality and Outcomes Framework (QOF) database</v>
      </c>
    </row>
    <row r="1242" spans="1:12" x14ac:dyDescent="0.15">
      <c r="A1242" s="1" t="str">
        <f>_xlfn.XLOOKUP(tblRequirementMeasureXref[[#This Row],[dm_id]],tblDataRequirement[dm_id],tblDataRequirement[domain_sub_requirement])</f>
        <v>Service:Integration:NHS primary care</v>
      </c>
      <c r="B1242" s="1" t="str">
        <f>_xlfn.XLOOKUP(tblRequirementMeasureXref[[#This Row],[dm_id]],tblDataRequirement[dm_id],tblDataRequirement[dm_phase])</f>
        <v>operate</v>
      </c>
      <c r="C1242" s="1">
        <v>36</v>
      </c>
      <c r="D1242" s="1">
        <v>325</v>
      </c>
      <c r="G1242" s="1"/>
      <c r="H1242" s="62" t="str">
        <f>_xlfn.XLOOKUP(tblRequirementMeasureXref[[#This Row],[msr_id]],tblMeasure[msr_id],tblMeasure[msr_table])</f>
        <v>Mental Health</v>
      </c>
      <c r="I1242" s="22" t="str">
        <f>_xlfn.XLOOKUP(tblRequirementMeasureXref[[#This Row],[msr_id]],tblMeasure[msr_id],tblMeasure[msr_name])</f>
        <v>mental health prevalence</v>
      </c>
      <c r="J1242" s="22" t="str">
        <f>_xlfn.XLOOKUP(tblRequirementMeasureXref[[#This Row],[msr_id]],tblMeasure[msr_id],tblMeasure[primary_dimensions])</f>
        <v>mental health prevalence, documented care plan</v>
      </c>
      <c r="K1242" s="22" t="str">
        <f>_xlfn.XLOOKUP(tblRequirementMeasureXref[[#This Row],[msr_id]],tblMeasure[msr_id],tblMeasure[msr_min_geo_resolution])</f>
        <v>England</v>
      </c>
      <c r="L1242" s="22" t="str">
        <f>_xlfn.XLOOKUP(tblRequirementMeasureXref[[#This Row],[msr_id]],tblMeasure[msr_id],tblMeasure[src_name])</f>
        <v>Quality and Outcomes Framework (QOF) database</v>
      </c>
    </row>
    <row r="1243" spans="1:12" x14ac:dyDescent="0.15">
      <c r="A1243" s="1" t="str">
        <f>_xlfn.XLOOKUP(tblRequirementMeasureXref[[#This Row],[dm_id]],tblDataRequirement[dm_id],tblDataRequirement[domain_sub_requirement])</f>
        <v>Funders:Expenditure:Local authorities</v>
      </c>
      <c r="B1243" s="1" t="str">
        <f>_xlfn.XLOOKUP(tblRequirementMeasureXref[[#This Row],[dm_id]],tblDataRequirement[dm_id],tblDataRequirement[dm_phase])</f>
        <v>supply</v>
      </c>
      <c r="C1243" s="1">
        <v>3</v>
      </c>
      <c r="D1243" s="1">
        <v>326</v>
      </c>
      <c r="G1243" s="1"/>
      <c r="H1243" s="62" t="str">
        <f>_xlfn.XLOOKUP(tblRequirementMeasureXref[[#This Row],[msr_id]],tblMeasure[msr_id],tblMeasure[msr_table])</f>
        <v>Table 1</v>
      </c>
      <c r="I1243" s="22" t="str">
        <f>_xlfn.XLOOKUP(tblRequirementMeasureXref[[#This Row],[msr_id]],tblMeasure[msr_id],tblMeasure[msr_name])</f>
        <v>Central Government and Total Funding for DFG</v>
      </c>
      <c r="J1243" s="22" t="str">
        <f>_xlfn.XLOOKUP(tblRequirementMeasureXref[[#This Row],[msr_id]],tblMeasure[msr_id],tblMeasure[primary_dimensions])</f>
        <v>DFG central funding, DFG total funding</v>
      </c>
      <c r="K1243" s="22" t="str">
        <f>_xlfn.XLOOKUP(tblRequirementMeasureXref[[#This Row],[msr_id]],tblMeasure[msr_id],tblMeasure[msr_min_geo_resolution])</f>
        <v>England</v>
      </c>
      <c r="L1243" s="22" t="str">
        <f>_xlfn.XLOOKUP(tblRequirementMeasureXref[[#This Row],[msr_id]],tblMeasure[msr_id],tblMeasure[src_name])</f>
        <v>Disabled Facilities Grant and other adaptations: external review</v>
      </c>
    </row>
    <row r="1244" spans="1:12" x14ac:dyDescent="0.15">
      <c r="A1244" s="1" t="str">
        <f>_xlfn.XLOOKUP(tblRequirementMeasureXref[[#This Row],[dm_id]],tblDataRequirement[dm_id],tblDataRequirement[domain_sub_requirement])</f>
        <v>Funders:Expenditure:Central government</v>
      </c>
      <c r="B1244" s="1" t="str">
        <f>_xlfn.XLOOKUP(tblRequirementMeasureXref[[#This Row],[dm_id]],tblDataRequirement[dm_id],tblDataRequirement[dm_phase])</f>
        <v>supply</v>
      </c>
      <c r="C1244" s="1">
        <v>4</v>
      </c>
      <c r="D1244" s="1">
        <v>326</v>
      </c>
      <c r="G1244" s="1"/>
      <c r="H1244" s="62" t="str">
        <f>_xlfn.XLOOKUP(tblRequirementMeasureXref[[#This Row],[msr_id]],tblMeasure[msr_id],tblMeasure[msr_table])</f>
        <v>Table 1</v>
      </c>
      <c r="I1244" s="22" t="str">
        <f>_xlfn.XLOOKUP(tblRequirementMeasureXref[[#This Row],[msr_id]],tblMeasure[msr_id],tblMeasure[msr_name])</f>
        <v>Central Government and Total Funding for DFG</v>
      </c>
      <c r="J1244" s="22" t="str">
        <f>_xlfn.XLOOKUP(tblRequirementMeasureXref[[#This Row],[msr_id]],tblMeasure[msr_id],tblMeasure[primary_dimensions])</f>
        <v>DFG central funding, DFG total funding</v>
      </c>
      <c r="K1244" s="22" t="str">
        <f>_xlfn.XLOOKUP(tblRequirementMeasureXref[[#This Row],[msr_id]],tblMeasure[msr_id],tblMeasure[msr_min_geo_resolution])</f>
        <v>England</v>
      </c>
      <c r="L1244" s="22" t="str">
        <f>_xlfn.XLOOKUP(tblRequirementMeasureXref[[#This Row],[msr_id]],tblMeasure[msr_id],tblMeasure[src_name])</f>
        <v>Disabled Facilities Grant and other adaptations: external review</v>
      </c>
    </row>
    <row r="1245" spans="1:12" x14ac:dyDescent="0.15">
      <c r="A1245" s="1" t="str">
        <f>_xlfn.XLOOKUP(tblRequirementMeasureXref[[#This Row],[dm_id]],tblDataRequirement[dm_id],tblDataRequirement[domain_sub_requirement])</f>
        <v>Service:Support type:Other (not ST or LT)</v>
      </c>
      <c r="B1245" s="1" t="str">
        <f>_xlfn.XLOOKUP(tblRequirementMeasureXref[[#This Row],[dm_id]],tblDataRequirement[dm_id],tblDataRequirement[dm_phase])</f>
        <v>operate</v>
      </c>
      <c r="C1245" s="1">
        <v>68</v>
      </c>
      <c r="D1245" s="1">
        <v>326</v>
      </c>
      <c r="G1245" s="1"/>
      <c r="H1245" s="62" t="str">
        <f>_xlfn.XLOOKUP(tblRequirementMeasureXref[[#This Row],[msr_id]],tblMeasure[msr_id],tblMeasure[msr_table])</f>
        <v>Table 1</v>
      </c>
      <c r="I1245" s="22" t="str">
        <f>_xlfn.XLOOKUP(tblRequirementMeasureXref[[#This Row],[msr_id]],tblMeasure[msr_id],tblMeasure[msr_name])</f>
        <v>Central Government and Total Funding for DFG</v>
      </c>
      <c r="J1245" s="22" t="str">
        <f>_xlfn.XLOOKUP(tblRequirementMeasureXref[[#This Row],[msr_id]],tblMeasure[msr_id],tblMeasure[primary_dimensions])</f>
        <v>DFG central funding, DFG total funding</v>
      </c>
      <c r="K1245" s="22" t="str">
        <f>_xlfn.XLOOKUP(tblRequirementMeasureXref[[#This Row],[msr_id]],tblMeasure[msr_id],tblMeasure[msr_min_geo_resolution])</f>
        <v>England</v>
      </c>
      <c r="L1245" s="22" t="str">
        <f>_xlfn.XLOOKUP(tblRequirementMeasureXref[[#This Row],[msr_id]],tblMeasure[msr_id],tblMeasure[src_name])</f>
        <v>Disabled Facilities Grant and other adaptations: external review</v>
      </c>
    </row>
    <row r="1246" spans="1:12" x14ac:dyDescent="0.15">
      <c r="A1246" s="1" t="str">
        <f>_xlfn.XLOOKUP(tblRequirementMeasureXref[[#This Row],[dm_id]],tblDataRequirement[dm_id],tblDataRequirement[domain_sub_requirement])</f>
        <v>Funders:Expenditure:Central government</v>
      </c>
      <c r="B1246" s="1" t="str">
        <f>_xlfn.XLOOKUP(tblRequirementMeasureXref[[#This Row],[dm_id]],tblDataRequirement[dm_id],tblDataRequirement[dm_phase])</f>
        <v>supply</v>
      </c>
      <c r="C1246" s="1">
        <v>4</v>
      </c>
      <c r="D1246" s="1">
        <v>327</v>
      </c>
      <c r="G1246" s="1"/>
      <c r="H1246" s="62" t="str">
        <f>_xlfn.XLOOKUP(tblRequirementMeasureXref[[#This Row],[msr_id]],tblMeasure[msr_id],tblMeasure[msr_table])</f>
        <v>Table A</v>
      </c>
      <c r="I1246" s="22" t="str">
        <f>_xlfn.XLOOKUP(tblRequirementMeasureXref[[#This Row],[msr_id]],tblMeasure[msr_id],tblMeasure[msr_name])</f>
        <v>Planned impact on fees paid to external home/residential/nursing care providers, by LA</v>
      </c>
      <c r="J1246" s="22" t="str">
        <f>_xlfn.XLOOKUP(tblRequirementMeasureXref[[#This Row],[msr_id]],tblMeasure[msr_id],tblMeasure[primary_dimensions])</f>
        <v>amount paid to external providers</v>
      </c>
      <c r="K1246" s="22" t="str">
        <f>_xlfn.XLOOKUP(tblRequirementMeasureXref[[#This Row],[msr_id]],tblMeasure[msr_id],tblMeasure[msr_min_geo_resolution])</f>
        <v>LA</v>
      </c>
      <c r="L1246" s="22" t="str">
        <f>_xlfn.XLOOKUP(tblRequirementMeasureXref[[#This Row],[msr_id]],tblMeasure[msr_id],tblMeasure[src_name])</f>
        <v>Improved Better Care Fund</v>
      </c>
    </row>
    <row r="1247" spans="1:12" x14ac:dyDescent="0.15">
      <c r="A1247" s="1" t="str">
        <f>_xlfn.XLOOKUP(tblRequirementMeasureXref[[#This Row],[dm_id]],tblDataRequirement[dm_id],tblDataRequirement[domain_sub_requirement])</f>
        <v>Funders:Income:Local authority</v>
      </c>
      <c r="B1247" s="1" t="str">
        <f>_xlfn.XLOOKUP(tblRequirementMeasureXref[[#This Row],[dm_id]],tblDataRequirement[dm_id],tblDataRequirement[dm_phase])</f>
        <v>supply</v>
      </c>
      <c r="C1247" s="1">
        <v>8</v>
      </c>
      <c r="D1247" s="1">
        <v>327</v>
      </c>
      <c r="G1247" s="1"/>
      <c r="H1247" s="62" t="str">
        <f>_xlfn.XLOOKUP(tblRequirementMeasureXref[[#This Row],[msr_id]],tblMeasure[msr_id],tblMeasure[msr_table])</f>
        <v>Table A</v>
      </c>
      <c r="I1247" s="22" t="str">
        <f>_xlfn.XLOOKUP(tblRequirementMeasureXref[[#This Row],[msr_id]],tblMeasure[msr_id],tblMeasure[msr_name])</f>
        <v>Planned impact on fees paid to external home/residential/nursing care providers, by LA</v>
      </c>
      <c r="J1247" s="22" t="str">
        <f>_xlfn.XLOOKUP(tblRequirementMeasureXref[[#This Row],[msr_id]],tblMeasure[msr_id],tblMeasure[primary_dimensions])</f>
        <v>amount paid to external providers</v>
      </c>
      <c r="K1247" s="22" t="str">
        <f>_xlfn.XLOOKUP(tblRequirementMeasureXref[[#This Row],[msr_id]],tblMeasure[msr_id],tblMeasure[msr_min_geo_resolution])</f>
        <v>LA</v>
      </c>
      <c r="L1247" s="22" t="str">
        <f>_xlfn.XLOOKUP(tblRequirementMeasureXref[[#This Row],[msr_id]],tblMeasure[msr_id],tblMeasure[src_name])</f>
        <v>Improved Better Care Fund</v>
      </c>
    </row>
    <row r="1248" spans="1:12" x14ac:dyDescent="0.15">
      <c r="A1248" s="1" t="str">
        <f>_xlfn.XLOOKUP(tblRequirementMeasureXref[[#This Row],[dm_id]],tblDataRequirement[dm_id],tblDataRequirement[domain_sub_requirement])</f>
        <v>Providers:Type:Organisations</v>
      </c>
      <c r="B1248" s="1" t="str">
        <f>_xlfn.XLOOKUP(tblRequirementMeasureXref[[#This Row],[dm_id]],tblDataRequirement[dm_id],tblDataRequirement[dm_phase])</f>
        <v>operate</v>
      </c>
      <c r="C1248" s="1">
        <v>60</v>
      </c>
      <c r="D1248" s="1">
        <v>327</v>
      </c>
      <c r="G1248" s="1"/>
      <c r="H1248" s="62" t="str">
        <f>_xlfn.XLOOKUP(tblRequirementMeasureXref[[#This Row],[msr_id]],tblMeasure[msr_id],tblMeasure[msr_table])</f>
        <v>Table A</v>
      </c>
      <c r="I1248" s="22" t="str">
        <f>_xlfn.XLOOKUP(tblRequirementMeasureXref[[#This Row],[msr_id]],tblMeasure[msr_id],tblMeasure[msr_name])</f>
        <v>Planned impact on fees paid to external home/residential/nursing care providers, by LA</v>
      </c>
      <c r="J1248" s="22" t="str">
        <f>_xlfn.XLOOKUP(tblRequirementMeasureXref[[#This Row],[msr_id]],tblMeasure[msr_id],tblMeasure[primary_dimensions])</f>
        <v>amount paid to external providers</v>
      </c>
      <c r="K1248" s="22" t="str">
        <f>_xlfn.XLOOKUP(tblRequirementMeasureXref[[#This Row],[msr_id]],tblMeasure[msr_id],tblMeasure[msr_min_geo_resolution])</f>
        <v>LA</v>
      </c>
      <c r="L1248" s="22" t="str">
        <f>_xlfn.XLOOKUP(tblRequirementMeasureXref[[#This Row],[msr_id]],tblMeasure[msr_id],tblMeasure[src_name])</f>
        <v>Improved Better Care Fund</v>
      </c>
    </row>
    <row r="1249" spans="1:12" x14ac:dyDescent="0.15">
      <c r="A1249" s="1" t="str">
        <f>_xlfn.XLOOKUP(tblRequirementMeasureXref[[#This Row],[dm_id]],tblDataRequirement[dm_id],tblDataRequirement[domain_sub_requirement])</f>
        <v>Users:Demographics:Age</v>
      </c>
      <c r="B1249" s="1" t="str">
        <f>_xlfn.XLOOKUP(tblRequirementMeasureXref[[#This Row],[dm_id]],tblDataRequirement[dm_id],tblDataRequirement[dm_phase])</f>
        <v>demand</v>
      </c>
      <c r="C1249" s="1">
        <v>51</v>
      </c>
      <c r="D1249" s="1">
        <v>327</v>
      </c>
      <c r="G1249" s="1"/>
      <c r="H1249" s="62" t="str">
        <f>_xlfn.XLOOKUP(tblRequirementMeasureXref[[#This Row],[msr_id]],tblMeasure[msr_id],tblMeasure[msr_table])</f>
        <v>Table A</v>
      </c>
      <c r="I1249" s="22" t="str">
        <f>_xlfn.XLOOKUP(tblRequirementMeasureXref[[#This Row],[msr_id]],tblMeasure[msr_id],tblMeasure[msr_name])</f>
        <v>Planned impact on fees paid to external home/residential/nursing care providers, by LA</v>
      </c>
      <c r="J1249" s="22" t="str">
        <f>_xlfn.XLOOKUP(tblRequirementMeasureXref[[#This Row],[msr_id]],tblMeasure[msr_id],tblMeasure[primary_dimensions])</f>
        <v>amount paid to external providers</v>
      </c>
      <c r="K1249" s="22" t="str">
        <f>_xlfn.XLOOKUP(tblRequirementMeasureXref[[#This Row],[msr_id]],tblMeasure[msr_id],tblMeasure[msr_min_geo_resolution])</f>
        <v>LA</v>
      </c>
      <c r="L1249" s="22" t="str">
        <f>_xlfn.XLOOKUP(tblRequirementMeasureXref[[#This Row],[msr_id]],tblMeasure[msr_id],tblMeasure[src_name])</f>
        <v>Improved Better Care Fund</v>
      </c>
    </row>
    <row r="1250" spans="1:12" x14ac:dyDescent="0.15">
      <c r="A1250" s="1" t="str">
        <f>_xlfn.XLOOKUP(tblRequirementMeasureXref[[#This Row],[dm_id]],tblDataRequirement[dm_id],tblDataRequirement[domain_sub_requirement])</f>
        <v>Service:Support setting:Home</v>
      </c>
      <c r="B1250" s="1" t="str">
        <f>_xlfn.XLOOKUP(tblRequirementMeasureXref[[#This Row],[dm_id]],tblDataRequirement[dm_id],tblDataRequirement[dm_phase])</f>
        <v>operate</v>
      </c>
      <c r="C1250" s="1">
        <v>40</v>
      </c>
      <c r="D1250" s="1">
        <v>327</v>
      </c>
      <c r="G1250" s="1"/>
      <c r="H1250" s="62" t="str">
        <f>_xlfn.XLOOKUP(tblRequirementMeasureXref[[#This Row],[msr_id]],tblMeasure[msr_id],tblMeasure[msr_table])</f>
        <v>Table A</v>
      </c>
      <c r="I1250" s="22" t="str">
        <f>_xlfn.XLOOKUP(tblRequirementMeasureXref[[#This Row],[msr_id]],tblMeasure[msr_id],tblMeasure[msr_name])</f>
        <v>Planned impact on fees paid to external home/residential/nursing care providers, by LA</v>
      </c>
      <c r="J1250" s="22" t="str">
        <f>_xlfn.XLOOKUP(tblRequirementMeasureXref[[#This Row],[msr_id]],tblMeasure[msr_id],tblMeasure[primary_dimensions])</f>
        <v>amount paid to external providers</v>
      </c>
      <c r="K1250" s="22" t="str">
        <f>_xlfn.XLOOKUP(tblRequirementMeasureXref[[#This Row],[msr_id]],tblMeasure[msr_id],tblMeasure[msr_min_geo_resolution])</f>
        <v>LA</v>
      </c>
      <c r="L1250" s="22" t="str">
        <f>_xlfn.XLOOKUP(tblRequirementMeasureXref[[#This Row],[msr_id]],tblMeasure[msr_id],tblMeasure[src_name])</f>
        <v>Improved Better Care Fund</v>
      </c>
    </row>
    <row r="1251" spans="1:12" x14ac:dyDescent="0.15">
      <c r="A1251" s="1" t="str">
        <f>_xlfn.XLOOKUP(tblRequirementMeasureXref[[#This Row],[dm_id]],tblDataRequirement[dm_id],tblDataRequirement[domain_sub_requirement])</f>
        <v>Service:Support setting:Residential care home</v>
      </c>
      <c r="B1251" s="1" t="str">
        <f>_xlfn.XLOOKUP(tblRequirementMeasureXref[[#This Row],[dm_id]],tblDataRequirement[dm_id],tblDataRequirement[dm_phase])</f>
        <v>operate</v>
      </c>
      <c r="C1251" s="1">
        <v>41</v>
      </c>
      <c r="D1251" s="1">
        <v>327</v>
      </c>
      <c r="G1251" s="1"/>
      <c r="H1251" s="62" t="str">
        <f>_xlfn.XLOOKUP(tblRequirementMeasureXref[[#This Row],[msr_id]],tblMeasure[msr_id],tblMeasure[msr_table])</f>
        <v>Table A</v>
      </c>
      <c r="I1251" s="22" t="str">
        <f>_xlfn.XLOOKUP(tblRequirementMeasureXref[[#This Row],[msr_id]],tblMeasure[msr_id],tblMeasure[msr_name])</f>
        <v>Planned impact on fees paid to external home/residential/nursing care providers, by LA</v>
      </c>
      <c r="J1251" s="22" t="str">
        <f>_xlfn.XLOOKUP(tblRequirementMeasureXref[[#This Row],[msr_id]],tblMeasure[msr_id],tblMeasure[primary_dimensions])</f>
        <v>amount paid to external providers</v>
      </c>
      <c r="K1251" s="22" t="str">
        <f>_xlfn.XLOOKUP(tblRequirementMeasureXref[[#This Row],[msr_id]],tblMeasure[msr_id],tblMeasure[msr_min_geo_resolution])</f>
        <v>LA</v>
      </c>
      <c r="L1251" s="22" t="str">
        <f>_xlfn.XLOOKUP(tblRequirementMeasureXref[[#This Row],[msr_id]],tblMeasure[msr_id],tblMeasure[src_name])</f>
        <v>Improved Better Care Fund</v>
      </c>
    </row>
    <row r="1252" spans="1:12" x14ac:dyDescent="0.15">
      <c r="A1252" s="1" t="str">
        <f>_xlfn.XLOOKUP(tblRequirementMeasureXref[[#This Row],[dm_id]],tblDataRequirement[dm_id],tblDataRequirement[domain_sub_requirement])</f>
        <v>Service:Support setting:Nursing home</v>
      </c>
      <c r="B1252" s="1" t="str">
        <f>_xlfn.XLOOKUP(tblRequirementMeasureXref[[#This Row],[dm_id]],tblDataRequirement[dm_id],tblDataRequirement[dm_phase])</f>
        <v>operate</v>
      </c>
      <c r="C1252" s="1">
        <v>42</v>
      </c>
      <c r="D1252" s="1">
        <v>327</v>
      </c>
      <c r="G1252" s="1"/>
      <c r="H1252" s="62" t="str">
        <f>_xlfn.XLOOKUP(tblRequirementMeasureXref[[#This Row],[msr_id]],tblMeasure[msr_id],tblMeasure[msr_table])</f>
        <v>Table A</v>
      </c>
      <c r="I1252" s="22" t="str">
        <f>_xlfn.XLOOKUP(tblRequirementMeasureXref[[#This Row],[msr_id]],tblMeasure[msr_id],tblMeasure[msr_name])</f>
        <v>Planned impact on fees paid to external home/residential/nursing care providers, by LA</v>
      </c>
      <c r="J1252" s="22" t="str">
        <f>_xlfn.XLOOKUP(tblRequirementMeasureXref[[#This Row],[msr_id]],tblMeasure[msr_id],tblMeasure[primary_dimensions])</f>
        <v>amount paid to external providers</v>
      </c>
      <c r="K1252" s="22" t="str">
        <f>_xlfn.XLOOKUP(tblRequirementMeasureXref[[#This Row],[msr_id]],tblMeasure[msr_id],tblMeasure[msr_min_geo_resolution])</f>
        <v>LA</v>
      </c>
      <c r="L1252" s="22" t="str">
        <f>_xlfn.XLOOKUP(tblRequirementMeasureXref[[#This Row],[msr_id]],tblMeasure[msr_id],tblMeasure[src_name])</f>
        <v>Improved Better Care Fund</v>
      </c>
    </row>
    <row r="1253" spans="1:12" x14ac:dyDescent="0.15">
      <c r="A1253" s="1" t="str">
        <f>_xlfn.XLOOKUP(tblRequirementMeasureXref[[#This Row],[dm_id]],tblDataRequirement[dm_id],tblDataRequirement[domain_sub_requirement])</f>
        <v>Funders:Budget:Local authorities</v>
      </c>
      <c r="B1253" s="1" t="str">
        <f>_xlfn.XLOOKUP(tblRequirementMeasureXref[[#This Row],[dm_id]],tblDataRequirement[dm_id],tblDataRequirement[dm_phase])</f>
        <v>supply</v>
      </c>
      <c r="C1253" s="1">
        <v>1</v>
      </c>
      <c r="D1253" s="1">
        <v>328</v>
      </c>
      <c r="G1253" s="1"/>
      <c r="H1253" s="62">
        <f>_xlfn.XLOOKUP(tblRequirementMeasureXref[[#This Row],[msr_id]],tblMeasure[msr_id],tblMeasure[msr_table])</f>
        <v>332</v>
      </c>
      <c r="I1253" s="22" t="str">
        <f>_xlfn.XLOOKUP(tblRequirementMeasureXref[[#This Row],[msr_id]],tblMeasure[msr_id],tblMeasure[msr_name])</f>
        <v>Physical support - adults (18–64)</v>
      </c>
      <c r="J1253" s="22" t="str">
        <f>_xlfn.XLOOKUP(tblRequirementMeasureXref[[#This Row],[msr_id]],tblMeasure[msr_id],tblMeasure[primary_dimensions])</f>
        <v>expenditure</v>
      </c>
      <c r="K1253" s="22" t="str">
        <f>_xlfn.XLOOKUP(tblRequirementMeasureXref[[#This Row],[msr_id]],tblMeasure[msr_id],tblMeasure[msr_min_geo_resolution])</f>
        <v>LA</v>
      </c>
      <c r="L1253" s="22" t="str">
        <f>_xlfn.XLOOKUP(tblRequirementMeasureXref[[#This Row],[msr_id]],tblMeasure[msr_id],tblMeasure[src_name])</f>
        <v>LA revenue expenditure and financing</v>
      </c>
    </row>
    <row r="1254" spans="1:12" x14ac:dyDescent="0.15">
      <c r="A1254" s="1" t="str">
        <f>_xlfn.XLOOKUP(tblRequirementMeasureXref[[#This Row],[dm_id]],tblDataRequirement[dm_id],tblDataRequirement[domain_sub_requirement])</f>
        <v>Funders:Budget:Central government</v>
      </c>
      <c r="B1254" s="1" t="str">
        <f>_xlfn.XLOOKUP(tblRequirementMeasureXref[[#This Row],[dm_id]],tblDataRequirement[dm_id],tblDataRequirement[dm_phase])</f>
        <v>supply</v>
      </c>
      <c r="C1254" s="1">
        <v>2</v>
      </c>
      <c r="D1254" s="1">
        <v>328</v>
      </c>
      <c r="G1254" s="1"/>
      <c r="H1254" s="62">
        <f>_xlfn.XLOOKUP(tblRequirementMeasureXref[[#This Row],[msr_id]],tblMeasure[msr_id],tblMeasure[msr_table])</f>
        <v>332</v>
      </c>
      <c r="I1254" s="22" t="str">
        <f>_xlfn.XLOOKUP(tblRequirementMeasureXref[[#This Row],[msr_id]],tblMeasure[msr_id],tblMeasure[msr_name])</f>
        <v>Physical support - adults (18–64)</v>
      </c>
      <c r="J1254" s="22" t="str">
        <f>_xlfn.XLOOKUP(tblRequirementMeasureXref[[#This Row],[msr_id]],tblMeasure[msr_id],tblMeasure[primary_dimensions])</f>
        <v>expenditure</v>
      </c>
      <c r="K1254" s="22" t="str">
        <f>_xlfn.XLOOKUP(tblRequirementMeasureXref[[#This Row],[msr_id]],tblMeasure[msr_id],tblMeasure[msr_min_geo_resolution])</f>
        <v>LA</v>
      </c>
      <c r="L1254" s="22" t="str">
        <f>_xlfn.XLOOKUP(tblRequirementMeasureXref[[#This Row],[msr_id]],tblMeasure[msr_id],tblMeasure[src_name])</f>
        <v>LA revenue expenditure and financing</v>
      </c>
    </row>
    <row r="1255" spans="1:12" x14ac:dyDescent="0.15">
      <c r="A1255" s="1" t="str">
        <f>_xlfn.XLOOKUP(tblRequirementMeasureXref[[#This Row],[dm_id]],tblDataRequirement[dm_id],tblDataRequirement[domain_sub_requirement])</f>
        <v>Users:Demographics:Age</v>
      </c>
      <c r="B1255" s="1" t="str">
        <f>_xlfn.XLOOKUP(tblRequirementMeasureXref[[#This Row],[dm_id]],tblDataRequirement[dm_id],tblDataRequirement[dm_phase])</f>
        <v>demand</v>
      </c>
      <c r="C1255" s="1">
        <v>51</v>
      </c>
      <c r="D1255" s="1">
        <v>328</v>
      </c>
      <c r="G1255" s="1"/>
      <c r="H1255" s="62">
        <f>_xlfn.XLOOKUP(tblRequirementMeasureXref[[#This Row],[msr_id]],tblMeasure[msr_id],tblMeasure[msr_table])</f>
        <v>332</v>
      </c>
      <c r="I1255" s="22" t="str">
        <f>_xlfn.XLOOKUP(tblRequirementMeasureXref[[#This Row],[msr_id]],tblMeasure[msr_id],tblMeasure[msr_name])</f>
        <v>Physical support - adults (18–64)</v>
      </c>
      <c r="J1255" s="22" t="str">
        <f>_xlfn.XLOOKUP(tblRequirementMeasureXref[[#This Row],[msr_id]],tblMeasure[msr_id],tblMeasure[primary_dimensions])</f>
        <v>expenditure</v>
      </c>
      <c r="K1255" s="22" t="str">
        <f>_xlfn.XLOOKUP(tblRequirementMeasureXref[[#This Row],[msr_id]],tblMeasure[msr_id],tblMeasure[msr_min_geo_resolution])</f>
        <v>LA</v>
      </c>
      <c r="L1255" s="22" t="str">
        <f>_xlfn.XLOOKUP(tblRequirementMeasureXref[[#This Row],[msr_id]],tblMeasure[msr_id],tblMeasure[src_name])</f>
        <v>LA revenue expenditure and financing</v>
      </c>
    </row>
    <row r="1256" spans="1:12" x14ac:dyDescent="0.15">
      <c r="A1256" s="1" t="str">
        <f>_xlfn.XLOOKUP(tblRequirementMeasureXref[[#This Row],[dm_id]],tblDataRequirement[dm_id],tblDataRequirement[domain_sub_requirement])</f>
        <v>Users:Care need:Support reason</v>
      </c>
      <c r="B1256" s="1" t="str">
        <f>_xlfn.XLOOKUP(tblRequirementMeasureXref[[#This Row],[dm_id]],tblDataRequirement[dm_id],tblDataRequirement[dm_phase])</f>
        <v>demand</v>
      </c>
      <c r="C1256" s="1">
        <v>56</v>
      </c>
      <c r="D1256" s="1">
        <v>328</v>
      </c>
      <c r="G1256" s="1"/>
      <c r="H1256" s="62">
        <f>_xlfn.XLOOKUP(tblRequirementMeasureXref[[#This Row],[msr_id]],tblMeasure[msr_id],tblMeasure[msr_table])</f>
        <v>332</v>
      </c>
      <c r="I1256" s="22" t="str">
        <f>_xlfn.XLOOKUP(tblRequirementMeasureXref[[#This Row],[msr_id]],tblMeasure[msr_id],tblMeasure[msr_name])</f>
        <v>Physical support - adults (18–64)</v>
      </c>
      <c r="J1256" s="22" t="str">
        <f>_xlfn.XLOOKUP(tblRequirementMeasureXref[[#This Row],[msr_id]],tblMeasure[msr_id],tblMeasure[primary_dimensions])</f>
        <v>expenditure</v>
      </c>
      <c r="K1256" s="22" t="str">
        <f>_xlfn.XLOOKUP(tblRequirementMeasureXref[[#This Row],[msr_id]],tblMeasure[msr_id],tblMeasure[msr_min_geo_resolution])</f>
        <v>LA</v>
      </c>
      <c r="L1256" s="22" t="str">
        <f>_xlfn.XLOOKUP(tblRequirementMeasureXref[[#This Row],[msr_id]],tblMeasure[msr_id],tblMeasure[src_name])</f>
        <v>LA revenue expenditure and financing</v>
      </c>
    </row>
    <row r="1257" spans="1:12" x14ac:dyDescent="0.15">
      <c r="A1257" s="1" t="str">
        <f>_xlfn.XLOOKUP(tblRequirementMeasureXref[[#This Row],[dm_id]],tblDataRequirement[dm_id],tblDataRequirement[domain_sub_requirement])</f>
        <v>Funders:Budget:Local authorities</v>
      </c>
      <c r="B1257" s="1" t="str">
        <f>_xlfn.XLOOKUP(tblRequirementMeasureXref[[#This Row],[dm_id]],tblDataRequirement[dm_id],tblDataRequirement[dm_phase])</f>
        <v>supply</v>
      </c>
      <c r="C1257" s="1">
        <v>1</v>
      </c>
      <c r="D1257" s="1">
        <v>329</v>
      </c>
      <c r="G1257" s="1"/>
      <c r="H1257" s="62">
        <f>_xlfn.XLOOKUP(tblRequirementMeasureXref[[#This Row],[msr_id]],tblMeasure[msr_id],tblMeasure[msr_table])</f>
        <v>333</v>
      </c>
      <c r="I1257" s="22" t="str">
        <f>_xlfn.XLOOKUP(tblRequirementMeasureXref[[#This Row],[msr_id]],tblMeasure[msr_id],tblMeasure[msr_name])</f>
        <v>Physical support - older people (65+)</v>
      </c>
      <c r="J1257" s="22" t="str">
        <f>_xlfn.XLOOKUP(tblRequirementMeasureXref[[#This Row],[msr_id]],tblMeasure[msr_id],tblMeasure[primary_dimensions])</f>
        <v>expenditure</v>
      </c>
      <c r="K1257" s="22" t="str">
        <f>_xlfn.XLOOKUP(tblRequirementMeasureXref[[#This Row],[msr_id]],tblMeasure[msr_id],tblMeasure[msr_min_geo_resolution])</f>
        <v>LA</v>
      </c>
      <c r="L1257" s="22" t="str">
        <f>_xlfn.XLOOKUP(tblRequirementMeasureXref[[#This Row],[msr_id]],tblMeasure[msr_id],tblMeasure[src_name])</f>
        <v>LA revenue expenditure and financing</v>
      </c>
    </row>
    <row r="1258" spans="1:12" x14ac:dyDescent="0.15">
      <c r="A1258" s="1" t="str">
        <f>_xlfn.XLOOKUP(tblRequirementMeasureXref[[#This Row],[dm_id]],tblDataRequirement[dm_id],tblDataRequirement[domain_sub_requirement])</f>
        <v>Funders:Budget:Central government</v>
      </c>
      <c r="B1258" s="1" t="str">
        <f>_xlfn.XLOOKUP(tblRequirementMeasureXref[[#This Row],[dm_id]],tblDataRequirement[dm_id],tblDataRequirement[dm_phase])</f>
        <v>supply</v>
      </c>
      <c r="C1258" s="1">
        <v>2</v>
      </c>
      <c r="D1258" s="1">
        <v>329</v>
      </c>
      <c r="G1258" s="1"/>
      <c r="H1258" s="62">
        <f>_xlfn.XLOOKUP(tblRequirementMeasureXref[[#This Row],[msr_id]],tblMeasure[msr_id],tblMeasure[msr_table])</f>
        <v>333</v>
      </c>
      <c r="I1258" s="22" t="str">
        <f>_xlfn.XLOOKUP(tblRequirementMeasureXref[[#This Row],[msr_id]],tblMeasure[msr_id],tblMeasure[msr_name])</f>
        <v>Physical support - older people (65+)</v>
      </c>
      <c r="J1258" s="22" t="str">
        <f>_xlfn.XLOOKUP(tblRequirementMeasureXref[[#This Row],[msr_id]],tblMeasure[msr_id],tblMeasure[primary_dimensions])</f>
        <v>expenditure</v>
      </c>
      <c r="K1258" s="22" t="str">
        <f>_xlfn.XLOOKUP(tblRequirementMeasureXref[[#This Row],[msr_id]],tblMeasure[msr_id],tblMeasure[msr_min_geo_resolution])</f>
        <v>LA</v>
      </c>
      <c r="L1258" s="22" t="str">
        <f>_xlfn.XLOOKUP(tblRequirementMeasureXref[[#This Row],[msr_id]],tblMeasure[msr_id],tblMeasure[src_name])</f>
        <v>LA revenue expenditure and financing</v>
      </c>
    </row>
    <row r="1259" spans="1:12" x14ac:dyDescent="0.15">
      <c r="A1259" s="1" t="str">
        <f>_xlfn.XLOOKUP(tblRequirementMeasureXref[[#This Row],[dm_id]],tblDataRequirement[dm_id],tblDataRequirement[domain_sub_requirement])</f>
        <v>Users:Demographics:Age</v>
      </c>
      <c r="B1259" s="1" t="str">
        <f>_xlfn.XLOOKUP(tblRequirementMeasureXref[[#This Row],[dm_id]],tblDataRequirement[dm_id],tblDataRequirement[dm_phase])</f>
        <v>demand</v>
      </c>
      <c r="C1259" s="1">
        <v>51</v>
      </c>
      <c r="D1259" s="1">
        <v>329</v>
      </c>
      <c r="G1259" s="1"/>
      <c r="H1259" s="62">
        <f>_xlfn.XLOOKUP(tblRequirementMeasureXref[[#This Row],[msr_id]],tblMeasure[msr_id],tblMeasure[msr_table])</f>
        <v>333</v>
      </c>
      <c r="I1259" s="22" t="str">
        <f>_xlfn.XLOOKUP(tblRequirementMeasureXref[[#This Row],[msr_id]],tblMeasure[msr_id],tblMeasure[msr_name])</f>
        <v>Physical support - older people (65+)</v>
      </c>
      <c r="J1259" s="22" t="str">
        <f>_xlfn.XLOOKUP(tblRequirementMeasureXref[[#This Row],[msr_id]],tblMeasure[msr_id],tblMeasure[primary_dimensions])</f>
        <v>expenditure</v>
      </c>
      <c r="K1259" s="22" t="str">
        <f>_xlfn.XLOOKUP(tblRequirementMeasureXref[[#This Row],[msr_id]],tblMeasure[msr_id],tblMeasure[msr_min_geo_resolution])</f>
        <v>LA</v>
      </c>
      <c r="L1259" s="22" t="str">
        <f>_xlfn.XLOOKUP(tblRequirementMeasureXref[[#This Row],[msr_id]],tblMeasure[msr_id],tblMeasure[src_name])</f>
        <v>LA revenue expenditure and financing</v>
      </c>
    </row>
    <row r="1260" spans="1:12" x14ac:dyDescent="0.15">
      <c r="A1260" s="1" t="str">
        <f>_xlfn.XLOOKUP(tblRequirementMeasureXref[[#This Row],[dm_id]],tblDataRequirement[dm_id],tblDataRequirement[domain_sub_requirement])</f>
        <v>Users:Care need:Support reason</v>
      </c>
      <c r="B1260" s="1" t="str">
        <f>_xlfn.XLOOKUP(tblRequirementMeasureXref[[#This Row],[dm_id]],tblDataRequirement[dm_id],tblDataRequirement[dm_phase])</f>
        <v>demand</v>
      </c>
      <c r="C1260" s="1">
        <v>56</v>
      </c>
      <c r="D1260" s="1">
        <v>329</v>
      </c>
      <c r="G1260" s="1"/>
      <c r="H1260" s="62">
        <f>_xlfn.XLOOKUP(tblRequirementMeasureXref[[#This Row],[msr_id]],tblMeasure[msr_id],tblMeasure[msr_table])</f>
        <v>333</v>
      </c>
      <c r="I1260" s="22" t="str">
        <f>_xlfn.XLOOKUP(tblRequirementMeasureXref[[#This Row],[msr_id]],tblMeasure[msr_id],tblMeasure[msr_name])</f>
        <v>Physical support - older people (65+)</v>
      </c>
      <c r="J1260" s="22" t="str">
        <f>_xlfn.XLOOKUP(tblRequirementMeasureXref[[#This Row],[msr_id]],tblMeasure[msr_id],tblMeasure[primary_dimensions])</f>
        <v>expenditure</v>
      </c>
      <c r="K1260" s="22" t="str">
        <f>_xlfn.XLOOKUP(tblRequirementMeasureXref[[#This Row],[msr_id]],tblMeasure[msr_id],tblMeasure[msr_min_geo_resolution])</f>
        <v>LA</v>
      </c>
      <c r="L1260" s="22" t="str">
        <f>_xlfn.XLOOKUP(tblRequirementMeasureXref[[#This Row],[msr_id]],tblMeasure[msr_id],tblMeasure[src_name])</f>
        <v>LA revenue expenditure and financing</v>
      </c>
    </row>
    <row r="1261" spans="1:12" x14ac:dyDescent="0.15">
      <c r="A1261" s="1" t="str">
        <f>_xlfn.XLOOKUP(tblRequirementMeasureXref[[#This Row],[dm_id]],tblDataRequirement[dm_id],tblDataRequirement[domain_sub_requirement])</f>
        <v>Funders:Budget:Local authorities</v>
      </c>
      <c r="B1261" s="1" t="str">
        <f>_xlfn.XLOOKUP(tblRequirementMeasureXref[[#This Row],[dm_id]],tblDataRequirement[dm_id],tblDataRequirement[dm_phase])</f>
        <v>supply</v>
      </c>
      <c r="C1261" s="1">
        <v>1</v>
      </c>
      <c r="D1261" s="1">
        <v>330</v>
      </c>
      <c r="G1261" s="1"/>
      <c r="H1261" s="62">
        <f>_xlfn.XLOOKUP(tblRequirementMeasureXref[[#This Row],[msr_id]],tblMeasure[msr_id],tblMeasure[msr_table])</f>
        <v>334</v>
      </c>
      <c r="I1261" s="22" t="str">
        <f>_xlfn.XLOOKUP(tblRequirementMeasureXref[[#This Row],[msr_id]],tblMeasure[msr_id],tblMeasure[msr_name])</f>
        <v>Sensory support - adults (18–64)</v>
      </c>
      <c r="J1261" s="22" t="str">
        <f>_xlfn.XLOOKUP(tblRequirementMeasureXref[[#This Row],[msr_id]],tblMeasure[msr_id],tblMeasure[primary_dimensions])</f>
        <v>expenditure</v>
      </c>
      <c r="K1261" s="22" t="str">
        <f>_xlfn.XLOOKUP(tblRequirementMeasureXref[[#This Row],[msr_id]],tblMeasure[msr_id],tblMeasure[msr_min_geo_resolution])</f>
        <v>LA</v>
      </c>
      <c r="L1261" s="22" t="str">
        <f>_xlfn.XLOOKUP(tblRequirementMeasureXref[[#This Row],[msr_id]],tblMeasure[msr_id],tblMeasure[src_name])</f>
        <v>LA revenue expenditure and financing</v>
      </c>
    </row>
    <row r="1262" spans="1:12" x14ac:dyDescent="0.15">
      <c r="A1262" s="1" t="str">
        <f>_xlfn.XLOOKUP(tblRequirementMeasureXref[[#This Row],[dm_id]],tblDataRequirement[dm_id],tblDataRequirement[domain_sub_requirement])</f>
        <v>Funders:Budget:Central government</v>
      </c>
      <c r="B1262" s="1" t="str">
        <f>_xlfn.XLOOKUP(tblRequirementMeasureXref[[#This Row],[dm_id]],tblDataRequirement[dm_id],tblDataRequirement[dm_phase])</f>
        <v>supply</v>
      </c>
      <c r="C1262" s="1">
        <v>2</v>
      </c>
      <c r="D1262" s="1">
        <v>330</v>
      </c>
      <c r="G1262" s="1"/>
      <c r="H1262" s="62">
        <f>_xlfn.XLOOKUP(tblRequirementMeasureXref[[#This Row],[msr_id]],tblMeasure[msr_id],tblMeasure[msr_table])</f>
        <v>334</v>
      </c>
      <c r="I1262" s="22" t="str">
        <f>_xlfn.XLOOKUP(tblRequirementMeasureXref[[#This Row],[msr_id]],tblMeasure[msr_id],tblMeasure[msr_name])</f>
        <v>Sensory support - adults (18–64)</v>
      </c>
      <c r="J1262" s="22" t="str">
        <f>_xlfn.XLOOKUP(tblRequirementMeasureXref[[#This Row],[msr_id]],tblMeasure[msr_id],tblMeasure[primary_dimensions])</f>
        <v>expenditure</v>
      </c>
      <c r="K1262" s="22" t="str">
        <f>_xlfn.XLOOKUP(tblRequirementMeasureXref[[#This Row],[msr_id]],tblMeasure[msr_id],tblMeasure[msr_min_geo_resolution])</f>
        <v>LA</v>
      </c>
      <c r="L1262" s="22" t="str">
        <f>_xlfn.XLOOKUP(tblRequirementMeasureXref[[#This Row],[msr_id]],tblMeasure[msr_id],tblMeasure[src_name])</f>
        <v>LA revenue expenditure and financing</v>
      </c>
    </row>
    <row r="1263" spans="1:12" x14ac:dyDescent="0.15">
      <c r="A1263" s="1" t="str">
        <f>_xlfn.XLOOKUP(tblRequirementMeasureXref[[#This Row],[dm_id]],tblDataRequirement[dm_id],tblDataRequirement[domain_sub_requirement])</f>
        <v>Users:Demographics:Age</v>
      </c>
      <c r="B1263" s="1" t="str">
        <f>_xlfn.XLOOKUP(tblRequirementMeasureXref[[#This Row],[dm_id]],tblDataRequirement[dm_id],tblDataRequirement[dm_phase])</f>
        <v>demand</v>
      </c>
      <c r="C1263" s="1">
        <v>51</v>
      </c>
      <c r="D1263" s="1">
        <v>330</v>
      </c>
      <c r="G1263" s="1"/>
      <c r="H1263" s="62">
        <f>_xlfn.XLOOKUP(tblRequirementMeasureXref[[#This Row],[msr_id]],tblMeasure[msr_id],tblMeasure[msr_table])</f>
        <v>334</v>
      </c>
      <c r="I1263" s="22" t="str">
        <f>_xlfn.XLOOKUP(tblRequirementMeasureXref[[#This Row],[msr_id]],tblMeasure[msr_id],tblMeasure[msr_name])</f>
        <v>Sensory support - adults (18–64)</v>
      </c>
      <c r="J1263" s="22" t="str">
        <f>_xlfn.XLOOKUP(tblRequirementMeasureXref[[#This Row],[msr_id]],tblMeasure[msr_id],tblMeasure[primary_dimensions])</f>
        <v>expenditure</v>
      </c>
      <c r="K1263" s="22" t="str">
        <f>_xlfn.XLOOKUP(tblRequirementMeasureXref[[#This Row],[msr_id]],tblMeasure[msr_id],tblMeasure[msr_min_geo_resolution])</f>
        <v>LA</v>
      </c>
      <c r="L1263" s="22" t="str">
        <f>_xlfn.XLOOKUP(tblRequirementMeasureXref[[#This Row],[msr_id]],tblMeasure[msr_id],tblMeasure[src_name])</f>
        <v>LA revenue expenditure and financing</v>
      </c>
    </row>
    <row r="1264" spans="1:12" x14ac:dyDescent="0.15">
      <c r="A1264" s="1" t="str">
        <f>_xlfn.XLOOKUP(tblRequirementMeasureXref[[#This Row],[dm_id]],tblDataRequirement[dm_id],tblDataRequirement[domain_sub_requirement])</f>
        <v>Users:Care need:Support reason</v>
      </c>
      <c r="B1264" s="1" t="str">
        <f>_xlfn.XLOOKUP(tblRequirementMeasureXref[[#This Row],[dm_id]],tblDataRequirement[dm_id],tblDataRequirement[dm_phase])</f>
        <v>demand</v>
      </c>
      <c r="C1264" s="1">
        <v>56</v>
      </c>
      <c r="D1264" s="1">
        <v>330</v>
      </c>
      <c r="G1264" s="1"/>
      <c r="H1264" s="62">
        <f>_xlfn.XLOOKUP(tblRequirementMeasureXref[[#This Row],[msr_id]],tblMeasure[msr_id],tblMeasure[msr_table])</f>
        <v>334</v>
      </c>
      <c r="I1264" s="22" t="str">
        <f>_xlfn.XLOOKUP(tblRequirementMeasureXref[[#This Row],[msr_id]],tblMeasure[msr_id],tblMeasure[msr_name])</f>
        <v>Sensory support - adults (18–64)</v>
      </c>
      <c r="J1264" s="22" t="str">
        <f>_xlfn.XLOOKUP(tblRequirementMeasureXref[[#This Row],[msr_id]],tblMeasure[msr_id],tblMeasure[primary_dimensions])</f>
        <v>expenditure</v>
      </c>
      <c r="K1264" s="22" t="str">
        <f>_xlfn.XLOOKUP(tblRequirementMeasureXref[[#This Row],[msr_id]],tblMeasure[msr_id],tblMeasure[msr_min_geo_resolution])</f>
        <v>LA</v>
      </c>
      <c r="L1264" s="22" t="str">
        <f>_xlfn.XLOOKUP(tblRequirementMeasureXref[[#This Row],[msr_id]],tblMeasure[msr_id],tblMeasure[src_name])</f>
        <v>LA revenue expenditure and financing</v>
      </c>
    </row>
    <row r="1265" spans="1:12" x14ac:dyDescent="0.15">
      <c r="A1265" s="1" t="str">
        <f>_xlfn.XLOOKUP(tblRequirementMeasureXref[[#This Row],[dm_id]],tblDataRequirement[dm_id],tblDataRequirement[domain_sub_requirement])</f>
        <v>Funders:Budget:Local authorities</v>
      </c>
      <c r="B1265" s="1" t="str">
        <f>_xlfn.XLOOKUP(tblRequirementMeasureXref[[#This Row],[dm_id]],tblDataRequirement[dm_id],tblDataRequirement[dm_phase])</f>
        <v>supply</v>
      </c>
      <c r="C1265" s="1">
        <v>1</v>
      </c>
      <c r="D1265" s="1">
        <v>331</v>
      </c>
      <c r="G1265" s="1"/>
      <c r="H1265" s="62">
        <f>_xlfn.XLOOKUP(tblRequirementMeasureXref[[#This Row],[msr_id]],tblMeasure[msr_id],tblMeasure[msr_table])</f>
        <v>335</v>
      </c>
      <c r="I1265" s="22" t="str">
        <f>_xlfn.XLOOKUP(tblRequirementMeasureXref[[#This Row],[msr_id]],tblMeasure[msr_id],tblMeasure[msr_name])</f>
        <v>Sensory support - older people (65+)</v>
      </c>
      <c r="J1265" s="22" t="str">
        <f>_xlfn.XLOOKUP(tblRequirementMeasureXref[[#This Row],[msr_id]],tblMeasure[msr_id],tblMeasure[primary_dimensions])</f>
        <v>expenditure</v>
      </c>
      <c r="K1265" s="22" t="str">
        <f>_xlfn.XLOOKUP(tblRequirementMeasureXref[[#This Row],[msr_id]],tblMeasure[msr_id],tblMeasure[msr_min_geo_resolution])</f>
        <v>LA</v>
      </c>
      <c r="L1265" s="22" t="str">
        <f>_xlfn.XLOOKUP(tblRequirementMeasureXref[[#This Row],[msr_id]],tblMeasure[msr_id],tblMeasure[src_name])</f>
        <v>LA revenue expenditure and financing</v>
      </c>
    </row>
    <row r="1266" spans="1:12" x14ac:dyDescent="0.15">
      <c r="A1266" s="1" t="str">
        <f>_xlfn.XLOOKUP(tblRequirementMeasureXref[[#This Row],[dm_id]],tblDataRequirement[dm_id],tblDataRequirement[domain_sub_requirement])</f>
        <v>Funders:Budget:Central government</v>
      </c>
      <c r="B1266" s="1" t="str">
        <f>_xlfn.XLOOKUP(tblRequirementMeasureXref[[#This Row],[dm_id]],tblDataRequirement[dm_id],tblDataRequirement[dm_phase])</f>
        <v>supply</v>
      </c>
      <c r="C1266" s="1">
        <v>2</v>
      </c>
      <c r="D1266" s="1">
        <v>331</v>
      </c>
      <c r="G1266" s="1"/>
      <c r="H1266" s="62">
        <f>_xlfn.XLOOKUP(tblRequirementMeasureXref[[#This Row],[msr_id]],tblMeasure[msr_id],tblMeasure[msr_table])</f>
        <v>335</v>
      </c>
      <c r="I1266" s="22" t="str">
        <f>_xlfn.XLOOKUP(tblRequirementMeasureXref[[#This Row],[msr_id]],tblMeasure[msr_id],tblMeasure[msr_name])</f>
        <v>Sensory support - older people (65+)</v>
      </c>
      <c r="J1266" s="22" t="str">
        <f>_xlfn.XLOOKUP(tblRequirementMeasureXref[[#This Row],[msr_id]],tblMeasure[msr_id],tblMeasure[primary_dimensions])</f>
        <v>expenditure</v>
      </c>
      <c r="K1266" s="22" t="str">
        <f>_xlfn.XLOOKUP(tblRequirementMeasureXref[[#This Row],[msr_id]],tblMeasure[msr_id],tblMeasure[msr_min_geo_resolution])</f>
        <v>LA</v>
      </c>
      <c r="L1266" s="22" t="str">
        <f>_xlfn.XLOOKUP(tblRequirementMeasureXref[[#This Row],[msr_id]],tblMeasure[msr_id],tblMeasure[src_name])</f>
        <v>LA revenue expenditure and financing</v>
      </c>
    </row>
    <row r="1267" spans="1:12" x14ac:dyDescent="0.15">
      <c r="A1267" s="1" t="str">
        <f>_xlfn.XLOOKUP(tblRequirementMeasureXref[[#This Row],[dm_id]],tblDataRequirement[dm_id],tblDataRequirement[domain_sub_requirement])</f>
        <v>Users:Demographics:Age</v>
      </c>
      <c r="B1267" s="1" t="str">
        <f>_xlfn.XLOOKUP(tblRequirementMeasureXref[[#This Row],[dm_id]],tblDataRequirement[dm_id],tblDataRequirement[dm_phase])</f>
        <v>demand</v>
      </c>
      <c r="C1267" s="1">
        <v>51</v>
      </c>
      <c r="D1267" s="1">
        <v>331</v>
      </c>
      <c r="G1267" s="1"/>
      <c r="H1267" s="62">
        <f>_xlfn.XLOOKUP(tblRequirementMeasureXref[[#This Row],[msr_id]],tblMeasure[msr_id],tblMeasure[msr_table])</f>
        <v>335</v>
      </c>
      <c r="I1267" s="22" t="str">
        <f>_xlfn.XLOOKUP(tblRequirementMeasureXref[[#This Row],[msr_id]],tblMeasure[msr_id],tblMeasure[msr_name])</f>
        <v>Sensory support - older people (65+)</v>
      </c>
      <c r="J1267" s="22" t="str">
        <f>_xlfn.XLOOKUP(tblRequirementMeasureXref[[#This Row],[msr_id]],tblMeasure[msr_id],tblMeasure[primary_dimensions])</f>
        <v>expenditure</v>
      </c>
      <c r="K1267" s="22" t="str">
        <f>_xlfn.XLOOKUP(tblRequirementMeasureXref[[#This Row],[msr_id]],tblMeasure[msr_id],tblMeasure[msr_min_geo_resolution])</f>
        <v>LA</v>
      </c>
      <c r="L1267" s="22" t="str">
        <f>_xlfn.XLOOKUP(tblRequirementMeasureXref[[#This Row],[msr_id]],tblMeasure[msr_id],tblMeasure[src_name])</f>
        <v>LA revenue expenditure and financing</v>
      </c>
    </row>
    <row r="1268" spans="1:12" x14ac:dyDescent="0.15">
      <c r="A1268" s="1" t="str">
        <f>_xlfn.XLOOKUP(tblRequirementMeasureXref[[#This Row],[dm_id]],tblDataRequirement[dm_id],tblDataRequirement[domain_sub_requirement])</f>
        <v>Users:Care need:Support reason</v>
      </c>
      <c r="B1268" s="1" t="str">
        <f>_xlfn.XLOOKUP(tblRequirementMeasureXref[[#This Row],[dm_id]],tblDataRequirement[dm_id],tblDataRequirement[dm_phase])</f>
        <v>demand</v>
      </c>
      <c r="C1268" s="1">
        <v>56</v>
      </c>
      <c r="D1268" s="1">
        <v>331</v>
      </c>
      <c r="G1268" s="1"/>
      <c r="H1268" s="62">
        <f>_xlfn.XLOOKUP(tblRequirementMeasureXref[[#This Row],[msr_id]],tblMeasure[msr_id],tblMeasure[msr_table])</f>
        <v>335</v>
      </c>
      <c r="I1268" s="22" t="str">
        <f>_xlfn.XLOOKUP(tblRequirementMeasureXref[[#This Row],[msr_id]],tblMeasure[msr_id],tblMeasure[msr_name])</f>
        <v>Sensory support - older people (65+)</v>
      </c>
      <c r="J1268" s="22" t="str">
        <f>_xlfn.XLOOKUP(tblRequirementMeasureXref[[#This Row],[msr_id]],tblMeasure[msr_id],tblMeasure[primary_dimensions])</f>
        <v>expenditure</v>
      </c>
      <c r="K1268" s="22" t="str">
        <f>_xlfn.XLOOKUP(tblRequirementMeasureXref[[#This Row],[msr_id]],tblMeasure[msr_id],tblMeasure[msr_min_geo_resolution])</f>
        <v>LA</v>
      </c>
      <c r="L1268" s="22" t="str">
        <f>_xlfn.XLOOKUP(tblRequirementMeasureXref[[#This Row],[msr_id]],tblMeasure[msr_id],tblMeasure[src_name])</f>
        <v>LA revenue expenditure and financing</v>
      </c>
    </row>
    <row r="1269" spans="1:12" x14ac:dyDescent="0.15">
      <c r="A1269" s="1" t="str">
        <f>_xlfn.XLOOKUP(tblRequirementMeasureXref[[#This Row],[dm_id]],tblDataRequirement[dm_id],tblDataRequirement[domain_sub_requirement])</f>
        <v>Funders:Budget:Local authorities</v>
      </c>
      <c r="B1269" s="1" t="str">
        <f>_xlfn.XLOOKUP(tblRequirementMeasureXref[[#This Row],[dm_id]],tblDataRequirement[dm_id],tblDataRequirement[dm_phase])</f>
        <v>supply</v>
      </c>
      <c r="C1269" s="1">
        <v>1</v>
      </c>
      <c r="D1269" s="1">
        <v>332</v>
      </c>
      <c r="G1269" s="1"/>
      <c r="H1269" s="62">
        <f>_xlfn.XLOOKUP(tblRequirementMeasureXref[[#This Row],[msr_id]],tblMeasure[msr_id],tblMeasure[msr_table])</f>
        <v>336</v>
      </c>
      <c r="I1269" s="22" t="str">
        <f>_xlfn.XLOOKUP(tblRequirementMeasureXref[[#This Row],[msr_id]],tblMeasure[msr_id],tblMeasure[msr_name])</f>
        <v>Support with memory and cognition - adults (18–64)</v>
      </c>
      <c r="J1269" s="22" t="str">
        <f>_xlfn.XLOOKUP(tblRequirementMeasureXref[[#This Row],[msr_id]],tblMeasure[msr_id],tblMeasure[primary_dimensions])</f>
        <v>expenditure</v>
      </c>
      <c r="K1269" s="22" t="str">
        <f>_xlfn.XLOOKUP(tblRequirementMeasureXref[[#This Row],[msr_id]],tblMeasure[msr_id],tblMeasure[msr_min_geo_resolution])</f>
        <v>LA</v>
      </c>
      <c r="L1269" s="22" t="str">
        <f>_xlfn.XLOOKUP(tblRequirementMeasureXref[[#This Row],[msr_id]],tblMeasure[msr_id],tblMeasure[src_name])</f>
        <v>LA revenue expenditure and financing</v>
      </c>
    </row>
    <row r="1270" spans="1:12" x14ac:dyDescent="0.15">
      <c r="A1270" s="1" t="str">
        <f>_xlfn.XLOOKUP(tblRequirementMeasureXref[[#This Row],[dm_id]],tblDataRequirement[dm_id],tblDataRequirement[domain_sub_requirement])</f>
        <v>Funders:Budget:Central government</v>
      </c>
      <c r="B1270" s="1" t="str">
        <f>_xlfn.XLOOKUP(tblRequirementMeasureXref[[#This Row],[dm_id]],tblDataRequirement[dm_id],tblDataRequirement[dm_phase])</f>
        <v>supply</v>
      </c>
      <c r="C1270" s="1">
        <v>2</v>
      </c>
      <c r="D1270" s="1">
        <v>332</v>
      </c>
      <c r="G1270" s="1"/>
      <c r="H1270" s="62">
        <f>_xlfn.XLOOKUP(tblRequirementMeasureXref[[#This Row],[msr_id]],tblMeasure[msr_id],tblMeasure[msr_table])</f>
        <v>336</v>
      </c>
      <c r="I1270" s="22" t="str">
        <f>_xlfn.XLOOKUP(tblRequirementMeasureXref[[#This Row],[msr_id]],tblMeasure[msr_id],tblMeasure[msr_name])</f>
        <v>Support with memory and cognition - adults (18–64)</v>
      </c>
      <c r="J1270" s="22" t="str">
        <f>_xlfn.XLOOKUP(tblRequirementMeasureXref[[#This Row],[msr_id]],tblMeasure[msr_id],tblMeasure[primary_dimensions])</f>
        <v>expenditure</v>
      </c>
      <c r="K1270" s="22" t="str">
        <f>_xlfn.XLOOKUP(tblRequirementMeasureXref[[#This Row],[msr_id]],tblMeasure[msr_id],tblMeasure[msr_min_geo_resolution])</f>
        <v>LA</v>
      </c>
      <c r="L1270" s="22" t="str">
        <f>_xlfn.XLOOKUP(tblRequirementMeasureXref[[#This Row],[msr_id]],tblMeasure[msr_id],tblMeasure[src_name])</f>
        <v>LA revenue expenditure and financing</v>
      </c>
    </row>
    <row r="1271" spans="1:12" x14ac:dyDescent="0.15">
      <c r="A1271" s="1" t="str">
        <f>_xlfn.XLOOKUP(tblRequirementMeasureXref[[#This Row],[dm_id]],tblDataRequirement[dm_id],tblDataRequirement[domain_sub_requirement])</f>
        <v>Users:Demographics:Age</v>
      </c>
      <c r="B1271" s="1" t="str">
        <f>_xlfn.XLOOKUP(tblRequirementMeasureXref[[#This Row],[dm_id]],tblDataRequirement[dm_id],tblDataRequirement[dm_phase])</f>
        <v>demand</v>
      </c>
      <c r="C1271" s="1">
        <v>51</v>
      </c>
      <c r="D1271" s="1">
        <v>332</v>
      </c>
      <c r="G1271" s="1"/>
      <c r="H1271" s="62">
        <f>_xlfn.XLOOKUP(tblRequirementMeasureXref[[#This Row],[msr_id]],tblMeasure[msr_id],tblMeasure[msr_table])</f>
        <v>336</v>
      </c>
      <c r="I1271" s="22" t="str">
        <f>_xlfn.XLOOKUP(tblRequirementMeasureXref[[#This Row],[msr_id]],tblMeasure[msr_id],tblMeasure[msr_name])</f>
        <v>Support with memory and cognition - adults (18–64)</v>
      </c>
      <c r="J1271" s="22" t="str">
        <f>_xlfn.XLOOKUP(tblRequirementMeasureXref[[#This Row],[msr_id]],tblMeasure[msr_id],tblMeasure[primary_dimensions])</f>
        <v>expenditure</v>
      </c>
      <c r="K1271" s="22" t="str">
        <f>_xlfn.XLOOKUP(tblRequirementMeasureXref[[#This Row],[msr_id]],tblMeasure[msr_id],tblMeasure[msr_min_geo_resolution])</f>
        <v>LA</v>
      </c>
      <c r="L1271" s="22" t="str">
        <f>_xlfn.XLOOKUP(tblRequirementMeasureXref[[#This Row],[msr_id]],tblMeasure[msr_id],tblMeasure[src_name])</f>
        <v>LA revenue expenditure and financing</v>
      </c>
    </row>
    <row r="1272" spans="1:12" x14ac:dyDescent="0.15">
      <c r="A1272" s="1" t="str">
        <f>_xlfn.XLOOKUP(tblRequirementMeasureXref[[#This Row],[dm_id]],tblDataRequirement[dm_id],tblDataRequirement[domain_sub_requirement])</f>
        <v>Users:Care need:Support reason</v>
      </c>
      <c r="B1272" s="1" t="str">
        <f>_xlfn.XLOOKUP(tblRequirementMeasureXref[[#This Row],[dm_id]],tblDataRequirement[dm_id],tblDataRequirement[dm_phase])</f>
        <v>demand</v>
      </c>
      <c r="C1272" s="1">
        <v>56</v>
      </c>
      <c r="D1272" s="1">
        <v>332</v>
      </c>
      <c r="G1272" s="1"/>
      <c r="H1272" s="62">
        <f>_xlfn.XLOOKUP(tblRequirementMeasureXref[[#This Row],[msr_id]],tblMeasure[msr_id],tblMeasure[msr_table])</f>
        <v>336</v>
      </c>
      <c r="I1272" s="22" t="str">
        <f>_xlfn.XLOOKUP(tblRequirementMeasureXref[[#This Row],[msr_id]],tblMeasure[msr_id],tblMeasure[msr_name])</f>
        <v>Support with memory and cognition - adults (18–64)</v>
      </c>
      <c r="J1272" s="22" t="str">
        <f>_xlfn.XLOOKUP(tblRequirementMeasureXref[[#This Row],[msr_id]],tblMeasure[msr_id],tblMeasure[primary_dimensions])</f>
        <v>expenditure</v>
      </c>
      <c r="K1272" s="22" t="str">
        <f>_xlfn.XLOOKUP(tblRequirementMeasureXref[[#This Row],[msr_id]],tblMeasure[msr_id],tblMeasure[msr_min_geo_resolution])</f>
        <v>LA</v>
      </c>
      <c r="L1272" s="22" t="str">
        <f>_xlfn.XLOOKUP(tblRequirementMeasureXref[[#This Row],[msr_id]],tblMeasure[msr_id],tblMeasure[src_name])</f>
        <v>LA revenue expenditure and financing</v>
      </c>
    </row>
    <row r="1273" spans="1:12" x14ac:dyDescent="0.15">
      <c r="A1273" s="1" t="str">
        <f>_xlfn.XLOOKUP(tblRequirementMeasureXref[[#This Row],[dm_id]],tblDataRequirement[dm_id],tblDataRequirement[domain_sub_requirement])</f>
        <v>Funders:Budget:Local authorities</v>
      </c>
      <c r="B1273" s="1" t="str">
        <f>_xlfn.XLOOKUP(tblRequirementMeasureXref[[#This Row],[dm_id]],tblDataRequirement[dm_id],tblDataRequirement[dm_phase])</f>
        <v>supply</v>
      </c>
      <c r="C1273" s="1">
        <v>1</v>
      </c>
      <c r="D1273" s="1">
        <v>333</v>
      </c>
      <c r="G1273" s="1"/>
      <c r="H1273" s="62">
        <f>_xlfn.XLOOKUP(tblRequirementMeasureXref[[#This Row],[msr_id]],tblMeasure[msr_id],tblMeasure[msr_table])</f>
        <v>337</v>
      </c>
      <c r="I1273" s="22" t="str">
        <f>_xlfn.XLOOKUP(tblRequirementMeasureXref[[#This Row],[msr_id]],tblMeasure[msr_id],tblMeasure[msr_name])</f>
        <v>Support with memory and cognition - older people (65+)</v>
      </c>
      <c r="J1273" s="22" t="str">
        <f>_xlfn.XLOOKUP(tblRequirementMeasureXref[[#This Row],[msr_id]],tblMeasure[msr_id],tblMeasure[primary_dimensions])</f>
        <v>expenditure</v>
      </c>
      <c r="K1273" s="22" t="str">
        <f>_xlfn.XLOOKUP(tblRequirementMeasureXref[[#This Row],[msr_id]],tblMeasure[msr_id],tblMeasure[msr_min_geo_resolution])</f>
        <v>LA</v>
      </c>
      <c r="L1273" s="22" t="str">
        <f>_xlfn.XLOOKUP(tblRequirementMeasureXref[[#This Row],[msr_id]],tblMeasure[msr_id],tblMeasure[src_name])</f>
        <v>LA revenue expenditure and financing</v>
      </c>
    </row>
    <row r="1274" spans="1:12" x14ac:dyDescent="0.15">
      <c r="A1274" s="1" t="str">
        <f>_xlfn.XLOOKUP(tblRequirementMeasureXref[[#This Row],[dm_id]],tblDataRequirement[dm_id],tblDataRequirement[domain_sub_requirement])</f>
        <v>Funders:Budget:Central government</v>
      </c>
      <c r="B1274" s="1" t="str">
        <f>_xlfn.XLOOKUP(tblRequirementMeasureXref[[#This Row],[dm_id]],tblDataRequirement[dm_id],tblDataRequirement[dm_phase])</f>
        <v>supply</v>
      </c>
      <c r="C1274" s="1">
        <v>2</v>
      </c>
      <c r="D1274" s="1">
        <v>333</v>
      </c>
      <c r="G1274" s="1"/>
      <c r="H1274" s="62">
        <f>_xlfn.XLOOKUP(tblRequirementMeasureXref[[#This Row],[msr_id]],tblMeasure[msr_id],tblMeasure[msr_table])</f>
        <v>337</v>
      </c>
      <c r="I1274" s="22" t="str">
        <f>_xlfn.XLOOKUP(tblRequirementMeasureXref[[#This Row],[msr_id]],tblMeasure[msr_id],tblMeasure[msr_name])</f>
        <v>Support with memory and cognition - older people (65+)</v>
      </c>
      <c r="J1274" s="22" t="str">
        <f>_xlfn.XLOOKUP(tblRequirementMeasureXref[[#This Row],[msr_id]],tblMeasure[msr_id],tblMeasure[primary_dimensions])</f>
        <v>expenditure</v>
      </c>
      <c r="K1274" s="22" t="str">
        <f>_xlfn.XLOOKUP(tblRequirementMeasureXref[[#This Row],[msr_id]],tblMeasure[msr_id],tblMeasure[msr_min_geo_resolution])</f>
        <v>LA</v>
      </c>
      <c r="L1274" s="22" t="str">
        <f>_xlfn.XLOOKUP(tblRequirementMeasureXref[[#This Row],[msr_id]],tblMeasure[msr_id],tblMeasure[src_name])</f>
        <v>LA revenue expenditure and financing</v>
      </c>
    </row>
    <row r="1275" spans="1:12" x14ac:dyDescent="0.15">
      <c r="A1275" s="1" t="str">
        <f>_xlfn.XLOOKUP(tblRequirementMeasureXref[[#This Row],[dm_id]],tblDataRequirement[dm_id],tblDataRequirement[domain_sub_requirement])</f>
        <v>Users:Demographics:Age</v>
      </c>
      <c r="B1275" s="1" t="str">
        <f>_xlfn.XLOOKUP(tblRequirementMeasureXref[[#This Row],[dm_id]],tblDataRequirement[dm_id],tblDataRequirement[dm_phase])</f>
        <v>demand</v>
      </c>
      <c r="C1275" s="1">
        <v>51</v>
      </c>
      <c r="D1275" s="1">
        <v>333</v>
      </c>
      <c r="G1275" s="1"/>
      <c r="H1275" s="62">
        <f>_xlfn.XLOOKUP(tblRequirementMeasureXref[[#This Row],[msr_id]],tblMeasure[msr_id],tblMeasure[msr_table])</f>
        <v>337</v>
      </c>
      <c r="I1275" s="22" t="str">
        <f>_xlfn.XLOOKUP(tblRequirementMeasureXref[[#This Row],[msr_id]],tblMeasure[msr_id],tblMeasure[msr_name])</f>
        <v>Support with memory and cognition - older people (65+)</v>
      </c>
      <c r="J1275" s="22" t="str">
        <f>_xlfn.XLOOKUP(tblRequirementMeasureXref[[#This Row],[msr_id]],tblMeasure[msr_id],tblMeasure[primary_dimensions])</f>
        <v>expenditure</v>
      </c>
      <c r="K1275" s="22" t="str">
        <f>_xlfn.XLOOKUP(tblRequirementMeasureXref[[#This Row],[msr_id]],tblMeasure[msr_id],tblMeasure[msr_min_geo_resolution])</f>
        <v>LA</v>
      </c>
      <c r="L1275" s="22" t="str">
        <f>_xlfn.XLOOKUP(tblRequirementMeasureXref[[#This Row],[msr_id]],tblMeasure[msr_id],tblMeasure[src_name])</f>
        <v>LA revenue expenditure and financing</v>
      </c>
    </row>
    <row r="1276" spans="1:12" x14ac:dyDescent="0.15">
      <c r="A1276" s="1" t="str">
        <f>_xlfn.XLOOKUP(tblRequirementMeasureXref[[#This Row],[dm_id]],tblDataRequirement[dm_id],tblDataRequirement[domain_sub_requirement])</f>
        <v>Users:Care need:Support reason</v>
      </c>
      <c r="B1276" s="1" t="str">
        <f>_xlfn.XLOOKUP(tblRequirementMeasureXref[[#This Row],[dm_id]],tblDataRequirement[dm_id],tblDataRequirement[dm_phase])</f>
        <v>demand</v>
      </c>
      <c r="C1276" s="1">
        <v>56</v>
      </c>
      <c r="D1276" s="1">
        <v>333</v>
      </c>
      <c r="G1276" s="1"/>
      <c r="H1276" s="62">
        <f>_xlfn.XLOOKUP(tblRequirementMeasureXref[[#This Row],[msr_id]],tblMeasure[msr_id],tblMeasure[msr_table])</f>
        <v>337</v>
      </c>
      <c r="I1276" s="22" t="str">
        <f>_xlfn.XLOOKUP(tblRequirementMeasureXref[[#This Row],[msr_id]],tblMeasure[msr_id],tblMeasure[msr_name])</f>
        <v>Support with memory and cognition - older people (65+)</v>
      </c>
      <c r="J1276" s="22" t="str">
        <f>_xlfn.XLOOKUP(tblRequirementMeasureXref[[#This Row],[msr_id]],tblMeasure[msr_id],tblMeasure[primary_dimensions])</f>
        <v>expenditure</v>
      </c>
      <c r="K1276" s="22" t="str">
        <f>_xlfn.XLOOKUP(tblRequirementMeasureXref[[#This Row],[msr_id]],tblMeasure[msr_id],tblMeasure[msr_min_geo_resolution])</f>
        <v>LA</v>
      </c>
      <c r="L1276" s="22" t="str">
        <f>_xlfn.XLOOKUP(tblRequirementMeasureXref[[#This Row],[msr_id]],tblMeasure[msr_id],tblMeasure[src_name])</f>
        <v>LA revenue expenditure and financing</v>
      </c>
    </row>
    <row r="1277" spans="1:12" x14ac:dyDescent="0.15">
      <c r="A1277" s="1" t="str">
        <f>_xlfn.XLOOKUP(tblRequirementMeasureXref[[#This Row],[dm_id]],tblDataRequirement[dm_id],tblDataRequirement[domain_sub_requirement])</f>
        <v>Funders:Budget:Local authorities</v>
      </c>
      <c r="B1277" s="1" t="str">
        <f>_xlfn.XLOOKUP(tblRequirementMeasureXref[[#This Row],[dm_id]],tblDataRequirement[dm_id],tblDataRequirement[dm_phase])</f>
        <v>supply</v>
      </c>
      <c r="C1277" s="1">
        <v>1</v>
      </c>
      <c r="D1277" s="1">
        <v>334</v>
      </c>
      <c r="G1277" s="1"/>
      <c r="H1277" s="62">
        <f>_xlfn.XLOOKUP(tblRequirementMeasureXref[[#This Row],[msr_id]],tblMeasure[msr_id],tblMeasure[msr_table])</f>
        <v>340</v>
      </c>
      <c r="I1277" s="22" t="str">
        <f>_xlfn.XLOOKUP(tblRequirementMeasureXref[[#This Row],[msr_id]],tblMeasure[msr_id],tblMeasure[msr_name])</f>
        <v>Learning disability support - adults (18–64)</v>
      </c>
      <c r="J1277" s="22" t="str">
        <f>_xlfn.XLOOKUP(tblRequirementMeasureXref[[#This Row],[msr_id]],tblMeasure[msr_id],tblMeasure[primary_dimensions])</f>
        <v>expenditure</v>
      </c>
      <c r="K1277" s="22" t="str">
        <f>_xlfn.XLOOKUP(tblRequirementMeasureXref[[#This Row],[msr_id]],tblMeasure[msr_id],tblMeasure[msr_min_geo_resolution])</f>
        <v>LA</v>
      </c>
      <c r="L1277" s="22" t="str">
        <f>_xlfn.XLOOKUP(tblRequirementMeasureXref[[#This Row],[msr_id]],tblMeasure[msr_id],tblMeasure[src_name])</f>
        <v>LA revenue expenditure and financing</v>
      </c>
    </row>
    <row r="1278" spans="1:12" x14ac:dyDescent="0.15">
      <c r="A1278" s="1" t="str">
        <f>_xlfn.XLOOKUP(tblRequirementMeasureXref[[#This Row],[dm_id]],tblDataRequirement[dm_id],tblDataRequirement[domain_sub_requirement])</f>
        <v>Funders:Budget:Central government</v>
      </c>
      <c r="B1278" s="1" t="str">
        <f>_xlfn.XLOOKUP(tblRequirementMeasureXref[[#This Row],[dm_id]],tblDataRequirement[dm_id],tblDataRequirement[dm_phase])</f>
        <v>supply</v>
      </c>
      <c r="C1278" s="1">
        <v>2</v>
      </c>
      <c r="D1278" s="1">
        <v>334</v>
      </c>
      <c r="G1278" s="1"/>
      <c r="H1278" s="62">
        <f>_xlfn.XLOOKUP(tblRequirementMeasureXref[[#This Row],[msr_id]],tblMeasure[msr_id],tblMeasure[msr_table])</f>
        <v>340</v>
      </c>
      <c r="I1278" s="22" t="str">
        <f>_xlfn.XLOOKUP(tblRequirementMeasureXref[[#This Row],[msr_id]],tblMeasure[msr_id],tblMeasure[msr_name])</f>
        <v>Learning disability support - adults (18–64)</v>
      </c>
      <c r="J1278" s="22" t="str">
        <f>_xlfn.XLOOKUP(tblRequirementMeasureXref[[#This Row],[msr_id]],tblMeasure[msr_id],tblMeasure[primary_dimensions])</f>
        <v>expenditure</v>
      </c>
      <c r="K1278" s="22" t="str">
        <f>_xlfn.XLOOKUP(tblRequirementMeasureXref[[#This Row],[msr_id]],tblMeasure[msr_id],tblMeasure[msr_min_geo_resolution])</f>
        <v>LA</v>
      </c>
      <c r="L1278" s="22" t="str">
        <f>_xlfn.XLOOKUP(tblRequirementMeasureXref[[#This Row],[msr_id]],tblMeasure[msr_id],tblMeasure[src_name])</f>
        <v>LA revenue expenditure and financing</v>
      </c>
    </row>
    <row r="1279" spans="1:12" x14ac:dyDescent="0.15">
      <c r="A1279" s="1" t="str">
        <f>_xlfn.XLOOKUP(tblRequirementMeasureXref[[#This Row],[dm_id]],tblDataRequirement[dm_id],tblDataRequirement[domain_sub_requirement])</f>
        <v>Users:Demographics:Age</v>
      </c>
      <c r="B1279" s="1" t="str">
        <f>_xlfn.XLOOKUP(tblRequirementMeasureXref[[#This Row],[dm_id]],tblDataRequirement[dm_id],tblDataRequirement[dm_phase])</f>
        <v>demand</v>
      </c>
      <c r="C1279" s="1">
        <v>51</v>
      </c>
      <c r="D1279" s="1">
        <v>334</v>
      </c>
      <c r="G1279" s="1"/>
      <c r="H1279" s="62">
        <f>_xlfn.XLOOKUP(tblRequirementMeasureXref[[#This Row],[msr_id]],tblMeasure[msr_id],tblMeasure[msr_table])</f>
        <v>340</v>
      </c>
      <c r="I1279" s="22" t="str">
        <f>_xlfn.XLOOKUP(tblRequirementMeasureXref[[#This Row],[msr_id]],tblMeasure[msr_id],tblMeasure[msr_name])</f>
        <v>Learning disability support - adults (18–64)</v>
      </c>
      <c r="J1279" s="22" t="str">
        <f>_xlfn.XLOOKUP(tblRequirementMeasureXref[[#This Row],[msr_id]],tblMeasure[msr_id],tblMeasure[primary_dimensions])</f>
        <v>expenditure</v>
      </c>
      <c r="K1279" s="22" t="str">
        <f>_xlfn.XLOOKUP(tblRequirementMeasureXref[[#This Row],[msr_id]],tblMeasure[msr_id],tblMeasure[msr_min_geo_resolution])</f>
        <v>LA</v>
      </c>
      <c r="L1279" s="22" t="str">
        <f>_xlfn.XLOOKUP(tblRequirementMeasureXref[[#This Row],[msr_id]],tblMeasure[msr_id],tblMeasure[src_name])</f>
        <v>LA revenue expenditure and financing</v>
      </c>
    </row>
    <row r="1280" spans="1:12" x14ac:dyDescent="0.15">
      <c r="A1280" s="1" t="str">
        <f>_xlfn.XLOOKUP(tblRequirementMeasureXref[[#This Row],[dm_id]],tblDataRequirement[dm_id],tblDataRequirement[domain_sub_requirement])</f>
        <v>Users:Care need:Support reason</v>
      </c>
      <c r="B1280" s="1" t="str">
        <f>_xlfn.XLOOKUP(tblRequirementMeasureXref[[#This Row],[dm_id]],tblDataRequirement[dm_id],tblDataRequirement[dm_phase])</f>
        <v>demand</v>
      </c>
      <c r="C1280" s="1">
        <v>56</v>
      </c>
      <c r="D1280" s="1">
        <v>334</v>
      </c>
      <c r="G1280" s="1"/>
      <c r="H1280" s="62">
        <f>_xlfn.XLOOKUP(tblRequirementMeasureXref[[#This Row],[msr_id]],tblMeasure[msr_id],tblMeasure[msr_table])</f>
        <v>340</v>
      </c>
      <c r="I1280" s="22" t="str">
        <f>_xlfn.XLOOKUP(tblRequirementMeasureXref[[#This Row],[msr_id]],tblMeasure[msr_id],tblMeasure[msr_name])</f>
        <v>Learning disability support - adults (18–64)</v>
      </c>
      <c r="J1280" s="22" t="str">
        <f>_xlfn.XLOOKUP(tblRequirementMeasureXref[[#This Row],[msr_id]],tblMeasure[msr_id],tblMeasure[primary_dimensions])</f>
        <v>expenditure</v>
      </c>
      <c r="K1280" s="22" t="str">
        <f>_xlfn.XLOOKUP(tblRequirementMeasureXref[[#This Row],[msr_id]],tblMeasure[msr_id],tblMeasure[msr_min_geo_resolution])</f>
        <v>LA</v>
      </c>
      <c r="L1280" s="22" t="str">
        <f>_xlfn.XLOOKUP(tblRequirementMeasureXref[[#This Row],[msr_id]],tblMeasure[msr_id],tblMeasure[src_name])</f>
        <v>LA revenue expenditure and financing</v>
      </c>
    </row>
    <row r="1281" spans="1:12" x14ac:dyDescent="0.15">
      <c r="A1281" s="1" t="str">
        <f>_xlfn.XLOOKUP(tblRequirementMeasureXref[[#This Row],[dm_id]],tblDataRequirement[dm_id],tblDataRequirement[domain_sub_requirement])</f>
        <v>Funders:Budget:Local authorities</v>
      </c>
      <c r="B1281" s="1" t="str">
        <f>_xlfn.XLOOKUP(tblRequirementMeasureXref[[#This Row],[dm_id]],tblDataRequirement[dm_id],tblDataRequirement[dm_phase])</f>
        <v>supply</v>
      </c>
      <c r="C1281" s="1">
        <v>1</v>
      </c>
      <c r="D1281" s="1">
        <v>335</v>
      </c>
      <c r="G1281" s="1"/>
      <c r="H1281" s="62">
        <f>_xlfn.XLOOKUP(tblRequirementMeasureXref[[#This Row],[msr_id]],tblMeasure[msr_id],tblMeasure[msr_table])</f>
        <v>341</v>
      </c>
      <c r="I1281" s="22" t="str">
        <f>_xlfn.XLOOKUP(tblRequirementMeasureXref[[#This Row],[msr_id]],tblMeasure[msr_id],tblMeasure[msr_name])</f>
        <v>Learning disability support - older people (65+)</v>
      </c>
      <c r="J1281" s="22" t="str">
        <f>_xlfn.XLOOKUP(tblRequirementMeasureXref[[#This Row],[msr_id]],tblMeasure[msr_id],tblMeasure[primary_dimensions])</f>
        <v>expenditure</v>
      </c>
      <c r="K1281" s="22" t="str">
        <f>_xlfn.XLOOKUP(tblRequirementMeasureXref[[#This Row],[msr_id]],tblMeasure[msr_id],tblMeasure[msr_min_geo_resolution])</f>
        <v>LA</v>
      </c>
      <c r="L1281" s="22" t="str">
        <f>_xlfn.XLOOKUP(tblRequirementMeasureXref[[#This Row],[msr_id]],tblMeasure[msr_id],tblMeasure[src_name])</f>
        <v>LA revenue expenditure and financing</v>
      </c>
    </row>
    <row r="1282" spans="1:12" x14ac:dyDescent="0.15">
      <c r="A1282" s="1" t="str">
        <f>_xlfn.XLOOKUP(tblRequirementMeasureXref[[#This Row],[dm_id]],tblDataRequirement[dm_id],tblDataRequirement[domain_sub_requirement])</f>
        <v>Funders:Budget:Central government</v>
      </c>
      <c r="B1282" s="1" t="str">
        <f>_xlfn.XLOOKUP(tblRequirementMeasureXref[[#This Row],[dm_id]],tblDataRequirement[dm_id],tblDataRequirement[dm_phase])</f>
        <v>supply</v>
      </c>
      <c r="C1282" s="1">
        <v>2</v>
      </c>
      <c r="D1282" s="1">
        <v>335</v>
      </c>
      <c r="G1282" s="1"/>
      <c r="H1282" s="62">
        <f>_xlfn.XLOOKUP(tblRequirementMeasureXref[[#This Row],[msr_id]],tblMeasure[msr_id],tblMeasure[msr_table])</f>
        <v>341</v>
      </c>
      <c r="I1282" s="22" t="str">
        <f>_xlfn.XLOOKUP(tblRequirementMeasureXref[[#This Row],[msr_id]],tblMeasure[msr_id],tblMeasure[msr_name])</f>
        <v>Learning disability support - older people (65+)</v>
      </c>
      <c r="J1282" s="22" t="str">
        <f>_xlfn.XLOOKUP(tblRequirementMeasureXref[[#This Row],[msr_id]],tblMeasure[msr_id],tblMeasure[primary_dimensions])</f>
        <v>expenditure</v>
      </c>
      <c r="K1282" s="22" t="str">
        <f>_xlfn.XLOOKUP(tblRequirementMeasureXref[[#This Row],[msr_id]],tblMeasure[msr_id],tblMeasure[msr_min_geo_resolution])</f>
        <v>LA</v>
      </c>
      <c r="L1282" s="22" t="str">
        <f>_xlfn.XLOOKUP(tblRequirementMeasureXref[[#This Row],[msr_id]],tblMeasure[msr_id],tblMeasure[src_name])</f>
        <v>LA revenue expenditure and financing</v>
      </c>
    </row>
    <row r="1283" spans="1:12" x14ac:dyDescent="0.15">
      <c r="A1283" s="1" t="str">
        <f>_xlfn.XLOOKUP(tblRequirementMeasureXref[[#This Row],[dm_id]],tblDataRequirement[dm_id],tblDataRequirement[domain_sub_requirement])</f>
        <v>Users:Demographics:Age</v>
      </c>
      <c r="B1283" s="1" t="str">
        <f>_xlfn.XLOOKUP(tblRequirementMeasureXref[[#This Row],[dm_id]],tblDataRequirement[dm_id],tblDataRequirement[dm_phase])</f>
        <v>demand</v>
      </c>
      <c r="C1283" s="1">
        <v>51</v>
      </c>
      <c r="D1283" s="1">
        <v>335</v>
      </c>
      <c r="G1283" s="1"/>
      <c r="H1283" s="62">
        <f>_xlfn.XLOOKUP(tblRequirementMeasureXref[[#This Row],[msr_id]],tblMeasure[msr_id],tblMeasure[msr_table])</f>
        <v>341</v>
      </c>
      <c r="I1283" s="22" t="str">
        <f>_xlfn.XLOOKUP(tblRequirementMeasureXref[[#This Row],[msr_id]],tblMeasure[msr_id],tblMeasure[msr_name])</f>
        <v>Learning disability support - older people (65+)</v>
      </c>
      <c r="J1283" s="22" t="str">
        <f>_xlfn.XLOOKUP(tblRequirementMeasureXref[[#This Row],[msr_id]],tblMeasure[msr_id],tblMeasure[primary_dimensions])</f>
        <v>expenditure</v>
      </c>
      <c r="K1283" s="22" t="str">
        <f>_xlfn.XLOOKUP(tblRequirementMeasureXref[[#This Row],[msr_id]],tblMeasure[msr_id],tblMeasure[msr_min_geo_resolution])</f>
        <v>LA</v>
      </c>
      <c r="L1283" s="22" t="str">
        <f>_xlfn.XLOOKUP(tblRequirementMeasureXref[[#This Row],[msr_id]],tblMeasure[msr_id],tblMeasure[src_name])</f>
        <v>LA revenue expenditure and financing</v>
      </c>
    </row>
    <row r="1284" spans="1:12" x14ac:dyDescent="0.15">
      <c r="A1284" s="1" t="str">
        <f>_xlfn.XLOOKUP(tblRequirementMeasureXref[[#This Row],[dm_id]],tblDataRequirement[dm_id],tblDataRequirement[domain_sub_requirement])</f>
        <v>Users:Care need:Support reason</v>
      </c>
      <c r="B1284" s="1" t="str">
        <f>_xlfn.XLOOKUP(tblRequirementMeasureXref[[#This Row],[dm_id]],tblDataRequirement[dm_id],tblDataRequirement[dm_phase])</f>
        <v>demand</v>
      </c>
      <c r="C1284" s="1">
        <v>56</v>
      </c>
      <c r="D1284" s="1">
        <v>335</v>
      </c>
      <c r="G1284" s="1"/>
      <c r="H1284" s="62">
        <f>_xlfn.XLOOKUP(tblRequirementMeasureXref[[#This Row],[msr_id]],tblMeasure[msr_id],tblMeasure[msr_table])</f>
        <v>341</v>
      </c>
      <c r="I1284" s="22" t="str">
        <f>_xlfn.XLOOKUP(tblRequirementMeasureXref[[#This Row],[msr_id]],tblMeasure[msr_id],tblMeasure[msr_name])</f>
        <v>Learning disability support - older people (65+)</v>
      </c>
      <c r="J1284" s="22" t="str">
        <f>_xlfn.XLOOKUP(tblRequirementMeasureXref[[#This Row],[msr_id]],tblMeasure[msr_id],tblMeasure[primary_dimensions])</f>
        <v>expenditure</v>
      </c>
      <c r="K1284" s="22" t="str">
        <f>_xlfn.XLOOKUP(tblRequirementMeasureXref[[#This Row],[msr_id]],tblMeasure[msr_id],tblMeasure[msr_min_geo_resolution])</f>
        <v>LA</v>
      </c>
      <c r="L1284" s="22" t="str">
        <f>_xlfn.XLOOKUP(tblRequirementMeasureXref[[#This Row],[msr_id]],tblMeasure[msr_id],tblMeasure[src_name])</f>
        <v>LA revenue expenditure and financing</v>
      </c>
    </row>
    <row r="1285" spans="1:12" x14ac:dyDescent="0.15">
      <c r="A1285" s="1" t="str">
        <f>_xlfn.XLOOKUP(tblRequirementMeasureXref[[#This Row],[dm_id]],tblDataRequirement[dm_id],tblDataRequirement[domain_sub_requirement])</f>
        <v>Funders:Budget:Local authorities</v>
      </c>
      <c r="B1285" s="1" t="str">
        <f>_xlfn.XLOOKUP(tblRequirementMeasureXref[[#This Row],[dm_id]],tblDataRequirement[dm_id],tblDataRequirement[dm_phase])</f>
        <v>supply</v>
      </c>
      <c r="C1285" s="1">
        <v>1</v>
      </c>
      <c r="D1285" s="1">
        <v>336</v>
      </c>
      <c r="G1285" s="1"/>
      <c r="H1285" s="62">
        <f>_xlfn.XLOOKUP(tblRequirementMeasureXref[[#This Row],[msr_id]],tblMeasure[msr_id],tblMeasure[msr_table])</f>
        <v>344</v>
      </c>
      <c r="I1285" s="22" t="str">
        <f>_xlfn.XLOOKUP(tblRequirementMeasureXref[[#This Row],[msr_id]],tblMeasure[msr_id],tblMeasure[msr_name])</f>
        <v>Mental health support - adults (18–64)</v>
      </c>
      <c r="J1285" s="22" t="str">
        <f>_xlfn.XLOOKUP(tblRequirementMeasureXref[[#This Row],[msr_id]],tblMeasure[msr_id],tblMeasure[primary_dimensions])</f>
        <v>expenditure</v>
      </c>
      <c r="K1285" s="22" t="str">
        <f>_xlfn.XLOOKUP(tblRequirementMeasureXref[[#This Row],[msr_id]],tblMeasure[msr_id],tblMeasure[msr_min_geo_resolution])</f>
        <v>LA</v>
      </c>
      <c r="L1285" s="22" t="str">
        <f>_xlfn.XLOOKUP(tblRequirementMeasureXref[[#This Row],[msr_id]],tblMeasure[msr_id],tblMeasure[src_name])</f>
        <v>LA revenue expenditure and financing</v>
      </c>
    </row>
    <row r="1286" spans="1:12" x14ac:dyDescent="0.15">
      <c r="A1286" s="1" t="str">
        <f>_xlfn.XLOOKUP(tblRequirementMeasureXref[[#This Row],[dm_id]],tblDataRequirement[dm_id],tblDataRequirement[domain_sub_requirement])</f>
        <v>Funders:Budget:Central government</v>
      </c>
      <c r="B1286" s="1" t="str">
        <f>_xlfn.XLOOKUP(tblRequirementMeasureXref[[#This Row],[dm_id]],tblDataRequirement[dm_id],tblDataRequirement[dm_phase])</f>
        <v>supply</v>
      </c>
      <c r="C1286" s="1">
        <v>2</v>
      </c>
      <c r="D1286" s="1">
        <v>336</v>
      </c>
      <c r="G1286" s="1"/>
      <c r="H1286" s="62">
        <f>_xlfn.XLOOKUP(tblRequirementMeasureXref[[#This Row],[msr_id]],tblMeasure[msr_id],tblMeasure[msr_table])</f>
        <v>344</v>
      </c>
      <c r="I1286" s="22" t="str">
        <f>_xlfn.XLOOKUP(tblRequirementMeasureXref[[#This Row],[msr_id]],tblMeasure[msr_id],tblMeasure[msr_name])</f>
        <v>Mental health support - adults (18–64)</v>
      </c>
      <c r="J1286" s="22" t="str">
        <f>_xlfn.XLOOKUP(tblRequirementMeasureXref[[#This Row],[msr_id]],tblMeasure[msr_id],tblMeasure[primary_dimensions])</f>
        <v>expenditure</v>
      </c>
      <c r="K1286" s="22" t="str">
        <f>_xlfn.XLOOKUP(tblRequirementMeasureXref[[#This Row],[msr_id]],tblMeasure[msr_id],tblMeasure[msr_min_geo_resolution])</f>
        <v>LA</v>
      </c>
      <c r="L1286" s="22" t="str">
        <f>_xlfn.XLOOKUP(tblRequirementMeasureXref[[#This Row],[msr_id]],tblMeasure[msr_id],tblMeasure[src_name])</f>
        <v>LA revenue expenditure and financing</v>
      </c>
    </row>
    <row r="1287" spans="1:12" x14ac:dyDescent="0.15">
      <c r="A1287" s="1" t="str">
        <f>_xlfn.XLOOKUP(tblRequirementMeasureXref[[#This Row],[dm_id]],tblDataRequirement[dm_id],tblDataRequirement[domain_sub_requirement])</f>
        <v>Users:Demographics:Age</v>
      </c>
      <c r="B1287" s="1" t="str">
        <f>_xlfn.XLOOKUP(tblRequirementMeasureXref[[#This Row],[dm_id]],tblDataRequirement[dm_id],tblDataRequirement[dm_phase])</f>
        <v>demand</v>
      </c>
      <c r="C1287" s="1">
        <v>51</v>
      </c>
      <c r="D1287" s="1">
        <v>336</v>
      </c>
      <c r="G1287" s="1"/>
      <c r="H1287" s="62">
        <f>_xlfn.XLOOKUP(tblRequirementMeasureXref[[#This Row],[msr_id]],tblMeasure[msr_id],tblMeasure[msr_table])</f>
        <v>344</v>
      </c>
      <c r="I1287" s="22" t="str">
        <f>_xlfn.XLOOKUP(tblRequirementMeasureXref[[#This Row],[msr_id]],tblMeasure[msr_id],tblMeasure[msr_name])</f>
        <v>Mental health support - adults (18–64)</v>
      </c>
      <c r="J1287" s="22" t="str">
        <f>_xlfn.XLOOKUP(tblRequirementMeasureXref[[#This Row],[msr_id]],tblMeasure[msr_id],tblMeasure[primary_dimensions])</f>
        <v>expenditure</v>
      </c>
      <c r="K1287" s="22" t="str">
        <f>_xlfn.XLOOKUP(tblRequirementMeasureXref[[#This Row],[msr_id]],tblMeasure[msr_id],tblMeasure[msr_min_geo_resolution])</f>
        <v>LA</v>
      </c>
      <c r="L1287" s="22" t="str">
        <f>_xlfn.XLOOKUP(tblRequirementMeasureXref[[#This Row],[msr_id]],tblMeasure[msr_id],tblMeasure[src_name])</f>
        <v>LA revenue expenditure and financing</v>
      </c>
    </row>
    <row r="1288" spans="1:12" x14ac:dyDescent="0.15">
      <c r="A1288" s="1" t="str">
        <f>_xlfn.XLOOKUP(tblRequirementMeasureXref[[#This Row],[dm_id]],tblDataRequirement[dm_id],tblDataRequirement[domain_sub_requirement])</f>
        <v>Users:Care need:Support reason</v>
      </c>
      <c r="B1288" s="1" t="str">
        <f>_xlfn.XLOOKUP(tblRequirementMeasureXref[[#This Row],[dm_id]],tblDataRequirement[dm_id],tblDataRequirement[dm_phase])</f>
        <v>demand</v>
      </c>
      <c r="C1288" s="1">
        <v>56</v>
      </c>
      <c r="D1288" s="1">
        <v>336</v>
      </c>
      <c r="G1288" s="1"/>
      <c r="H1288" s="62">
        <f>_xlfn.XLOOKUP(tblRequirementMeasureXref[[#This Row],[msr_id]],tblMeasure[msr_id],tblMeasure[msr_table])</f>
        <v>344</v>
      </c>
      <c r="I1288" s="22" t="str">
        <f>_xlfn.XLOOKUP(tblRequirementMeasureXref[[#This Row],[msr_id]],tblMeasure[msr_id],tblMeasure[msr_name])</f>
        <v>Mental health support - adults (18–64)</v>
      </c>
      <c r="J1288" s="22" t="str">
        <f>_xlfn.XLOOKUP(tblRequirementMeasureXref[[#This Row],[msr_id]],tblMeasure[msr_id],tblMeasure[primary_dimensions])</f>
        <v>expenditure</v>
      </c>
      <c r="K1288" s="22" t="str">
        <f>_xlfn.XLOOKUP(tblRequirementMeasureXref[[#This Row],[msr_id]],tblMeasure[msr_id],tblMeasure[msr_min_geo_resolution])</f>
        <v>LA</v>
      </c>
      <c r="L1288" s="22" t="str">
        <f>_xlfn.XLOOKUP(tblRequirementMeasureXref[[#This Row],[msr_id]],tblMeasure[msr_id],tblMeasure[src_name])</f>
        <v>LA revenue expenditure and financing</v>
      </c>
    </row>
    <row r="1289" spans="1:12" x14ac:dyDescent="0.15">
      <c r="A1289" s="1" t="str">
        <f>_xlfn.XLOOKUP(tblRequirementMeasureXref[[#This Row],[dm_id]],tblDataRequirement[dm_id],tblDataRequirement[domain_sub_requirement])</f>
        <v>Funders:Budget:Local authorities</v>
      </c>
      <c r="B1289" s="1" t="str">
        <f>_xlfn.XLOOKUP(tblRequirementMeasureXref[[#This Row],[dm_id]],tblDataRequirement[dm_id],tblDataRequirement[dm_phase])</f>
        <v>supply</v>
      </c>
      <c r="C1289" s="1">
        <v>1</v>
      </c>
      <c r="D1289" s="1">
        <v>337</v>
      </c>
      <c r="G1289" s="1"/>
      <c r="H1289" s="62">
        <f>_xlfn.XLOOKUP(tblRequirementMeasureXref[[#This Row],[msr_id]],tblMeasure[msr_id],tblMeasure[msr_table])</f>
        <v>345</v>
      </c>
      <c r="I1289" s="22" t="str">
        <f>_xlfn.XLOOKUP(tblRequirementMeasureXref[[#This Row],[msr_id]],tblMeasure[msr_id],tblMeasure[msr_name])</f>
        <v>Mental health support - older people (65+)</v>
      </c>
      <c r="J1289" s="22" t="str">
        <f>_xlfn.XLOOKUP(tblRequirementMeasureXref[[#This Row],[msr_id]],tblMeasure[msr_id],tblMeasure[primary_dimensions])</f>
        <v>expenditure</v>
      </c>
      <c r="K1289" s="22" t="str">
        <f>_xlfn.XLOOKUP(tblRequirementMeasureXref[[#This Row],[msr_id]],tblMeasure[msr_id],tblMeasure[msr_min_geo_resolution])</f>
        <v>LA</v>
      </c>
      <c r="L1289" s="22" t="str">
        <f>_xlfn.XLOOKUP(tblRequirementMeasureXref[[#This Row],[msr_id]],tblMeasure[msr_id],tblMeasure[src_name])</f>
        <v>LA revenue expenditure and financing</v>
      </c>
    </row>
    <row r="1290" spans="1:12" x14ac:dyDescent="0.15">
      <c r="A1290" s="1" t="str">
        <f>_xlfn.XLOOKUP(tblRequirementMeasureXref[[#This Row],[dm_id]],tblDataRequirement[dm_id],tblDataRequirement[domain_sub_requirement])</f>
        <v>Funders:Budget:Central government</v>
      </c>
      <c r="B1290" s="1" t="str">
        <f>_xlfn.XLOOKUP(tblRequirementMeasureXref[[#This Row],[dm_id]],tblDataRequirement[dm_id],tblDataRequirement[dm_phase])</f>
        <v>supply</v>
      </c>
      <c r="C1290" s="1">
        <v>2</v>
      </c>
      <c r="D1290" s="1">
        <v>337</v>
      </c>
      <c r="G1290" s="1"/>
      <c r="H1290" s="62">
        <f>_xlfn.XLOOKUP(tblRequirementMeasureXref[[#This Row],[msr_id]],tblMeasure[msr_id],tblMeasure[msr_table])</f>
        <v>345</v>
      </c>
      <c r="I1290" s="22" t="str">
        <f>_xlfn.XLOOKUP(tblRequirementMeasureXref[[#This Row],[msr_id]],tblMeasure[msr_id],tblMeasure[msr_name])</f>
        <v>Mental health support - older people (65+)</v>
      </c>
      <c r="J1290" s="22" t="str">
        <f>_xlfn.XLOOKUP(tblRequirementMeasureXref[[#This Row],[msr_id]],tblMeasure[msr_id],tblMeasure[primary_dimensions])</f>
        <v>expenditure</v>
      </c>
      <c r="K1290" s="22" t="str">
        <f>_xlfn.XLOOKUP(tblRequirementMeasureXref[[#This Row],[msr_id]],tblMeasure[msr_id],tblMeasure[msr_min_geo_resolution])</f>
        <v>LA</v>
      </c>
      <c r="L1290" s="22" t="str">
        <f>_xlfn.XLOOKUP(tblRequirementMeasureXref[[#This Row],[msr_id]],tblMeasure[msr_id],tblMeasure[src_name])</f>
        <v>LA revenue expenditure and financing</v>
      </c>
    </row>
    <row r="1291" spans="1:12" x14ac:dyDescent="0.15">
      <c r="A1291" s="1" t="str">
        <f>_xlfn.XLOOKUP(tblRequirementMeasureXref[[#This Row],[dm_id]],tblDataRequirement[dm_id],tblDataRequirement[domain_sub_requirement])</f>
        <v>Users:Demographics:Age</v>
      </c>
      <c r="B1291" s="1" t="str">
        <f>_xlfn.XLOOKUP(tblRequirementMeasureXref[[#This Row],[dm_id]],tblDataRequirement[dm_id],tblDataRequirement[dm_phase])</f>
        <v>demand</v>
      </c>
      <c r="C1291" s="1">
        <v>51</v>
      </c>
      <c r="D1291" s="1">
        <v>337</v>
      </c>
      <c r="G1291" s="1"/>
      <c r="H1291" s="62">
        <f>_xlfn.XLOOKUP(tblRequirementMeasureXref[[#This Row],[msr_id]],tblMeasure[msr_id],tblMeasure[msr_table])</f>
        <v>345</v>
      </c>
      <c r="I1291" s="22" t="str">
        <f>_xlfn.XLOOKUP(tblRequirementMeasureXref[[#This Row],[msr_id]],tblMeasure[msr_id],tblMeasure[msr_name])</f>
        <v>Mental health support - older people (65+)</v>
      </c>
      <c r="J1291" s="22" t="str">
        <f>_xlfn.XLOOKUP(tblRequirementMeasureXref[[#This Row],[msr_id]],tblMeasure[msr_id],tblMeasure[primary_dimensions])</f>
        <v>expenditure</v>
      </c>
      <c r="K1291" s="22" t="str">
        <f>_xlfn.XLOOKUP(tblRequirementMeasureXref[[#This Row],[msr_id]],tblMeasure[msr_id],tblMeasure[msr_min_geo_resolution])</f>
        <v>LA</v>
      </c>
      <c r="L1291" s="22" t="str">
        <f>_xlfn.XLOOKUP(tblRequirementMeasureXref[[#This Row],[msr_id]],tblMeasure[msr_id],tblMeasure[src_name])</f>
        <v>LA revenue expenditure and financing</v>
      </c>
    </row>
    <row r="1292" spans="1:12" x14ac:dyDescent="0.15">
      <c r="A1292" s="1" t="str">
        <f>_xlfn.XLOOKUP(tblRequirementMeasureXref[[#This Row],[dm_id]],tblDataRequirement[dm_id],tblDataRequirement[domain_sub_requirement])</f>
        <v>Users:Care need:Support reason</v>
      </c>
      <c r="B1292" s="1" t="str">
        <f>_xlfn.XLOOKUP(tblRequirementMeasureXref[[#This Row],[dm_id]],tblDataRequirement[dm_id],tblDataRequirement[dm_phase])</f>
        <v>demand</v>
      </c>
      <c r="C1292" s="1">
        <v>56</v>
      </c>
      <c r="D1292" s="1">
        <v>337</v>
      </c>
      <c r="G1292" s="1"/>
      <c r="H1292" s="62">
        <f>_xlfn.XLOOKUP(tblRequirementMeasureXref[[#This Row],[msr_id]],tblMeasure[msr_id],tblMeasure[msr_table])</f>
        <v>345</v>
      </c>
      <c r="I1292" s="22" t="str">
        <f>_xlfn.XLOOKUP(tblRequirementMeasureXref[[#This Row],[msr_id]],tblMeasure[msr_id],tblMeasure[msr_name])</f>
        <v>Mental health support - older people (65+)</v>
      </c>
      <c r="J1292" s="22" t="str">
        <f>_xlfn.XLOOKUP(tblRequirementMeasureXref[[#This Row],[msr_id]],tblMeasure[msr_id],tblMeasure[primary_dimensions])</f>
        <v>expenditure</v>
      </c>
      <c r="K1292" s="22" t="str">
        <f>_xlfn.XLOOKUP(tblRequirementMeasureXref[[#This Row],[msr_id]],tblMeasure[msr_id],tblMeasure[msr_min_geo_resolution])</f>
        <v>LA</v>
      </c>
      <c r="L1292" s="22" t="str">
        <f>_xlfn.XLOOKUP(tblRequirementMeasureXref[[#This Row],[msr_id]],tblMeasure[msr_id],tblMeasure[src_name])</f>
        <v>LA revenue expenditure and financing</v>
      </c>
    </row>
    <row r="1293" spans="1:12" x14ac:dyDescent="0.15">
      <c r="A1293" s="1" t="str">
        <f>_xlfn.XLOOKUP(tblRequirementMeasureXref[[#This Row],[dm_id]],tblDataRequirement[dm_id],tblDataRequirement[domain_sub_requirement])</f>
        <v>Funders:Budget:Local authorities</v>
      </c>
      <c r="B1293" s="1" t="str">
        <f>_xlfn.XLOOKUP(tblRequirementMeasureXref[[#This Row],[dm_id]],tblDataRequirement[dm_id],tblDataRequirement[dm_phase])</f>
        <v>supply</v>
      </c>
      <c r="C1293" s="1">
        <v>1</v>
      </c>
      <c r="D1293" s="1">
        <v>338</v>
      </c>
      <c r="G1293" s="1"/>
      <c r="H1293" s="62">
        <f>_xlfn.XLOOKUP(tblRequirementMeasureXref[[#This Row],[msr_id]],tblMeasure[msr_id],tblMeasure[msr_table])</f>
        <v>348</v>
      </c>
      <c r="I1293" s="22" t="str">
        <f>_xlfn.XLOOKUP(tblRequirementMeasureXref[[#This Row],[msr_id]],tblMeasure[msr_id],tblMeasure[msr_name])</f>
        <v>Social support: Substance misuse support</v>
      </c>
      <c r="J1293" s="22" t="str">
        <f>_xlfn.XLOOKUP(tblRequirementMeasureXref[[#This Row],[msr_id]],tblMeasure[msr_id],tblMeasure[primary_dimensions])</f>
        <v>expenditure</v>
      </c>
      <c r="K1293" s="22" t="str">
        <f>_xlfn.XLOOKUP(tblRequirementMeasureXref[[#This Row],[msr_id]],tblMeasure[msr_id],tblMeasure[msr_min_geo_resolution])</f>
        <v>LA</v>
      </c>
      <c r="L1293" s="22" t="str">
        <f>_xlfn.XLOOKUP(tblRequirementMeasureXref[[#This Row],[msr_id]],tblMeasure[msr_id],tblMeasure[src_name])</f>
        <v>LA revenue expenditure and financing</v>
      </c>
    </row>
    <row r="1294" spans="1:12" x14ac:dyDescent="0.15">
      <c r="A1294" s="1" t="str">
        <f>_xlfn.XLOOKUP(tblRequirementMeasureXref[[#This Row],[dm_id]],tblDataRequirement[dm_id],tblDataRequirement[domain_sub_requirement])</f>
        <v>Funders:Budget:Central government</v>
      </c>
      <c r="B1294" s="1" t="str">
        <f>_xlfn.XLOOKUP(tblRequirementMeasureXref[[#This Row],[dm_id]],tblDataRequirement[dm_id],tblDataRequirement[dm_phase])</f>
        <v>supply</v>
      </c>
      <c r="C1294" s="1">
        <v>2</v>
      </c>
      <c r="D1294" s="1">
        <v>338</v>
      </c>
      <c r="G1294" s="1"/>
      <c r="H1294" s="62">
        <f>_xlfn.XLOOKUP(tblRequirementMeasureXref[[#This Row],[msr_id]],tblMeasure[msr_id],tblMeasure[msr_table])</f>
        <v>348</v>
      </c>
      <c r="I1294" s="22" t="str">
        <f>_xlfn.XLOOKUP(tblRequirementMeasureXref[[#This Row],[msr_id]],tblMeasure[msr_id],tblMeasure[msr_name])</f>
        <v>Social support: Substance misuse support</v>
      </c>
      <c r="J1294" s="22" t="str">
        <f>_xlfn.XLOOKUP(tblRequirementMeasureXref[[#This Row],[msr_id]],tblMeasure[msr_id],tblMeasure[primary_dimensions])</f>
        <v>expenditure</v>
      </c>
      <c r="K1294" s="22" t="str">
        <f>_xlfn.XLOOKUP(tblRequirementMeasureXref[[#This Row],[msr_id]],tblMeasure[msr_id],tblMeasure[msr_min_geo_resolution])</f>
        <v>LA</v>
      </c>
      <c r="L1294" s="22" t="str">
        <f>_xlfn.XLOOKUP(tblRequirementMeasureXref[[#This Row],[msr_id]],tblMeasure[msr_id],tblMeasure[src_name])</f>
        <v>LA revenue expenditure and financing</v>
      </c>
    </row>
    <row r="1295" spans="1:12" x14ac:dyDescent="0.15">
      <c r="A1295" s="1" t="str">
        <f>_xlfn.XLOOKUP(tblRequirementMeasureXref[[#This Row],[dm_id]],tblDataRequirement[dm_id],tblDataRequirement[domain_sub_requirement])</f>
        <v>Users:Care need:Support reason</v>
      </c>
      <c r="B1295" s="1" t="str">
        <f>_xlfn.XLOOKUP(tblRequirementMeasureXref[[#This Row],[dm_id]],tblDataRequirement[dm_id],tblDataRequirement[dm_phase])</f>
        <v>demand</v>
      </c>
      <c r="C1295" s="1">
        <v>56</v>
      </c>
      <c r="D1295" s="1">
        <v>338</v>
      </c>
      <c r="G1295" s="1"/>
      <c r="H1295" s="62">
        <f>_xlfn.XLOOKUP(tblRequirementMeasureXref[[#This Row],[msr_id]],tblMeasure[msr_id],tblMeasure[msr_table])</f>
        <v>348</v>
      </c>
      <c r="I1295" s="22" t="str">
        <f>_xlfn.XLOOKUP(tblRequirementMeasureXref[[#This Row],[msr_id]],tblMeasure[msr_id],tblMeasure[msr_name])</f>
        <v>Social support: Substance misuse support</v>
      </c>
      <c r="J1295" s="22" t="str">
        <f>_xlfn.XLOOKUP(tblRequirementMeasureXref[[#This Row],[msr_id]],tblMeasure[msr_id],tblMeasure[primary_dimensions])</f>
        <v>expenditure</v>
      </c>
      <c r="K1295" s="22" t="str">
        <f>_xlfn.XLOOKUP(tblRequirementMeasureXref[[#This Row],[msr_id]],tblMeasure[msr_id],tblMeasure[msr_min_geo_resolution])</f>
        <v>LA</v>
      </c>
      <c r="L1295" s="22" t="str">
        <f>_xlfn.XLOOKUP(tblRequirementMeasureXref[[#This Row],[msr_id]],tblMeasure[msr_id],tblMeasure[src_name])</f>
        <v>LA revenue expenditure and financing</v>
      </c>
    </row>
    <row r="1296" spans="1:12" x14ac:dyDescent="0.15">
      <c r="A1296" s="1" t="str">
        <f>_xlfn.XLOOKUP(tblRequirementMeasureXref[[#This Row],[dm_id]],tblDataRequirement[dm_id],tblDataRequirement[domain_sub_requirement])</f>
        <v>Funders:Budget:Local authorities</v>
      </c>
      <c r="B1296" s="1" t="str">
        <f>_xlfn.XLOOKUP(tblRequirementMeasureXref[[#This Row],[dm_id]],tblDataRequirement[dm_id],tblDataRequirement[dm_phase])</f>
        <v>supply</v>
      </c>
      <c r="C1296" s="1">
        <v>1</v>
      </c>
      <c r="D1296" s="1">
        <v>339</v>
      </c>
      <c r="G1296" s="1"/>
      <c r="H1296" s="62">
        <f>_xlfn.XLOOKUP(tblRequirementMeasureXref[[#This Row],[msr_id]],tblMeasure[msr_id],tblMeasure[msr_table])</f>
        <v>349</v>
      </c>
      <c r="I1296" s="22" t="str">
        <f>_xlfn.XLOOKUP(tblRequirementMeasureXref[[#This Row],[msr_id]],tblMeasure[msr_id],tblMeasure[msr_name])</f>
        <v>Social support: Asylum seeker support</v>
      </c>
      <c r="J1296" s="22" t="str">
        <f>_xlfn.XLOOKUP(tblRequirementMeasureXref[[#This Row],[msr_id]],tblMeasure[msr_id],tblMeasure[primary_dimensions])</f>
        <v>expenditure</v>
      </c>
      <c r="K1296" s="22" t="str">
        <f>_xlfn.XLOOKUP(tblRequirementMeasureXref[[#This Row],[msr_id]],tblMeasure[msr_id],tblMeasure[msr_min_geo_resolution])</f>
        <v>LA</v>
      </c>
      <c r="L1296" s="22" t="str">
        <f>_xlfn.XLOOKUP(tblRequirementMeasureXref[[#This Row],[msr_id]],tblMeasure[msr_id],tblMeasure[src_name])</f>
        <v>LA revenue expenditure and financing</v>
      </c>
    </row>
    <row r="1297" spans="1:12" x14ac:dyDescent="0.15">
      <c r="A1297" s="1" t="str">
        <f>_xlfn.XLOOKUP(tblRequirementMeasureXref[[#This Row],[dm_id]],tblDataRequirement[dm_id],tblDataRequirement[domain_sub_requirement])</f>
        <v>Funders:Budget:Central government</v>
      </c>
      <c r="B1297" s="1" t="str">
        <f>_xlfn.XLOOKUP(tblRequirementMeasureXref[[#This Row],[dm_id]],tblDataRequirement[dm_id],tblDataRequirement[dm_phase])</f>
        <v>supply</v>
      </c>
      <c r="C1297" s="1">
        <v>2</v>
      </c>
      <c r="D1297" s="1">
        <v>339</v>
      </c>
      <c r="G1297" s="1"/>
      <c r="H1297" s="62">
        <f>_xlfn.XLOOKUP(tblRequirementMeasureXref[[#This Row],[msr_id]],tblMeasure[msr_id],tblMeasure[msr_table])</f>
        <v>349</v>
      </c>
      <c r="I1297" s="22" t="str">
        <f>_xlfn.XLOOKUP(tblRequirementMeasureXref[[#This Row],[msr_id]],tblMeasure[msr_id],tblMeasure[msr_name])</f>
        <v>Social support: Asylum seeker support</v>
      </c>
      <c r="J1297" s="22" t="str">
        <f>_xlfn.XLOOKUP(tblRequirementMeasureXref[[#This Row],[msr_id]],tblMeasure[msr_id],tblMeasure[primary_dimensions])</f>
        <v>expenditure</v>
      </c>
      <c r="K1297" s="22" t="str">
        <f>_xlfn.XLOOKUP(tblRequirementMeasureXref[[#This Row],[msr_id]],tblMeasure[msr_id],tblMeasure[msr_min_geo_resolution])</f>
        <v>LA</v>
      </c>
      <c r="L1297" s="22" t="str">
        <f>_xlfn.XLOOKUP(tblRequirementMeasureXref[[#This Row],[msr_id]],tblMeasure[msr_id],tblMeasure[src_name])</f>
        <v>LA revenue expenditure and financing</v>
      </c>
    </row>
    <row r="1298" spans="1:12" x14ac:dyDescent="0.15">
      <c r="A1298" s="1" t="str">
        <f>_xlfn.XLOOKUP(tblRequirementMeasureXref[[#This Row],[dm_id]],tblDataRequirement[dm_id],tblDataRequirement[domain_sub_requirement])</f>
        <v>Service:Support type:Other (not ST or LT)</v>
      </c>
      <c r="B1298" s="1" t="str">
        <f>_xlfn.XLOOKUP(tblRequirementMeasureXref[[#This Row],[dm_id]],tblDataRequirement[dm_id],tblDataRequirement[dm_phase])</f>
        <v>operate</v>
      </c>
      <c r="C1298" s="1">
        <v>68</v>
      </c>
      <c r="D1298" s="1">
        <v>339</v>
      </c>
      <c r="G1298" s="1"/>
      <c r="H1298" s="62">
        <f>_xlfn.XLOOKUP(tblRequirementMeasureXref[[#This Row],[msr_id]],tblMeasure[msr_id],tblMeasure[msr_table])</f>
        <v>349</v>
      </c>
      <c r="I1298" s="22" t="str">
        <f>_xlfn.XLOOKUP(tblRequirementMeasureXref[[#This Row],[msr_id]],tblMeasure[msr_id],tblMeasure[msr_name])</f>
        <v>Social support: Asylum seeker support</v>
      </c>
      <c r="J1298" s="22" t="str">
        <f>_xlfn.XLOOKUP(tblRequirementMeasureXref[[#This Row],[msr_id]],tblMeasure[msr_id],tblMeasure[primary_dimensions])</f>
        <v>expenditure</v>
      </c>
      <c r="K1298" s="22" t="str">
        <f>_xlfn.XLOOKUP(tblRequirementMeasureXref[[#This Row],[msr_id]],tblMeasure[msr_id],tblMeasure[msr_min_geo_resolution])</f>
        <v>LA</v>
      </c>
      <c r="L1298" s="22" t="str">
        <f>_xlfn.XLOOKUP(tblRequirementMeasureXref[[#This Row],[msr_id]],tblMeasure[msr_id],tblMeasure[src_name])</f>
        <v>LA revenue expenditure and financing</v>
      </c>
    </row>
    <row r="1299" spans="1:12" x14ac:dyDescent="0.15">
      <c r="A1299" s="1" t="str">
        <f>_xlfn.XLOOKUP(tblRequirementMeasureXref[[#This Row],[dm_id]],tblDataRequirement[dm_id],tblDataRequirement[domain_sub_requirement])</f>
        <v>Funders:Budget:Local authorities</v>
      </c>
      <c r="B1299" s="1" t="str">
        <f>_xlfn.XLOOKUP(tblRequirementMeasureXref[[#This Row],[dm_id]],tblDataRequirement[dm_id],tblDataRequirement[dm_phase])</f>
        <v>supply</v>
      </c>
      <c r="C1299" s="1">
        <v>1</v>
      </c>
      <c r="D1299" s="1">
        <v>340</v>
      </c>
      <c r="G1299" s="1"/>
      <c r="H1299" s="62">
        <f>_xlfn.XLOOKUP(tblRequirementMeasureXref[[#This Row],[msr_id]],tblMeasure[msr_id],tblMeasure[msr_table])</f>
        <v>350</v>
      </c>
      <c r="I1299" s="22" t="str">
        <f>_xlfn.XLOOKUP(tblRequirementMeasureXref[[#This Row],[msr_id]],tblMeasure[msr_id],tblMeasure[msr_name])</f>
        <v>Social support: Support for carer</v>
      </c>
      <c r="J1299" s="22" t="str">
        <f>_xlfn.XLOOKUP(tblRequirementMeasureXref[[#This Row],[msr_id]],tblMeasure[msr_id],tblMeasure[primary_dimensions])</f>
        <v>expenditure</v>
      </c>
      <c r="K1299" s="22" t="str">
        <f>_xlfn.XLOOKUP(tblRequirementMeasureXref[[#This Row],[msr_id]],tblMeasure[msr_id],tblMeasure[msr_min_geo_resolution])</f>
        <v>LA</v>
      </c>
      <c r="L1299" s="22" t="str">
        <f>_xlfn.XLOOKUP(tblRequirementMeasureXref[[#This Row],[msr_id]],tblMeasure[msr_id],tblMeasure[src_name])</f>
        <v>LA revenue expenditure and financing</v>
      </c>
    </row>
    <row r="1300" spans="1:12" x14ac:dyDescent="0.15">
      <c r="A1300" s="1" t="str">
        <f>_xlfn.XLOOKUP(tblRequirementMeasureXref[[#This Row],[dm_id]],tblDataRequirement[dm_id],tblDataRequirement[domain_sub_requirement])</f>
        <v>Funders:Budget:Central government</v>
      </c>
      <c r="B1300" s="1" t="str">
        <f>_xlfn.XLOOKUP(tblRequirementMeasureXref[[#This Row],[dm_id]],tblDataRequirement[dm_id],tblDataRequirement[dm_phase])</f>
        <v>supply</v>
      </c>
      <c r="C1300" s="1">
        <v>2</v>
      </c>
      <c r="D1300" s="1">
        <v>340</v>
      </c>
      <c r="G1300" s="1"/>
      <c r="H1300" s="62">
        <f>_xlfn.XLOOKUP(tblRequirementMeasureXref[[#This Row],[msr_id]],tblMeasure[msr_id],tblMeasure[msr_table])</f>
        <v>350</v>
      </c>
      <c r="I1300" s="22" t="str">
        <f>_xlfn.XLOOKUP(tblRequirementMeasureXref[[#This Row],[msr_id]],tblMeasure[msr_id],tblMeasure[msr_name])</f>
        <v>Social support: Support for carer</v>
      </c>
      <c r="J1300" s="22" t="str">
        <f>_xlfn.XLOOKUP(tblRequirementMeasureXref[[#This Row],[msr_id]],tblMeasure[msr_id],tblMeasure[primary_dimensions])</f>
        <v>expenditure</v>
      </c>
      <c r="K1300" s="22" t="str">
        <f>_xlfn.XLOOKUP(tblRequirementMeasureXref[[#This Row],[msr_id]],tblMeasure[msr_id],tblMeasure[msr_min_geo_resolution])</f>
        <v>LA</v>
      </c>
      <c r="L1300" s="22" t="str">
        <f>_xlfn.XLOOKUP(tblRequirementMeasureXref[[#This Row],[msr_id]],tblMeasure[msr_id],tblMeasure[src_name])</f>
        <v>LA revenue expenditure and financing</v>
      </c>
    </row>
    <row r="1301" spans="1:12" x14ac:dyDescent="0.15">
      <c r="A1301" s="1" t="str">
        <f>_xlfn.XLOOKUP(tblRequirementMeasureXref[[#This Row],[dm_id]],tblDataRequirement[dm_id],tblDataRequirement[domain_sub_requirement])</f>
        <v>Unpaid Carers:Income:Direct payments</v>
      </c>
      <c r="B1301" s="1" t="str">
        <f>_xlfn.XLOOKUP(tblRequirementMeasureXref[[#This Row],[dm_id]],tblDataRequirement[dm_id],tblDataRequirement[dm_phase])</f>
        <v>supply</v>
      </c>
      <c r="C1301" s="1">
        <v>90</v>
      </c>
      <c r="D1301" s="1">
        <v>340</v>
      </c>
      <c r="G1301" s="1"/>
      <c r="H1301" s="62">
        <f>_xlfn.XLOOKUP(tblRequirementMeasureXref[[#This Row],[msr_id]],tblMeasure[msr_id],tblMeasure[msr_table])</f>
        <v>350</v>
      </c>
      <c r="I1301" s="22" t="str">
        <f>_xlfn.XLOOKUP(tblRequirementMeasureXref[[#This Row],[msr_id]],tblMeasure[msr_id],tblMeasure[msr_name])</f>
        <v>Social support: Support for carer</v>
      </c>
      <c r="J1301" s="22" t="str">
        <f>_xlfn.XLOOKUP(tblRequirementMeasureXref[[#This Row],[msr_id]],tblMeasure[msr_id],tblMeasure[primary_dimensions])</f>
        <v>expenditure</v>
      </c>
      <c r="K1301" s="22" t="str">
        <f>_xlfn.XLOOKUP(tblRequirementMeasureXref[[#This Row],[msr_id]],tblMeasure[msr_id],tblMeasure[msr_min_geo_resolution])</f>
        <v>LA</v>
      </c>
      <c r="L1301" s="22" t="str">
        <f>_xlfn.XLOOKUP(tblRequirementMeasureXref[[#This Row],[msr_id]],tblMeasure[msr_id],tblMeasure[src_name])</f>
        <v>LA revenue expenditure and financing</v>
      </c>
    </row>
    <row r="1302" spans="1:12" x14ac:dyDescent="0.15">
      <c r="A1302" s="1" t="str">
        <f>_xlfn.XLOOKUP(tblRequirementMeasureXref[[#This Row],[dm_id]],tblDataRequirement[dm_id],tblDataRequirement[domain_sub_requirement])</f>
        <v>Funders:Budget:Local authorities</v>
      </c>
      <c r="B1302" s="1" t="str">
        <f>_xlfn.XLOOKUP(tblRequirementMeasureXref[[#This Row],[dm_id]],tblDataRequirement[dm_id],tblDataRequirement[dm_phase])</f>
        <v>supply</v>
      </c>
      <c r="C1302" s="1">
        <v>1</v>
      </c>
      <c r="D1302" s="1">
        <v>341</v>
      </c>
      <c r="G1302" s="1"/>
      <c r="H1302" s="62">
        <f>_xlfn.XLOOKUP(tblRequirementMeasureXref[[#This Row],[msr_id]],tblMeasure[msr_id],tblMeasure[msr_table])</f>
        <v>351</v>
      </c>
      <c r="I1302" s="22" t="str">
        <f>_xlfn.XLOOKUP(tblRequirementMeasureXref[[#This Row],[msr_id]],tblMeasure[msr_id],tblMeasure[msr_name])</f>
        <v>Social support: Social Isolation</v>
      </c>
      <c r="J1302" s="22" t="str">
        <f>_xlfn.XLOOKUP(tblRequirementMeasureXref[[#This Row],[msr_id]],tblMeasure[msr_id],tblMeasure[primary_dimensions])</f>
        <v>expenditure</v>
      </c>
      <c r="K1302" s="22" t="str">
        <f>_xlfn.XLOOKUP(tblRequirementMeasureXref[[#This Row],[msr_id]],tblMeasure[msr_id],tblMeasure[msr_min_geo_resolution])</f>
        <v>LA</v>
      </c>
      <c r="L1302" s="22" t="str">
        <f>_xlfn.XLOOKUP(tblRequirementMeasureXref[[#This Row],[msr_id]],tblMeasure[msr_id],tblMeasure[src_name])</f>
        <v>LA revenue expenditure and financing</v>
      </c>
    </row>
    <row r="1303" spans="1:12" x14ac:dyDescent="0.15">
      <c r="A1303" s="1" t="str">
        <f>_xlfn.XLOOKUP(tblRequirementMeasureXref[[#This Row],[dm_id]],tblDataRequirement[dm_id],tblDataRequirement[domain_sub_requirement])</f>
        <v>Funders:Budget:Central government</v>
      </c>
      <c r="B1303" s="1" t="str">
        <f>_xlfn.XLOOKUP(tblRequirementMeasureXref[[#This Row],[dm_id]],tblDataRequirement[dm_id],tblDataRequirement[dm_phase])</f>
        <v>supply</v>
      </c>
      <c r="C1303" s="1">
        <v>2</v>
      </c>
      <c r="D1303" s="1">
        <v>341</v>
      </c>
      <c r="G1303" s="1"/>
      <c r="H1303" s="62">
        <f>_xlfn.XLOOKUP(tblRequirementMeasureXref[[#This Row],[msr_id]],tblMeasure[msr_id],tblMeasure[msr_table])</f>
        <v>351</v>
      </c>
      <c r="I1303" s="22" t="str">
        <f>_xlfn.XLOOKUP(tblRequirementMeasureXref[[#This Row],[msr_id]],tblMeasure[msr_id],tblMeasure[msr_name])</f>
        <v>Social support: Social Isolation</v>
      </c>
      <c r="J1303" s="22" t="str">
        <f>_xlfn.XLOOKUP(tblRequirementMeasureXref[[#This Row],[msr_id]],tblMeasure[msr_id],tblMeasure[primary_dimensions])</f>
        <v>expenditure</v>
      </c>
      <c r="K1303" s="22" t="str">
        <f>_xlfn.XLOOKUP(tblRequirementMeasureXref[[#This Row],[msr_id]],tblMeasure[msr_id],tblMeasure[msr_min_geo_resolution])</f>
        <v>LA</v>
      </c>
      <c r="L1303" s="22" t="str">
        <f>_xlfn.XLOOKUP(tblRequirementMeasureXref[[#This Row],[msr_id]],tblMeasure[msr_id],tblMeasure[src_name])</f>
        <v>LA revenue expenditure and financing</v>
      </c>
    </row>
    <row r="1304" spans="1:12" x14ac:dyDescent="0.15">
      <c r="A1304" s="1" t="str">
        <f>_xlfn.XLOOKUP(tblRequirementMeasureXref[[#This Row],[dm_id]],tblDataRequirement[dm_id],tblDataRequirement[domain_sub_requirement])</f>
        <v>Service:Support type:Other (not ST or LT)</v>
      </c>
      <c r="B1304" s="1" t="str">
        <f>_xlfn.XLOOKUP(tblRequirementMeasureXref[[#This Row],[dm_id]],tblDataRequirement[dm_id],tblDataRequirement[dm_phase])</f>
        <v>operate</v>
      </c>
      <c r="C1304" s="1">
        <v>68</v>
      </c>
      <c r="D1304" s="1">
        <v>341</v>
      </c>
      <c r="G1304" s="1"/>
      <c r="H1304" s="62">
        <f>_xlfn.XLOOKUP(tblRequirementMeasureXref[[#This Row],[msr_id]],tblMeasure[msr_id],tblMeasure[msr_table])</f>
        <v>351</v>
      </c>
      <c r="I1304" s="22" t="str">
        <f>_xlfn.XLOOKUP(tblRequirementMeasureXref[[#This Row],[msr_id]],tblMeasure[msr_id],tblMeasure[msr_name])</f>
        <v>Social support: Social Isolation</v>
      </c>
      <c r="J1304" s="22" t="str">
        <f>_xlfn.XLOOKUP(tblRequirementMeasureXref[[#This Row],[msr_id]],tblMeasure[msr_id],tblMeasure[primary_dimensions])</f>
        <v>expenditure</v>
      </c>
      <c r="K1304" s="22" t="str">
        <f>_xlfn.XLOOKUP(tblRequirementMeasureXref[[#This Row],[msr_id]],tblMeasure[msr_id],tblMeasure[msr_min_geo_resolution])</f>
        <v>LA</v>
      </c>
      <c r="L1304" s="22" t="str">
        <f>_xlfn.XLOOKUP(tblRequirementMeasureXref[[#This Row],[msr_id]],tblMeasure[msr_id],tblMeasure[src_name])</f>
        <v>LA revenue expenditure and financing</v>
      </c>
    </row>
    <row r="1305" spans="1:12" x14ac:dyDescent="0.15">
      <c r="A1305" s="1" t="str">
        <f>_xlfn.XLOOKUP(tblRequirementMeasureXref[[#This Row],[dm_id]],tblDataRequirement[dm_id],tblDataRequirement[domain_sub_requirement])</f>
        <v>Funders:Budget:Local authorities</v>
      </c>
      <c r="B1305" s="1" t="str">
        <f>_xlfn.XLOOKUP(tblRequirementMeasureXref[[#This Row],[dm_id]],tblDataRequirement[dm_id],tblDataRequirement[dm_phase])</f>
        <v>supply</v>
      </c>
      <c r="C1305" s="1">
        <v>1</v>
      </c>
      <c r="D1305" s="1">
        <v>342</v>
      </c>
      <c r="G1305" s="1"/>
      <c r="H1305" s="62">
        <f>_xlfn.XLOOKUP(tblRequirementMeasureXref[[#This Row],[msr_id]],tblMeasure[msr_id],tblMeasure[msr_table])</f>
        <v>353</v>
      </c>
      <c r="I1305" s="22" t="str">
        <f>_xlfn.XLOOKUP(tblRequirementMeasureXref[[#This Row],[msr_id]],tblMeasure[msr_id],tblMeasure[msr_name])</f>
        <v>Assistive equipment and technology</v>
      </c>
      <c r="J1305" s="22" t="str">
        <f>_xlfn.XLOOKUP(tblRequirementMeasureXref[[#This Row],[msr_id]],tblMeasure[msr_id],tblMeasure[primary_dimensions])</f>
        <v>expenditure</v>
      </c>
      <c r="K1305" s="22" t="str">
        <f>_xlfn.XLOOKUP(tblRequirementMeasureXref[[#This Row],[msr_id]],tblMeasure[msr_id],tblMeasure[msr_min_geo_resolution])</f>
        <v>LA</v>
      </c>
      <c r="L1305" s="22" t="str">
        <f>_xlfn.XLOOKUP(tblRequirementMeasureXref[[#This Row],[msr_id]],tblMeasure[msr_id],tblMeasure[src_name])</f>
        <v>LA revenue expenditure and financing</v>
      </c>
    </row>
    <row r="1306" spans="1:12" x14ac:dyDescent="0.15">
      <c r="A1306" s="1" t="str">
        <f>_xlfn.XLOOKUP(tblRequirementMeasureXref[[#This Row],[dm_id]],tblDataRequirement[dm_id],tblDataRequirement[domain_sub_requirement])</f>
        <v>Funders:Budget:Central government</v>
      </c>
      <c r="B1306" s="1" t="str">
        <f>_xlfn.XLOOKUP(tblRequirementMeasureXref[[#This Row],[dm_id]],tblDataRequirement[dm_id],tblDataRequirement[dm_phase])</f>
        <v>supply</v>
      </c>
      <c r="C1306" s="1">
        <v>2</v>
      </c>
      <c r="D1306" s="1">
        <v>342</v>
      </c>
      <c r="G1306" s="1"/>
      <c r="H1306" s="62">
        <f>_xlfn.XLOOKUP(tblRequirementMeasureXref[[#This Row],[msr_id]],tblMeasure[msr_id],tblMeasure[msr_table])</f>
        <v>353</v>
      </c>
      <c r="I1306" s="22" t="str">
        <f>_xlfn.XLOOKUP(tblRequirementMeasureXref[[#This Row],[msr_id]],tblMeasure[msr_id],tblMeasure[msr_name])</f>
        <v>Assistive equipment and technology</v>
      </c>
      <c r="J1306" s="22" t="str">
        <f>_xlfn.XLOOKUP(tblRequirementMeasureXref[[#This Row],[msr_id]],tblMeasure[msr_id],tblMeasure[primary_dimensions])</f>
        <v>expenditure</v>
      </c>
      <c r="K1306" s="22" t="str">
        <f>_xlfn.XLOOKUP(tblRequirementMeasureXref[[#This Row],[msr_id]],tblMeasure[msr_id],tblMeasure[msr_min_geo_resolution])</f>
        <v>LA</v>
      </c>
      <c r="L1306" s="22" t="str">
        <f>_xlfn.XLOOKUP(tblRequirementMeasureXref[[#This Row],[msr_id]],tblMeasure[msr_id],tblMeasure[src_name])</f>
        <v>LA revenue expenditure and financing</v>
      </c>
    </row>
    <row r="1307" spans="1:12" x14ac:dyDescent="0.15">
      <c r="A1307" s="1" t="str">
        <f>_xlfn.XLOOKUP(tblRequirementMeasureXref[[#This Row],[dm_id]],tblDataRequirement[dm_id],tblDataRequirement[domain_sub_requirement])</f>
        <v>Service:Support type:Other (not ST or LT)</v>
      </c>
      <c r="B1307" s="1" t="str">
        <f>_xlfn.XLOOKUP(tblRequirementMeasureXref[[#This Row],[dm_id]],tblDataRequirement[dm_id],tblDataRequirement[dm_phase])</f>
        <v>operate</v>
      </c>
      <c r="C1307" s="1">
        <v>68</v>
      </c>
      <c r="D1307" s="1">
        <v>342</v>
      </c>
      <c r="G1307" s="1"/>
      <c r="H1307" s="62">
        <f>_xlfn.XLOOKUP(tblRequirementMeasureXref[[#This Row],[msr_id]],tblMeasure[msr_id],tblMeasure[msr_table])</f>
        <v>353</v>
      </c>
      <c r="I1307" s="22" t="str">
        <f>_xlfn.XLOOKUP(tblRequirementMeasureXref[[#This Row],[msr_id]],tblMeasure[msr_id],tblMeasure[msr_name])</f>
        <v>Assistive equipment and technology</v>
      </c>
      <c r="J1307" s="22" t="str">
        <f>_xlfn.XLOOKUP(tblRequirementMeasureXref[[#This Row],[msr_id]],tblMeasure[msr_id],tblMeasure[primary_dimensions])</f>
        <v>expenditure</v>
      </c>
      <c r="K1307" s="22" t="str">
        <f>_xlfn.XLOOKUP(tblRequirementMeasureXref[[#This Row],[msr_id]],tblMeasure[msr_id],tblMeasure[msr_min_geo_resolution])</f>
        <v>LA</v>
      </c>
      <c r="L1307" s="22" t="str">
        <f>_xlfn.XLOOKUP(tblRequirementMeasureXref[[#This Row],[msr_id]],tblMeasure[msr_id],tblMeasure[src_name])</f>
        <v>LA revenue expenditure and financing</v>
      </c>
    </row>
    <row r="1308" spans="1:12" x14ac:dyDescent="0.15">
      <c r="A1308" s="1" t="str">
        <f>_xlfn.XLOOKUP(tblRequirementMeasureXref[[#This Row],[dm_id]],tblDataRequirement[dm_id],tblDataRequirement[domain_sub_requirement])</f>
        <v>Funders:Budget:Local authorities</v>
      </c>
      <c r="B1308" s="1" t="str">
        <f>_xlfn.XLOOKUP(tblRequirementMeasureXref[[#This Row],[dm_id]],tblDataRequirement[dm_id],tblDataRequirement[dm_phase])</f>
        <v>supply</v>
      </c>
      <c r="C1308" s="1">
        <v>1</v>
      </c>
      <c r="D1308" s="1">
        <v>343</v>
      </c>
      <c r="G1308" s="1"/>
      <c r="H1308" s="62">
        <f>_xlfn.XLOOKUP(tblRequirementMeasureXref[[#This Row],[msr_id]],tblMeasure[msr_id],tblMeasure[msr_table])</f>
        <v>354</v>
      </c>
      <c r="I1308" s="22" t="str">
        <f>_xlfn.XLOOKUP(tblRequirementMeasureXref[[#This Row],[msr_id]],tblMeasure[msr_id],tblMeasure[msr_name])</f>
        <v>Social care activities</v>
      </c>
      <c r="J1308" s="22" t="str">
        <f>_xlfn.XLOOKUP(tblRequirementMeasureXref[[#This Row],[msr_id]],tblMeasure[msr_id],tblMeasure[primary_dimensions])</f>
        <v>expenditure</v>
      </c>
      <c r="K1308" s="22" t="str">
        <f>_xlfn.XLOOKUP(tblRequirementMeasureXref[[#This Row],[msr_id]],tblMeasure[msr_id],tblMeasure[msr_min_geo_resolution])</f>
        <v>LA</v>
      </c>
      <c r="L1308" s="22" t="str">
        <f>_xlfn.XLOOKUP(tblRequirementMeasureXref[[#This Row],[msr_id]],tblMeasure[msr_id],tblMeasure[src_name])</f>
        <v>LA revenue expenditure and financing</v>
      </c>
    </row>
    <row r="1309" spans="1:12" x14ac:dyDescent="0.15">
      <c r="A1309" s="1" t="str">
        <f>_xlfn.XLOOKUP(tblRequirementMeasureXref[[#This Row],[dm_id]],tblDataRequirement[dm_id],tblDataRequirement[domain_sub_requirement])</f>
        <v>Funders:Budget:Central government</v>
      </c>
      <c r="B1309" s="1" t="str">
        <f>_xlfn.XLOOKUP(tblRequirementMeasureXref[[#This Row],[dm_id]],tblDataRequirement[dm_id],tblDataRequirement[dm_phase])</f>
        <v>supply</v>
      </c>
      <c r="C1309" s="1">
        <v>2</v>
      </c>
      <c r="D1309" s="1">
        <v>343</v>
      </c>
      <c r="G1309" s="1"/>
      <c r="H1309" s="62">
        <f>_xlfn.XLOOKUP(tblRequirementMeasureXref[[#This Row],[msr_id]],tblMeasure[msr_id],tblMeasure[msr_table])</f>
        <v>354</v>
      </c>
      <c r="I1309" s="22" t="str">
        <f>_xlfn.XLOOKUP(tblRequirementMeasureXref[[#This Row],[msr_id]],tblMeasure[msr_id],tblMeasure[msr_name])</f>
        <v>Social care activities</v>
      </c>
      <c r="J1309" s="22" t="str">
        <f>_xlfn.XLOOKUP(tblRequirementMeasureXref[[#This Row],[msr_id]],tblMeasure[msr_id],tblMeasure[primary_dimensions])</f>
        <v>expenditure</v>
      </c>
      <c r="K1309" s="22" t="str">
        <f>_xlfn.XLOOKUP(tblRequirementMeasureXref[[#This Row],[msr_id]],tblMeasure[msr_id],tblMeasure[msr_min_geo_resolution])</f>
        <v>LA</v>
      </c>
      <c r="L1309" s="22" t="str">
        <f>_xlfn.XLOOKUP(tblRequirementMeasureXref[[#This Row],[msr_id]],tblMeasure[msr_id],tblMeasure[src_name])</f>
        <v>LA revenue expenditure and financing</v>
      </c>
    </row>
    <row r="1310" spans="1:12" x14ac:dyDescent="0.15">
      <c r="A1310" s="1" t="str">
        <f>_xlfn.XLOOKUP(tblRequirementMeasureXref[[#This Row],[dm_id]],tblDataRequirement[dm_id],tblDataRequirement[domain_sub_requirement])</f>
        <v>Service:Support type:Other (not ST or LT)</v>
      </c>
      <c r="B1310" s="1" t="str">
        <f>_xlfn.XLOOKUP(tblRequirementMeasureXref[[#This Row],[dm_id]],tblDataRequirement[dm_id],tblDataRequirement[dm_phase])</f>
        <v>operate</v>
      </c>
      <c r="C1310" s="1">
        <v>68</v>
      </c>
      <c r="D1310" s="1">
        <v>343</v>
      </c>
      <c r="G1310" s="1"/>
      <c r="H1310" s="62">
        <f>_xlfn.XLOOKUP(tblRequirementMeasureXref[[#This Row],[msr_id]],tblMeasure[msr_id],tblMeasure[msr_table])</f>
        <v>354</v>
      </c>
      <c r="I1310" s="22" t="str">
        <f>_xlfn.XLOOKUP(tblRequirementMeasureXref[[#This Row],[msr_id]],tblMeasure[msr_id],tblMeasure[msr_name])</f>
        <v>Social care activities</v>
      </c>
      <c r="J1310" s="22" t="str">
        <f>_xlfn.XLOOKUP(tblRequirementMeasureXref[[#This Row],[msr_id]],tblMeasure[msr_id],tblMeasure[primary_dimensions])</f>
        <v>expenditure</v>
      </c>
      <c r="K1310" s="22" t="str">
        <f>_xlfn.XLOOKUP(tblRequirementMeasureXref[[#This Row],[msr_id]],tblMeasure[msr_id],tblMeasure[msr_min_geo_resolution])</f>
        <v>LA</v>
      </c>
      <c r="L1310" s="22" t="str">
        <f>_xlfn.XLOOKUP(tblRequirementMeasureXref[[#This Row],[msr_id]],tblMeasure[msr_id],tblMeasure[src_name])</f>
        <v>LA revenue expenditure and financing</v>
      </c>
    </row>
    <row r="1311" spans="1:12" x14ac:dyDescent="0.15">
      <c r="A1311" s="1" t="str">
        <f>_xlfn.XLOOKUP(tblRequirementMeasureXref[[#This Row],[dm_id]],tblDataRequirement[dm_id],tblDataRequirement[domain_sub_requirement])</f>
        <v>Funders:Budget:Local authorities</v>
      </c>
      <c r="B1311" s="1" t="str">
        <f>_xlfn.XLOOKUP(tblRequirementMeasureXref[[#This Row],[dm_id]],tblDataRequirement[dm_id],tblDataRequirement[dm_phase])</f>
        <v>supply</v>
      </c>
      <c r="C1311" s="1">
        <v>1</v>
      </c>
      <c r="D1311" s="1">
        <v>344</v>
      </c>
      <c r="G1311" s="1"/>
      <c r="H1311" s="62">
        <f>_xlfn.XLOOKUP(tblRequirementMeasureXref[[#This Row],[msr_id]],tblMeasure[msr_id],tblMeasure[msr_table])</f>
        <v>355</v>
      </c>
      <c r="I1311" s="22" t="str">
        <f>_xlfn.XLOOKUP(tblRequirementMeasureXref[[#This Row],[msr_id]],tblMeasure[msr_id],tblMeasure[msr_name])</f>
        <v>Information and early intervention</v>
      </c>
      <c r="J1311" s="22" t="str">
        <f>_xlfn.XLOOKUP(tblRequirementMeasureXref[[#This Row],[msr_id]],tblMeasure[msr_id],tblMeasure[primary_dimensions])</f>
        <v>expenditure</v>
      </c>
      <c r="K1311" s="22" t="str">
        <f>_xlfn.XLOOKUP(tblRequirementMeasureXref[[#This Row],[msr_id]],tblMeasure[msr_id],tblMeasure[msr_min_geo_resolution])</f>
        <v>LA</v>
      </c>
      <c r="L1311" s="22" t="str">
        <f>_xlfn.XLOOKUP(tblRequirementMeasureXref[[#This Row],[msr_id]],tblMeasure[msr_id],tblMeasure[src_name])</f>
        <v>LA revenue expenditure and financing</v>
      </c>
    </row>
    <row r="1312" spans="1:12" x14ac:dyDescent="0.15">
      <c r="A1312" s="1" t="str">
        <f>_xlfn.XLOOKUP(tblRequirementMeasureXref[[#This Row],[dm_id]],tblDataRequirement[dm_id],tblDataRequirement[domain_sub_requirement])</f>
        <v>Funders:Budget:Central government</v>
      </c>
      <c r="B1312" s="1" t="str">
        <f>_xlfn.XLOOKUP(tblRequirementMeasureXref[[#This Row],[dm_id]],tblDataRequirement[dm_id],tblDataRequirement[dm_phase])</f>
        <v>supply</v>
      </c>
      <c r="C1312" s="1">
        <v>2</v>
      </c>
      <c r="D1312" s="1">
        <v>344</v>
      </c>
      <c r="G1312" s="1"/>
      <c r="H1312" s="62">
        <f>_xlfn.XLOOKUP(tblRequirementMeasureXref[[#This Row],[msr_id]],tblMeasure[msr_id],tblMeasure[msr_table])</f>
        <v>355</v>
      </c>
      <c r="I1312" s="22" t="str">
        <f>_xlfn.XLOOKUP(tblRequirementMeasureXref[[#This Row],[msr_id]],tblMeasure[msr_id],tblMeasure[msr_name])</f>
        <v>Information and early intervention</v>
      </c>
      <c r="J1312" s="22" t="str">
        <f>_xlfn.XLOOKUP(tblRequirementMeasureXref[[#This Row],[msr_id]],tblMeasure[msr_id],tblMeasure[primary_dimensions])</f>
        <v>expenditure</v>
      </c>
      <c r="K1312" s="22" t="str">
        <f>_xlfn.XLOOKUP(tblRequirementMeasureXref[[#This Row],[msr_id]],tblMeasure[msr_id],tblMeasure[msr_min_geo_resolution])</f>
        <v>LA</v>
      </c>
      <c r="L1312" s="22" t="str">
        <f>_xlfn.XLOOKUP(tblRequirementMeasureXref[[#This Row],[msr_id]],tblMeasure[msr_id],tblMeasure[src_name])</f>
        <v>LA revenue expenditure and financing</v>
      </c>
    </row>
    <row r="1313" spans="1:12" x14ac:dyDescent="0.15">
      <c r="A1313" s="1" t="str">
        <f>_xlfn.XLOOKUP(tblRequirementMeasureXref[[#This Row],[dm_id]],tblDataRequirement[dm_id],tblDataRequirement[domain_sub_requirement])</f>
        <v>Service:Support type:Other (not ST or LT)</v>
      </c>
      <c r="B1313" s="1" t="str">
        <f>_xlfn.XLOOKUP(tblRequirementMeasureXref[[#This Row],[dm_id]],tblDataRequirement[dm_id],tblDataRequirement[dm_phase])</f>
        <v>operate</v>
      </c>
      <c r="C1313" s="1">
        <v>68</v>
      </c>
      <c r="D1313" s="1">
        <v>344</v>
      </c>
      <c r="G1313" s="1"/>
      <c r="H1313" s="62">
        <f>_xlfn.XLOOKUP(tblRequirementMeasureXref[[#This Row],[msr_id]],tblMeasure[msr_id],tblMeasure[msr_table])</f>
        <v>355</v>
      </c>
      <c r="I1313" s="22" t="str">
        <f>_xlfn.XLOOKUP(tblRequirementMeasureXref[[#This Row],[msr_id]],tblMeasure[msr_id],tblMeasure[msr_name])</f>
        <v>Information and early intervention</v>
      </c>
      <c r="J1313" s="22" t="str">
        <f>_xlfn.XLOOKUP(tblRequirementMeasureXref[[#This Row],[msr_id]],tblMeasure[msr_id],tblMeasure[primary_dimensions])</f>
        <v>expenditure</v>
      </c>
      <c r="K1313" s="22" t="str">
        <f>_xlfn.XLOOKUP(tblRequirementMeasureXref[[#This Row],[msr_id]],tblMeasure[msr_id],tblMeasure[msr_min_geo_resolution])</f>
        <v>LA</v>
      </c>
      <c r="L1313" s="22" t="str">
        <f>_xlfn.XLOOKUP(tblRequirementMeasureXref[[#This Row],[msr_id]],tblMeasure[msr_id],tblMeasure[src_name])</f>
        <v>LA revenue expenditure and financing</v>
      </c>
    </row>
    <row r="1314" spans="1:12" x14ac:dyDescent="0.15">
      <c r="A1314" s="1" t="str">
        <f>_xlfn.XLOOKUP(tblRequirementMeasureXref[[#This Row],[dm_id]],tblDataRequirement[dm_id],tblDataRequirement[domain_sub_requirement])</f>
        <v>Funders:Budget:Local authorities</v>
      </c>
      <c r="B1314" s="1" t="str">
        <f>_xlfn.XLOOKUP(tblRequirementMeasureXref[[#This Row],[dm_id]],tblDataRequirement[dm_id],tblDataRequirement[dm_phase])</f>
        <v>supply</v>
      </c>
      <c r="C1314" s="1">
        <v>1</v>
      </c>
      <c r="D1314" s="1">
        <v>345</v>
      </c>
      <c r="G1314" s="1"/>
      <c r="H1314" s="62">
        <f>_xlfn.XLOOKUP(tblRequirementMeasureXref[[#This Row],[msr_id]],tblMeasure[msr_id],tblMeasure[msr_table])</f>
        <v>356</v>
      </c>
      <c r="I1314" s="22" t="str">
        <f>_xlfn.XLOOKUP(tblRequirementMeasureXref[[#This Row],[msr_id]],tblMeasure[msr_id],tblMeasure[msr_name])</f>
        <v>Commissioning and service delivery</v>
      </c>
      <c r="J1314" s="22" t="str">
        <f>_xlfn.XLOOKUP(tblRequirementMeasureXref[[#This Row],[msr_id]],tblMeasure[msr_id],tblMeasure[primary_dimensions])</f>
        <v>expenditure</v>
      </c>
      <c r="K1314" s="22" t="str">
        <f>_xlfn.XLOOKUP(tblRequirementMeasureXref[[#This Row],[msr_id]],tblMeasure[msr_id],tblMeasure[msr_min_geo_resolution])</f>
        <v>LA</v>
      </c>
      <c r="L1314" s="22" t="str">
        <f>_xlfn.XLOOKUP(tblRequirementMeasureXref[[#This Row],[msr_id]],tblMeasure[msr_id],tblMeasure[src_name])</f>
        <v>LA revenue expenditure and financing</v>
      </c>
    </row>
    <row r="1315" spans="1:12" x14ac:dyDescent="0.15">
      <c r="A1315" s="1" t="str">
        <f>_xlfn.XLOOKUP(tblRequirementMeasureXref[[#This Row],[dm_id]],tblDataRequirement[dm_id],tblDataRequirement[domain_sub_requirement])</f>
        <v>Funders:Budget:Central government</v>
      </c>
      <c r="B1315" s="1" t="str">
        <f>_xlfn.XLOOKUP(tblRequirementMeasureXref[[#This Row],[dm_id]],tblDataRequirement[dm_id],tblDataRequirement[dm_phase])</f>
        <v>supply</v>
      </c>
      <c r="C1315" s="1">
        <v>2</v>
      </c>
      <c r="D1315" s="1">
        <v>345</v>
      </c>
      <c r="G1315" s="1"/>
      <c r="H1315" s="62">
        <f>_xlfn.XLOOKUP(tblRequirementMeasureXref[[#This Row],[msr_id]],tblMeasure[msr_id],tblMeasure[msr_table])</f>
        <v>356</v>
      </c>
      <c r="I1315" s="22" t="str">
        <f>_xlfn.XLOOKUP(tblRequirementMeasureXref[[#This Row],[msr_id]],tblMeasure[msr_id],tblMeasure[msr_name])</f>
        <v>Commissioning and service delivery</v>
      </c>
      <c r="J1315" s="22" t="str">
        <f>_xlfn.XLOOKUP(tblRequirementMeasureXref[[#This Row],[msr_id]],tblMeasure[msr_id],tblMeasure[primary_dimensions])</f>
        <v>expenditure</v>
      </c>
      <c r="K1315" s="22" t="str">
        <f>_xlfn.XLOOKUP(tblRequirementMeasureXref[[#This Row],[msr_id]],tblMeasure[msr_id],tblMeasure[msr_min_geo_resolution])</f>
        <v>LA</v>
      </c>
      <c r="L1315" s="22" t="str">
        <f>_xlfn.XLOOKUP(tblRequirementMeasureXref[[#This Row],[msr_id]],tblMeasure[msr_id],tblMeasure[src_name])</f>
        <v>LA revenue expenditure and financing</v>
      </c>
    </row>
    <row r="1316" spans="1:12" x14ac:dyDescent="0.15">
      <c r="A1316" s="1" t="str">
        <f>_xlfn.XLOOKUP(tblRequirementMeasureXref[[#This Row],[dm_id]],tblDataRequirement[dm_id],tblDataRequirement[domain_sub_requirement])</f>
        <v>Service:Support type:Other (not ST or LT)</v>
      </c>
      <c r="B1316" s="1" t="str">
        <f>_xlfn.XLOOKUP(tblRequirementMeasureXref[[#This Row],[dm_id]],tblDataRequirement[dm_id],tblDataRequirement[dm_phase])</f>
        <v>operate</v>
      </c>
      <c r="C1316" s="1">
        <v>68</v>
      </c>
      <c r="D1316" s="1">
        <v>345</v>
      </c>
      <c r="G1316" s="1"/>
      <c r="H1316" s="62">
        <f>_xlfn.XLOOKUP(tblRequirementMeasureXref[[#This Row],[msr_id]],tblMeasure[msr_id],tblMeasure[msr_table])</f>
        <v>356</v>
      </c>
      <c r="I1316" s="22" t="str">
        <f>_xlfn.XLOOKUP(tblRequirementMeasureXref[[#This Row],[msr_id]],tblMeasure[msr_id],tblMeasure[msr_name])</f>
        <v>Commissioning and service delivery</v>
      </c>
      <c r="J1316" s="22" t="str">
        <f>_xlfn.XLOOKUP(tblRequirementMeasureXref[[#This Row],[msr_id]],tblMeasure[msr_id],tblMeasure[primary_dimensions])</f>
        <v>expenditure</v>
      </c>
      <c r="K1316" s="22" t="str">
        <f>_xlfn.XLOOKUP(tblRequirementMeasureXref[[#This Row],[msr_id]],tblMeasure[msr_id],tblMeasure[msr_min_geo_resolution])</f>
        <v>LA</v>
      </c>
      <c r="L1316" s="22" t="str">
        <f>_xlfn.XLOOKUP(tblRequirementMeasureXref[[#This Row],[msr_id]],tblMeasure[msr_id],tblMeasure[src_name])</f>
        <v>LA revenue expenditure and financing</v>
      </c>
    </row>
    <row r="1317" spans="1:12" x14ac:dyDescent="0.15">
      <c r="A1317" s="1" t="str">
        <f>_xlfn.XLOOKUP(tblRequirementMeasureXref[[#This Row],[dm_id]],tblDataRequirement[dm_id],tblDataRequirement[domain_sub_requirement])</f>
        <v>Funders:Budget:Local authorities</v>
      </c>
      <c r="B1317" s="1" t="str">
        <f>_xlfn.XLOOKUP(tblRequirementMeasureXref[[#This Row],[dm_id]],tblDataRequirement[dm_id],tblDataRequirement[dm_phase])</f>
        <v>supply</v>
      </c>
      <c r="C1317" s="1">
        <v>1</v>
      </c>
      <c r="D1317" s="1">
        <v>346</v>
      </c>
      <c r="G1317" s="1"/>
      <c r="H1317" s="62">
        <f>_xlfn.XLOOKUP(tblRequirementMeasureXref[[#This Row],[msr_id]],tblMeasure[msr_id],tblMeasure[msr_table])</f>
        <v>315</v>
      </c>
      <c r="I1317" s="22" t="str">
        <f>_xlfn.XLOOKUP(tblRequirementMeasureXref[[#This Row],[msr_id]],tblMeasure[msr_id],tblMeasure[msr_name])</f>
        <v>Social Care Support Grant</v>
      </c>
      <c r="J1317" s="22" t="str">
        <f>_xlfn.XLOOKUP(tblRequirementMeasureXref[[#This Row],[msr_id]],tblMeasure[msr_id],tblMeasure[primary_dimensions])</f>
        <v>expenditure</v>
      </c>
      <c r="K1317" s="22" t="str">
        <f>_xlfn.XLOOKUP(tblRequirementMeasureXref[[#This Row],[msr_id]],tblMeasure[msr_id],tblMeasure[msr_min_geo_resolution])</f>
        <v>LA</v>
      </c>
      <c r="L1317" s="22" t="str">
        <f>_xlfn.XLOOKUP(tblRequirementMeasureXref[[#This Row],[msr_id]],tblMeasure[msr_id],tblMeasure[src_name])</f>
        <v>LA revenue expenditure and financing</v>
      </c>
    </row>
    <row r="1318" spans="1:12" x14ac:dyDescent="0.15">
      <c r="A1318" s="1" t="str">
        <f>_xlfn.XLOOKUP(tblRequirementMeasureXref[[#This Row],[dm_id]],tblDataRequirement[dm_id],tblDataRequirement[domain_sub_requirement])</f>
        <v>Funders:Budget:Central government</v>
      </c>
      <c r="B1318" s="1" t="str">
        <f>_xlfn.XLOOKUP(tblRequirementMeasureXref[[#This Row],[dm_id]],tblDataRequirement[dm_id],tblDataRequirement[dm_phase])</f>
        <v>supply</v>
      </c>
      <c r="C1318" s="1">
        <v>2</v>
      </c>
      <c r="D1318" s="1">
        <v>346</v>
      </c>
      <c r="G1318" s="1"/>
      <c r="H1318" s="62">
        <f>_xlfn.XLOOKUP(tblRequirementMeasureXref[[#This Row],[msr_id]],tblMeasure[msr_id],tblMeasure[msr_table])</f>
        <v>315</v>
      </c>
      <c r="I1318" s="22" t="str">
        <f>_xlfn.XLOOKUP(tblRequirementMeasureXref[[#This Row],[msr_id]],tblMeasure[msr_id],tblMeasure[msr_name])</f>
        <v>Social Care Support Grant</v>
      </c>
      <c r="J1318" s="22" t="str">
        <f>_xlfn.XLOOKUP(tblRequirementMeasureXref[[#This Row],[msr_id]],tblMeasure[msr_id],tblMeasure[primary_dimensions])</f>
        <v>expenditure</v>
      </c>
      <c r="K1318" s="22" t="str">
        <f>_xlfn.XLOOKUP(tblRequirementMeasureXref[[#This Row],[msr_id]],tblMeasure[msr_id],tblMeasure[msr_min_geo_resolution])</f>
        <v>LA</v>
      </c>
      <c r="L1318" s="22" t="str">
        <f>_xlfn.XLOOKUP(tblRequirementMeasureXref[[#This Row],[msr_id]],tblMeasure[msr_id],tblMeasure[src_name])</f>
        <v>LA revenue expenditure and financing</v>
      </c>
    </row>
    <row r="1319" spans="1:12" x14ac:dyDescent="0.15">
      <c r="A1319" s="1" t="str">
        <f>_xlfn.XLOOKUP(tblRequirementMeasureXref[[#This Row],[dm_id]],tblDataRequirement[dm_id],tblDataRequirement[domain_sub_requirement])</f>
        <v>Funders:Budget:Local authorities</v>
      </c>
      <c r="B1319" s="1" t="str">
        <f>_xlfn.XLOOKUP(tblRequirementMeasureXref[[#This Row],[dm_id]],tblDataRequirement[dm_id],tblDataRequirement[dm_phase])</f>
        <v>supply</v>
      </c>
      <c r="C1319" s="1">
        <v>1</v>
      </c>
      <c r="D1319" s="1">
        <v>347</v>
      </c>
      <c r="G1319" s="1"/>
      <c r="H1319" s="62">
        <f>_xlfn.XLOOKUP(tblRequirementMeasureXref[[#This Row],[msr_id]],tblMeasure[msr_id],tblMeasure[msr_table])</f>
        <v>323</v>
      </c>
      <c r="I1319" s="22" t="str">
        <f>_xlfn.XLOOKUP(tblRequirementMeasureXref[[#This Row],[msr_id]],tblMeasure[msr_id],tblMeasure[msr_name])</f>
        <v>Improved Better Care Fund</v>
      </c>
      <c r="J1319" s="22" t="str">
        <f>_xlfn.XLOOKUP(tblRequirementMeasureXref[[#This Row],[msr_id]],tblMeasure[msr_id],tblMeasure[primary_dimensions])</f>
        <v>expenditure</v>
      </c>
      <c r="K1319" s="22" t="str">
        <f>_xlfn.XLOOKUP(tblRequirementMeasureXref[[#This Row],[msr_id]],tblMeasure[msr_id],tblMeasure[msr_min_geo_resolution])</f>
        <v>LA</v>
      </c>
      <c r="L1319" s="22" t="str">
        <f>_xlfn.XLOOKUP(tblRequirementMeasureXref[[#This Row],[msr_id]],tblMeasure[msr_id],tblMeasure[src_name])</f>
        <v>LA revenue expenditure and financing</v>
      </c>
    </row>
    <row r="1320" spans="1:12" x14ac:dyDescent="0.15">
      <c r="A1320" s="1" t="str">
        <f>_xlfn.XLOOKUP(tblRequirementMeasureXref[[#This Row],[dm_id]],tblDataRequirement[dm_id],tblDataRequirement[domain_sub_requirement])</f>
        <v>Funders:Budget:Central government</v>
      </c>
      <c r="B1320" s="1" t="str">
        <f>_xlfn.XLOOKUP(tblRequirementMeasureXref[[#This Row],[dm_id]],tblDataRequirement[dm_id],tblDataRequirement[dm_phase])</f>
        <v>supply</v>
      </c>
      <c r="C1320" s="1">
        <v>2</v>
      </c>
      <c r="D1320" s="1">
        <v>347</v>
      </c>
      <c r="G1320" s="1"/>
      <c r="H1320" s="62">
        <f>_xlfn.XLOOKUP(tblRequirementMeasureXref[[#This Row],[msr_id]],tblMeasure[msr_id],tblMeasure[msr_table])</f>
        <v>323</v>
      </c>
      <c r="I1320" s="22" t="str">
        <f>_xlfn.XLOOKUP(tblRequirementMeasureXref[[#This Row],[msr_id]],tblMeasure[msr_id],tblMeasure[msr_name])</f>
        <v>Improved Better Care Fund</v>
      </c>
      <c r="J1320" s="22" t="str">
        <f>_xlfn.XLOOKUP(tblRequirementMeasureXref[[#This Row],[msr_id]],tblMeasure[msr_id],tblMeasure[primary_dimensions])</f>
        <v>expenditure</v>
      </c>
      <c r="K1320" s="22" t="str">
        <f>_xlfn.XLOOKUP(tblRequirementMeasureXref[[#This Row],[msr_id]],tblMeasure[msr_id],tblMeasure[msr_min_geo_resolution])</f>
        <v>LA</v>
      </c>
      <c r="L1320" s="22" t="str">
        <f>_xlfn.XLOOKUP(tblRequirementMeasureXref[[#This Row],[msr_id]],tblMeasure[msr_id],tblMeasure[src_name])</f>
        <v>LA revenue expenditure and financing</v>
      </c>
    </row>
    <row r="1321" spans="1:12" x14ac:dyDescent="0.15">
      <c r="A1321" s="1" t="str">
        <f>_xlfn.XLOOKUP(tblRequirementMeasureXref[[#This Row],[dm_id]],tblDataRequirement[dm_id],tblDataRequirement[domain_sub_requirement])</f>
        <v>Funders:Budget:Local authorities</v>
      </c>
      <c r="B1321" s="1" t="str">
        <f>_xlfn.XLOOKUP(tblRequirementMeasureXref[[#This Row],[dm_id]],tblDataRequirement[dm_id],tblDataRequirement[dm_phase])</f>
        <v>supply</v>
      </c>
      <c r="C1321" s="1">
        <v>1</v>
      </c>
      <c r="D1321" s="1">
        <v>348</v>
      </c>
      <c r="G1321" s="1"/>
      <c r="H1321" s="62">
        <f>_xlfn.XLOOKUP(tblRequirementMeasureXref[[#This Row],[msr_id]],tblMeasure[msr_id],tblMeasure[msr_table])</f>
        <v>330</v>
      </c>
      <c r="I1321" s="22" t="str">
        <f>_xlfn.XLOOKUP(tblRequirementMeasureXref[[#This Row],[msr_id]],tblMeasure[msr_id],tblMeasure[msr_name])</f>
        <v xml:space="preserve">Former Independent Living Fund recipient grant </v>
      </c>
      <c r="J1321" s="22" t="str">
        <f>_xlfn.XLOOKUP(tblRequirementMeasureXref[[#This Row],[msr_id]],tblMeasure[msr_id],tblMeasure[primary_dimensions])</f>
        <v>expenditure</v>
      </c>
      <c r="K1321" s="22" t="str">
        <f>_xlfn.XLOOKUP(tblRequirementMeasureXref[[#This Row],[msr_id]],tblMeasure[msr_id],tblMeasure[msr_min_geo_resolution])</f>
        <v>LA</v>
      </c>
      <c r="L1321" s="22" t="str">
        <f>_xlfn.XLOOKUP(tblRequirementMeasureXref[[#This Row],[msr_id]],tblMeasure[msr_id],tblMeasure[src_name])</f>
        <v>LA revenue expenditure and financing</v>
      </c>
    </row>
    <row r="1322" spans="1:12" x14ac:dyDescent="0.15">
      <c r="A1322" s="1" t="str">
        <f>_xlfn.XLOOKUP(tblRequirementMeasureXref[[#This Row],[dm_id]],tblDataRequirement[dm_id],tblDataRequirement[domain_sub_requirement])</f>
        <v>Funders:Budget:Central government</v>
      </c>
      <c r="B1322" s="1" t="str">
        <f>_xlfn.XLOOKUP(tblRequirementMeasureXref[[#This Row],[dm_id]],tblDataRequirement[dm_id],tblDataRequirement[dm_phase])</f>
        <v>supply</v>
      </c>
      <c r="C1322" s="1">
        <v>2</v>
      </c>
      <c r="D1322" s="1">
        <v>348</v>
      </c>
      <c r="G1322" s="1"/>
      <c r="H1322" s="62">
        <f>_xlfn.XLOOKUP(tblRequirementMeasureXref[[#This Row],[msr_id]],tblMeasure[msr_id],tblMeasure[msr_table])</f>
        <v>330</v>
      </c>
      <c r="I1322" s="22" t="str">
        <f>_xlfn.XLOOKUP(tblRequirementMeasureXref[[#This Row],[msr_id]],tblMeasure[msr_id],tblMeasure[msr_name])</f>
        <v xml:space="preserve">Former Independent Living Fund recipient grant </v>
      </c>
      <c r="J1322" s="22" t="str">
        <f>_xlfn.XLOOKUP(tblRequirementMeasureXref[[#This Row],[msr_id]],tblMeasure[msr_id],tblMeasure[primary_dimensions])</f>
        <v>expenditure</v>
      </c>
      <c r="K1322" s="22" t="str">
        <f>_xlfn.XLOOKUP(tblRequirementMeasureXref[[#This Row],[msr_id]],tblMeasure[msr_id],tblMeasure[msr_min_geo_resolution])</f>
        <v>LA</v>
      </c>
      <c r="L1322" s="22" t="str">
        <f>_xlfn.XLOOKUP(tblRequirementMeasureXref[[#This Row],[msr_id]],tblMeasure[msr_id],tblMeasure[src_name])</f>
        <v>LA revenue expenditure and financing</v>
      </c>
    </row>
    <row r="1323" spans="1:12" x14ac:dyDescent="0.15">
      <c r="A1323" s="1" t="str">
        <f>_xlfn.XLOOKUP(tblRequirementMeasureXref[[#This Row],[dm_id]],tblDataRequirement[dm_id],tblDataRequirement[domain_sub_requirement])</f>
        <v>Service:Quality:Public perception</v>
      </c>
      <c r="B1323" s="1" t="str">
        <f>_xlfn.XLOOKUP(tblRequirementMeasureXref[[#This Row],[dm_id]],tblDataRequirement[dm_id],tblDataRequirement[dm_phase])</f>
        <v>outcome</v>
      </c>
      <c r="C1323" s="1">
        <v>24</v>
      </c>
      <c r="D1323" s="1">
        <v>349</v>
      </c>
      <c r="G1323" s="1"/>
      <c r="H1323" s="62" t="str">
        <f>_xlfn.XLOOKUP(tblRequirementMeasureXref[[#This Row],[msr_id]],tblMeasure[msr_id],tblMeasure[msr_table])</f>
        <v>CareSat Worksheet</v>
      </c>
      <c r="I1323" s="22" t="str">
        <f>_xlfn.XLOOKUP(tblRequirementMeasureXref[[#This Row],[msr_id]],tblMeasure[msr_id],tblMeasure[msr_name])</f>
        <v>How satisfied or dissatisfied are you with social care provided by local authorities for people who cannot look after themselves because of illness, disability or old age</v>
      </c>
      <c r="J1323" s="22" t="str">
        <f>_xlfn.XLOOKUP(tblRequirementMeasureXref[[#This Row],[msr_id]],tblMeasure[msr_id],tblMeasure[primary_dimensions])</f>
        <v>satisfaction</v>
      </c>
      <c r="K1323" s="22" t="str">
        <f>_xlfn.XLOOKUP(tblRequirementMeasureXref[[#This Row],[msr_id]],tblMeasure[msr_id],tblMeasure[msr_min_geo_resolution])</f>
        <v>GB</v>
      </c>
      <c r="L1323" s="22" t="str">
        <f>_xlfn.XLOOKUP(tblRequirementMeasureXref[[#This Row],[msr_id]],tblMeasure[msr_id],tblMeasure[src_name])</f>
        <v>British Social Attitudes (BSA) survey</v>
      </c>
    </row>
    <row r="1324" spans="1:12" x14ac:dyDescent="0.15">
      <c r="A1324" s="1" t="str">
        <f>_xlfn.XLOOKUP(tblRequirementMeasureXref[[#This Row],[dm_id]],tblDataRequirement[dm_id],tblDataRequirement[domain_sub_requirement])</f>
        <v>Service:Quality:User perception</v>
      </c>
      <c r="B1324" s="1" t="str">
        <f>_xlfn.XLOOKUP(tblRequirementMeasureXref[[#This Row],[dm_id]],tblDataRequirement[dm_id],tblDataRequirement[dm_phase])</f>
        <v>outcome</v>
      </c>
      <c r="C1324" s="1">
        <v>25</v>
      </c>
      <c r="D1324" s="1">
        <v>350</v>
      </c>
      <c r="G1324" s="1"/>
      <c r="H1324" s="62" t="str">
        <f>_xlfn.XLOOKUP(tblRequirementMeasureXref[[#This Row],[msr_id]],tblMeasure[msr_id],tblMeasure[msr_table])</f>
        <v>Q31</v>
      </c>
      <c r="I1324" s="22" t="str">
        <f>_xlfn.XLOOKUP(tblRequirementMeasureXref[[#This Row],[msr_id]],tblMeasure[msr_id],tblMeasure[msr_name])</f>
        <v>Have you been asked about your mental wellbeing by a health or social care professional?</v>
      </c>
      <c r="J1324" s="22" t="str">
        <f>_xlfn.XLOOKUP(tblRequirementMeasureXref[[#This Row],[msr_id]],tblMeasure[msr_id],tblMeasure[primary_dimensions])</f>
        <v>well-being enquiry</v>
      </c>
      <c r="K1324" s="22" t="str">
        <f>_xlfn.XLOOKUP(tblRequirementMeasureXref[[#This Row],[msr_id]],tblMeasure[msr_id],tblMeasure[msr_min_geo_resolution])</f>
        <v>STP</v>
      </c>
      <c r="L1324" s="22" t="str">
        <f>_xlfn.XLOOKUP(tblRequirementMeasureXref[[#This Row],[msr_id]],tblMeasure[msr_id],tblMeasure[src_name])</f>
        <v>Patient experience survey</v>
      </c>
    </row>
    <row r="1325" spans="1:12" x14ac:dyDescent="0.15">
      <c r="A1325" s="1" t="str">
        <f>_xlfn.XLOOKUP(tblRequirementMeasureXref[[#This Row],[dm_id]],tblDataRequirement[dm_id],tblDataRequirement[domain_sub_requirement])</f>
        <v>Unpaid Carers:Workforce:Workforce</v>
      </c>
      <c r="B1325" s="1" t="str">
        <f>_xlfn.XLOOKUP(tblRequirementMeasureXref[[#This Row],[dm_id]],tblDataRequirement[dm_id],tblDataRequirement[dm_phase])</f>
        <v>supply</v>
      </c>
      <c r="C1325" s="1">
        <v>19</v>
      </c>
      <c r="D1325" s="1">
        <v>351</v>
      </c>
      <c r="G1325" s="1"/>
      <c r="H1325" s="62" t="str">
        <f>_xlfn.XLOOKUP(tblRequirementMeasureXref[[#This Row],[msr_id]],tblMeasure[msr_id],tblMeasure[msr_table])</f>
        <v>Q36</v>
      </c>
      <c r="I1325" s="22" t="str">
        <f>_xlfn.XLOOKUP(tblRequirementMeasureXref[[#This Row],[msr_id]],tblMeasure[msr_id],tblMeasure[msr_name])</f>
        <v>Do you receive care that you don't pay for from a friend or family member?</v>
      </c>
      <c r="J1325" s="22" t="str">
        <f>_xlfn.XLOOKUP(tblRequirementMeasureXref[[#This Row],[msr_id]],tblMeasure[msr_id],tblMeasure[primary_dimensions])</f>
        <v>informal care</v>
      </c>
      <c r="K1325" s="22" t="str">
        <f>_xlfn.XLOOKUP(tblRequirementMeasureXref[[#This Row],[msr_id]],tblMeasure[msr_id],tblMeasure[msr_min_geo_resolution])</f>
        <v>STP</v>
      </c>
      <c r="L1325" s="22" t="str">
        <f>_xlfn.XLOOKUP(tblRequirementMeasureXref[[#This Row],[msr_id]],tblMeasure[msr_id],tblMeasure[src_name])</f>
        <v>Patient experience survey</v>
      </c>
    </row>
    <row r="1326" spans="1:12" x14ac:dyDescent="0.15">
      <c r="A1326" s="1" t="str">
        <f>_xlfn.XLOOKUP(tblRequirementMeasureXref[[#This Row],[dm_id]],tblDataRequirement[dm_id],tblDataRequirement[domain_sub_requirement])</f>
        <v>Service:Quality:User perception</v>
      </c>
      <c r="B1326" s="1" t="str">
        <f>_xlfn.XLOOKUP(tblRequirementMeasureXref[[#This Row],[dm_id]],tblDataRequirement[dm_id],tblDataRequirement[dm_phase])</f>
        <v>outcome</v>
      </c>
      <c r="C1326" s="1">
        <v>25</v>
      </c>
      <c r="D1326" s="1">
        <v>352</v>
      </c>
      <c r="G1326" s="1"/>
      <c r="H1326" s="62" t="str">
        <f>_xlfn.XLOOKUP(tblRequirementMeasureXref[[#This Row],[msr_id]],tblMeasure[msr_id],tblMeasure[msr_table])</f>
        <v>Q46a</v>
      </c>
      <c r="I1326" s="22" t="str">
        <f>_xlfn.XLOOKUP(tblRequirementMeasureXref[[#This Row],[msr_id]],tblMeasure[msr_id],tblMeasure[msr_name])</f>
        <v>Do you feel fully involved in making choices about your social care?</v>
      </c>
      <c r="J1326" s="22" t="str">
        <f>_xlfn.XLOOKUP(tblRequirementMeasureXref[[#This Row],[msr_id]],tblMeasure[msr_id],tblMeasure[primary_dimensions])</f>
        <v>involvement in choices</v>
      </c>
      <c r="K1326" s="22" t="str">
        <f>_xlfn.XLOOKUP(tblRequirementMeasureXref[[#This Row],[msr_id]],tblMeasure[msr_id],tblMeasure[msr_min_geo_resolution])</f>
        <v>STP</v>
      </c>
      <c r="L1326" s="22" t="str">
        <f>_xlfn.XLOOKUP(tblRequirementMeasureXref[[#This Row],[msr_id]],tblMeasure[msr_id],tblMeasure[src_name])</f>
        <v>Patient experience survey</v>
      </c>
    </row>
    <row r="1327" spans="1:12" x14ac:dyDescent="0.15">
      <c r="A1327" s="1" t="str">
        <f>_xlfn.XLOOKUP(tblRequirementMeasureXref[[#This Row],[dm_id]],tblDataRequirement[dm_id],tblDataRequirement[domain_sub_requirement])</f>
        <v>Service:Access:Requests for local authority-funded care</v>
      </c>
      <c r="B1327" s="1" t="str">
        <f>_xlfn.XLOOKUP(tblRequirementMeasureXref[[#This Row],[dm_id]],tblDataRequirement[dm_id],tblDataRequirement[dm_phase])</f>
        <v>demand</v>
      </c>
      <c r="C1327" s="1">
        <v>27</v>
      </c>
      <c r="D1327" s="1">
        <v>353</v>
      </c>
      <c r="G1327" s="1"/>
      <c r="H1327" s="62" t="str">
        <f>_xlfn.XLOOKUP(tblRequirementMeasureXref[[#This Row],[msr_id]],tblMeasure[msr_id],tblMeasure[msr_table])</f>
        <v>Q47a</v>
      </c>
      <c r="I1327" s="22" t="str">
        <f>_xlfn.XLOOKUP(tblRequirementMeasureXref[[#This Row],[msr_id]],tblMeasure[msr_id],tblMeasure[msr_name])</f>
        <v xml:space="preserve">Have you experienced any problems or delays in accessing social care services to help manage your condition? </v>
      </c>
      <c r="J1327" s="22" t="str">
        <f>_xlfn.XLOOKUP(tblRequirementMeasureXref[[#This Row],[msr_id]],tblMeasure[msr_id],tblMeasure[primary_dimensions])</f>
        <v>issues in access</v>
      </c>
      <c r="K1327" s="22" t="str">
        <f>_xlfn.XLOOKUP(tblRequirementMeasureXref[[#This Row],[msr_id]],tblMeasure[msr_id],tblMeasure[msr_min_geo_resolution])</f>
        <v>STP</v>
      </c>
      <c r="L1327" s="22" t="str">
        <f>_xlfn.XLOOKUP(tblRequirementMeasureXref[[#This Row],[msr_id]],tblMeasure[msr_id],tblMeasure[src_name])</f>
        <v>Patient experience survey</v>
      </c>
    </row>
    <row r="1328" spans="1:12" x14ac:dyDescent="0.15">
      <c r="A1328" s="1" t="str">
        <f>_xlfn.XLOOKUP(tblRequirementMeasureXref[[#This Row],[dm_id]],tblDataRequirement[dm_id],tblDataRequirement[domain_sub_requirement])</f>
        <v>Service:Access:User perception</v>
      </c>
      <c r="B1328" s="1" t="str">
        <f>_xlfn.XLOOKUP(tblRequirementMeasureXref[[#This Row],[dm_id]],tblDataRequirement[dm_id],tblDataRequirement[dm_phase])</f>
        <v>outcome</v>
      </c>
      <c r="C1328" s="1">
        <v>32</v>
      </c>
      <c r="D1328" s="1">
        <v>353</v>
      </c>
      <c r="G1328" s="1"/>
      <c r="H1328" s="62" t="str">
        <f>_xlfn.XLOOKUP(tblRequirementMeasureXref[[#This Row],[msr_id]],tblMeasure[msr_id],tblMeasure[msr_table])</f>
        <v>Q47a</v>
      </c>
      <c r="I1328" s="22" t="str">
        <f>_xlfn.XLOOKUP(tblRequirementMeasureXref[[#This Row],[msr_id]],tblMeasure[msr_id],tblMeasure[msr_name])</f>
        <v xml:space="preserve">Have you experienced any problems or delays in accessing social care services to help manage your condition? </v>
      </c>
      <c r="J1328" s="22" t="str">
        <f>_xlfn.XLOOKUP(tblRequirementMeasureXref[[#This Row],[msr_id]],tblMeasure[msr_id],tblMeasure[primary_dimensions])</f>
        <v>issues in access</v>
      </c>
      <c r="K1328" s="22" t="str">
        <f>_xlfn.XLOOKUP(tblRequirementMeasureXref[[#This Row],[msr_id]],tblMeasure[msr_id],tblMeasure[msr_min_geo_resolution])</f>
        <v>STP</v>
      </c>
      <c r="L1328" s="22" t="str">
        <f>_xlfn.XLOOKUP(tblRequirementMeasureXref[[#This Row],[msr_id]],tblMeasure[msr_id],tblMeasure[src_name])</f>
        <v>Patient experience survey</v>
      </c>
    </row>
    <row r="1329" spans="1:12" x14ac:dyDescent="0.15">
      <c r="A1329" s="1" t="str">
        <f>_xlfn.XLOOKUP(tblRequirementMeasureXref[[#This Row],[dm_id]],tblDataRequirement[dm_id],tblDataRequirement[domain_sub_requirement])</f>
        <v>Service:Quality:User perception</v>
      </c>
      <c r="B1329" s="1" t="str">
        <f>_xlfn.XLOOKUP(tblRequirementMeasureXref[[#This Row],[dm_id]],tblDataRequirement[dm_id],tblDataRequirement[dm_phase])</f>
        <v>outcome</v>
      </c>
      <c r="C1329" s="1">
        <v>25</v>
      </c>
      <c r="D1329" s="1">
        <v>354</v>
      </c>
      <c r="G1329" s="1"/>
      <c r="H1329" s="62" t="str">
        <f>_xlfn.XLOOKUP(tblRequirementMeasureXref[[#This Row],[msr_id]],tblMeasure[msr_id],tblMeasure[msr_table])</f>
        <v>Q49b</v>
      </c>
      <c r="I1329" s="22" t="str">
        <f>_xlfn.XLOOKUP(tblRequirementMeasureXref[[#This Row],[msr_id]],tblMeasure[msr_id],tblMeasure[msr_name])</f>
        <v>Overall, the social care I have received meets my needs.</v>
      </c>
      <c r="J1329" s="22" t="str">
        <f>_xlfn.XLOOKUP(tblRequirementMeasureXref[[#This Row],[msr_id]],tblMeasure[msr_id],tblMeasure[primary_dimensions])</f>
        <v>meets needs</v>
      </c>
      <c r="K1329" s="22" t="str">
        <f>_xlfn.XLOOKUP(tblRequirementMeasureXref[[#This Row],[msr_id]],tblMeasure[msr_id],tblMeasure[msr_min_geo_resolution])</f>
        <v>STP</v>
      </c>
      <c r="L1329" s="22" t="str">
        <f>_xlfn.XLOOKUP(tblRequirementMeasureXref[[#This Row],[msr_id]],tblMeasure[msr_id],tblMeasure[src_name])</f>
        <v>Patient experience survey</v>
      </c>
    </row>
    <row r="1330" spans="1:12" x14ac:dyDescent="0.15">
      <c r="A1330" s="1" t="str">
        <f>_xlfn.XLOOKUP(tblRequirementMeasureXref[[#This Row],[dm_id]],tblDataRequirement[dm_id],tblDataRequirement[domain_sub_requirement])</f>
        <v>Users:Care need:Disability/Dependence</v>
      </c>
      <c r="B1330" s="1" t="str">
        <f>_xlfn.XLOOKUP(tblRequirementMeasureXref[[#This Row],[dm_id]],tblDataRequirement[dm_id],tblDataRequirement[dm_phase])</f>
        <v>demand</v>
      </c>
      <c r="C1330" s="1">
        <v>61</v>
      </c>
      <c r="D1330" s="1">
        <v>355</v>
      </c>
      <c r="G1330" s="1"/>
      <c r="H1330" s="62" t="str">
        <f>_xlfn.XLOOKUP(tblRequirementMeasureXref[[#This Row],[msr_id]],tblMeasure[msr_id],tblMeasure[msr_table])</f>
        <v>Table 1</v>
      </c>
      <c r="I1330" s="22" t="str">
        <f>_xlfn.XLOOKUP(tblRequirementMeasureXref[[#This Row],[msr_id]],tblMeasure[msr_id],tblMeasure[msr_name])</f>
        <v>Ability to perform Activities of Daily Living (ADLs and IADLs) in the last month, by sex</v>
      </c>
      <c r="J1330" s="22" t="str">
        <f>_xlfn.XLOOKUP(tblRequirementMeasureXref[[#This Row],[msr_id]],tblMeasure[msr_id],tblMeasure[primary_dimensions])</f>
        <v>ability to perform ADL</v>
      </c>
      <c r="K1330" s="22" t="str">
        <f>_xlfn.XLOOKUP(tblRequirementMeasureXref[[#This Row],[msr_id]],tblMeasure[msr_id],tblMeasure[msr_min_geo_resolution])</f>
        <v>England</v>
      </c>
      <c r="L1330" s="22" t="str">
        <f>_xlfn.XLOOKUP(tblRequirementMeasureXref[[#This Row],[msr_id]],tblMeasure[msr_id],tblMeasure[src_name])</f>
        <v>Health Survey for England</v>
      </c>
    </row>
    <row r="1331" spans="1:12" x14ac:dyDescent="0.15">
      <c r="A1331" s="1" t="str">
        <f>_xlfn.XLOOKUP(tblRequirementMeasureXref[[#This Row],[dm_id]],tblDataRequirement[dm_id],tblDataRequirement[domain_sub_requirement])</f>
        <v>Users:Demographics:Age</v>
      </c>
      <c r="B1331" s="1" t="str">
        <f>_xlfn.XLOOKUP(tblRequirementMeasureXref[[#This Row],[dm_id]],tblDataRequirement[dm_id],tblDataRequirement[dm_phase])</f>
        <v>demand</v>
      </c>
      <c r="C1331" s="1">
        <v>51</v>
      </c>
      <c r="D1331" s="1">
        <v>355</v>
      </c>
      <c r="G1331" s="1"/>
      <c r="H1331" s="62" t="str">
        <f>_xlfn.XLOOKUP(tblRequirementMeasureXref[[#This Row],[msr_id]],tblMeasure[msr_id],tblMeasure[msr_table])</f>
        <v>Table 1</v>
      </c>
      <c r="I1331" s="22" t="str">
        <f>_xlfn.XLOOKUP(tblRequirementMeasureXref[[#This Row],[msr_id]],tblMeasure[msr_id],tblMeasure[msr_name])</f>
        <v>Ability to perform Activities of Daily Living (ADLs and IADLs) in the last month, by sex</v>
      </c>
      <c r="J1331" s="22" t="str">
        <f>_xlfn.XLOOKUP(tblRequirementMeasureXref[[#This Row],[msr_id]],tblMeasure[msr_id],tblMeasure[primary_dimensions])</f>
        <v>ability to perform ADL</v>
      </c>
      <c r="K1331" s="22" t="str">
        <f>_xlfn.XLOOKUP(tblRequirementMeasureXref[[#This Row],[msr_id]],tblMeasure[msr_id],tblMeasure[msr_min_geo_resolution])</f>
        <v>England</v>
      </c>
      <c r="L1331" s="22" t="str">
        <f>_xlfn.XLOOKUP(tblRequirementMeasureXref[[#This Row],[msr_id]],tblMeasure[msr_id],tblMeasure[src_name])</f>
        <v>Health Survey for England</v>
      </c>
    </row>
    <row r="1332" spans="1:12" x14ac:dyDescent="0.15">
      <c r="A1332" s="1" t="str">
        <f>_xlfn.XLOOKUP(tblRequirementMeasureXref[[#This Row],[dm_id]],tblDataRequirement[dm_id],tblDataRequirement[domain_sub_requirement])</f>
        <v>Users:Demographics:Gender</v>
      </c>
      <c r="B1332" s="1" t="str">
        <f>_xlfn.XLOOKUP(tblRequirementMeasureXref[[#This Row],[dm_id]],tblDataRequirement[dm_id],tblDataRequirement[dm_phase])</f>
        <v>demand</v>
      </c>
      <c r="C1332" s="1">
        <v>62</v>
      </c>
      <c r="D1332" s="1">
        <v>355</v>
      </c>
      <c r="G1332" s="1"/>
      <c r="H1332" s="62" t="str">
        <f>_xlfn.XLOOKUP(tblRequirementMeasureXref[[#This Row],[msr_id]],tblMeasure[msr_id],tblMeasure[msr_table])</f>
        <v>Table 1</v>
      </c>
      <c r="I1332" s="22" t="str">
        <f>_xlfn.XLOOKUP(tblRequirementMeasureXref[[#This Row],[msr_id]],tblMeasure[msr_id],tblMeasure[msr_name])</f>
        <v>Ability to perform Activities of Daily Living (ADLs and IADLs) in the last month, by sex</v>
      </c>
      <c r="J1332" s="22" t="str">
        <f>_xlfn.XLOOKUP(tblRequirementMeasureXref[[#This Row],[msr_id]],tblMeasure[msr_id],tblMeasure[primary_dimensions])</f>
        <v>ability to perform ADL</v>
      </c>
      <c r="K1332" s="22" t="str">
        <f>_xlfn.XLOOKUP(tblRequirementMeasureXref[[#This Row],[msr_id]],tblMeasure[msr_id],tblMeasure[msr_min_geo_resolution])</f>
        <v>England</v>
      </c>
      <c r="L1332" s="22" t="str">
        <f>_xlfn.XLOOKUP(tblRequirementMeasureXref[[#This Row],[msr_id]],tblMeasure[msr_id],tblMeasure[src_name])</f>
        <v>Health Survey for England</v>
      </c>
    </row>
    <row r="1333" spans="1:12" x14ac:dyDescent="0.15">
      <c r="A1333" s="1" t="str">
        <f>_xlfn.XLOOKUP(tblRequirementMeasureXref[[#This Row],[dm_id]],tblDataRequirement[dm_id],tblDataRequirement[domain_sub_requirement])</f>
        <v>Users:Care need:Disability/Dependence</v>
      </c>
      <c r="B1333" s="1" t="str">
        <f>_xlfn.XLOOKUP(tblRequirementMeasureXref[[#This Row],[dm_id]],tblDataRequirement[dm_id],tblDataRequirement[dm_phase])</f>
        <v>demand</v>
      </c>
      <c r="C1333" s="1">
        <v>61</v>
      </c>
      <c r="D1333" s="1">
        <v>356</v>
      </c>
      <c r="G1333" s="1"/>
      <c r="H1333" s="62" t="str">
        <f>_xlfn.XLOOKUP(tblRequirementMeasureXref[[#This Row],[msr_id]],tblMeasure[msr_id],tblMeasure[msr_table])</f>
        <v>Table 2</v>
      </c>
      <c r="I1333" s="22" t="str">
        <f>_xlfn.XLOOKUP(tblRequirementMeasureXref[[#This Row],[msr_id]],tblMeasure[msr_id],tblMeasure[msr_name])</f>
        <v>Number of Activities of Daily Living (ADLs and IADLs) for which help was needed in the last month, by age and sex</v>
      </c>
      <c r="J1333" s="22" t="str">
        <f>_xlfn.XLOOKUP(tblRequirementMeasureXref[[#This Row],[msr_id]],tblMeasure[msr_id],tblMeasure[primary_dimensions])</f>
        <v>help to perform ADL</v>
      </c>
      <c r="K1333" s="22" t="str">
        <f>_xlfn.XLOOKUP(tblRequirementMeasureXref[[#This Row],[msr_id]],tblMeasure[msr_id],tblMeasure[msr_min_geo_resolution])</f>
        <v>England</v>
      </c>
      <c r="L1333" s="22" t="str">
        <f>_xlfn.XLOOKUP(tblRequirementMeasureXref[[#This Row],[msr_id]],tblMeasure[msr_id],tblMeasure[src_name])</f>
        <v>Health Survey for England</v>
      </c>
    </row>
    <row r="1334" spans="1:12" x14ac:dyDescent="0.15">
      <c r="A1334" s="1" t="str">
        <f>_xlfn.XLOOKUP(tblRequirementMeasureXref[[#This Row],[dm_id]],tblDataRequirement[dm_id],tblDataRequirement[domain_sub_requirement])</f>
        <v>Users:Demographics:Age</v>
      </c>
      <c r="B1334" s="1" t="str">
        <f>_xlfn.XLOOKUP(tblRequirementMeasureXref[[#This Row],[dm_id]],tblDataRequirement[dm_id],tblDataRequirement[dm_phase])</f>
        <v>demand</v>
      </c>
      <c r="C1334" s="1">
        <v>51</v>
      </c>
      <c r="D1334" s="1">
        <v>356</v>
      </c>
      <c r="G1334" s="1"/>
      <c r="H1334" s="62" t="str">
        <f>_xlfn.XLOOKUP(tblRequirementMeasureXref[[#This Row],[msr_id]],tblMeasure[msr_id],tblMeasure[msr_table])</f>
        <v>Table 2</v>
      </c>
      <c r="I1334" s="22" t="str">
        <f>_xlfn.XLOOKUP(tblRequirementMeasureXref[[#This Row],[msr_id]],tblMeasure[msr_id],tblMeasure[msr_name])</f>
        <v>Number of Activities of Daily Living (ADLs and IADLs) for which help was needed in the last month, by age and sex</v>
      </c>
      <c r="J1334" s="22" t="str">
        <f>_xlfn.XLOOKUP(tblRequirementMeasureXref[[#This Row],[msr_id]],tblMeasure[msr_id],tblMeasure[primary_dimensions])</f>
        <v>help to perform ADL</v>
      </c>
      <c r="K1334" s="22" t="str">
        <f>_xlfn.XLOOKUP(tblRequirementMeasureXref[[#This Row],[msr_id]],tblMeasure[msr_id],tblMeasure[msr_min_geo_resolution])</f>
        <v>England</v>
      </c>
      <c r="L1334" s="22" t="str">
        <f>_xlfn.XLOOKUP(tblRequirementMeasureXref[[#This Row],[msr_id]],tblMeasure[msr_id],tblMeasure[src_name])</f>
        <v>Health Survey for England</v>
      </c>
    </row>
    <row r="1335" spans="1:12" x14ac:dyDescent="0.15">
      <c r="A1335" s="1" t="str">
        <f>_xlfn.XLOOKUP(tblRequirementMeasureXref[[#This Row],[dm_id]],tblDataRequirement[dm_id],tblDataRequirement[domain_sub_requirement])</f>
        <v>Users:Demographics:Gender</v>
      </c>
      <c r="B1335" s="1" t="str">
        <f>_xlfn.XLOOKUP(tblRequirementMeasureXref[[#This Row],[dm_id]],tblDataRequirement[dm_id],tblDataRequirement[dm_phase])</f>
        <v>demand</v>
      </c>
      <c r="C1335" s="1">
        <v>62</v>
      </c>
      <c r="D1335" s="1">
        <v>356</v>
      </c>
      <c r="G1335" s="1"/>
      <c r="H1335" s="62" t="str">
        <f>_xlfn.XLOOKUP(tblRequirementMeasureXref[[#This Row],[msr_id]],tblMeasure[msr_id],tblMeasure[msr_table])</f>
        <v>Table 2</v>
      </c>
      <c r="I1335" s="22" t="str">
        <f>_xlfn.XLOOKUP(tblRequirementMeasureXref[[#This Row],[msr_id]],tblMeasure[msr_id],tblMeasure[msr_name])</f>
        <v>Number of Activities of Daily Living (ADLs and IADLs) for which help was needed in the last month, by age and sex</v>
      </c>
      <c r="J1335" s="22" t="str">
        <f>_xlfn.XLOOKUP(tblRequirementMeasureXref[[#This Row],[msr_id]],tblMeasure[msr_id],tblMeasure[primary_dimensions])</f>
        <v>help to perform ADL</v>
      </c>
      <c r="K1335" s="22" t="str">
        <f>_xlfn.XLOOKUP(tblRequirementMeasureXref[[#This Row],[msr_id]],tblMeasure[msr_id],tblMeasure[msr_min_geo_resolution])</f>
        <v>England</v>
      </c>
      <c r="L1335" s="22" t="str">
        <f>_xlfn.XLOOKUP(tblRequirementMeasureXref[[#This Row],[msr_id]],tblMeasure[msr_id],tblMeasure[src_name])</f>
        <v>Health Survey for England</v>
      </c>
    </row>
    <row r="1336" spans="1:12" x14ac:dyDescent="0.15">
      <c r="A1336" s="1" t="str">
        <f>_xlfn.XLOOKUP(tblRequirementMeasureXref[[#This Row],[dm_id]],tblDataRequirement[dm_id],tblDataRequirement[domain_sub_requirement])</f>
        <v>Users:Care need:Disability/Dependence</v>
      </c>
      <c r="B1336" s="1" t="str">
        <f>_xlfn.XLOOKUP(tblRequirementMeasureXref[[#This Row],[dm_id]],tblDataRequirement[dm_id],tblDataRequirement[dm_phase])</f>
        <v>demand</v>
      </c>
      <c r="C1336" s="1">
        <v>61</v>
      </c>
      <c r="D1336" s="1">
        <v>357</v>
      </c>
      <c r="G1336" s="1"/>
      <c r="H1336" s="62" t="str">
        <f>_xlfn.XLOOKUP(tblRequirementMeasureXref[[#This Row],[msr_id]],tblMeasure[msr_id],tblMeasure[msr_table])</f>
        <v>Table 3</v>
      </c>
      <c r="I1336" s="22" t="str">
        <f>_xlfn.XLOOKUP(tblRequirementMeasureXref[[#This Row],[msr_id]],tblMeasure[msr_id],tblMeasure[msr_name])</f>
        <v>Summary of Activities of Daily Living (ADLs and IADLs) for which help was needed and received in the last month, by age and sex</v>
      </c>
      <c r="J1336" s="22" t="str">
        <f>_xlfn.XLOOKUP(tblRequirementMeasureXref[[#This Row],[msr_id]],tblMeasure[msr_id],tblMeasure[primary_dimensions])</f>
        <v>help needed/received/unmet in performing ADL</v>
      </c>
      <c r="K1336" s="22" t="str">
        <f>_xlfn.XLOOKUP(tblRequirementMeasureXref[[#This Row],[msr_id]],tblMeasure[msr_id],tblMeasure[msr_min_geo_resolution])</f>
        <v>England</v>
      </c>
      <c r="L1336" s="22" t="str">
        <f>_xlfn.XLOOKUP(tblRequirementMeasureXref[[#This Row],[msr_id]],tblMeasure[msr_id],tblMeasure[src_name])</f>
        <v>Health Survey for England</v>
      </c>
    </row>
    <row r="1337" spans="1:12" x14ac:dyDescent="0.15">
      <c r="A1337" s="1" t="str">
        <f>_xlfn.XLOOKUP(tblRequirementMeasureXref[[#This Row],[dm_id]],tblDataRequirement[dm_id],tblDataRequirement[domain_sub_requirement])</f>
        <v>Users:Demographics:Age</v>
      </c>
      <c r="B1337" s="1" t="str">
        <f>_xlfn.XLOOKUP(tblRequirementMeasureXref[[#This Row],[dm_id]],tblDataRequirement[dm_id],tblDataRequirement[dm_phase])</f>
        <v>demand</v>
      </c>
      <c r="C1337" s="1">
        <v>51</v>
      </c>
      <c r="D1337" s="1">
        <v>357</v>
      </c>
      <c r="G1337" s="1"/>
      <c r="H1337" s="62" t="str">
        <f>_xlfn.XLOOKUP(tblRequirementMeasureXref[[#This Row],[msr_id]],tblMeasure[msr_id],tblMeasure[msr_table])</f>
        <v>Table 3</v>
      </c>
      <c r="I1337" s="22" t="str">
        <f>_xlfn.XLOOKUP(tblRequirementMeasureXref[[#This Row],[msr_id]],tblMeasure[msr_id],tblMeasure[msr_name])</f>
        <v>Summary of Activities of Daily Living (ADLs and IADLs) for which help was needed and received in the last month, by age and sex</v>
      </c>
      <c r="J1337" s="22" t="str">
        <f>_xlfn.XLOOKUP(tblRequirementMeasureXref[[#This Row],[msr_id]],tblMeasure[msr_id],tblMeasure[primary_dimensions])</f>
        <v>help needed/received/unmet in performing ADL</v>
      </c>
      <c r="K1337" s="22" t="str">
        <f>_xlfn.XLOOKUP(tblRequirementMeasureXref[[#This Row],[msr_id]],tblMeasure[msr_id],tblMeasure[msr_min_geo_resolution])</f>
        <v>England</v>
      </c>
      <c r="L1337" s="22" t="str">
        <f>_xlfn.XLOOKUP(tblRequirementMeasureXref[[#This Row],[msr_id]],tblMeasure[msr_id],tblMeasure[src_name])</f>
        <v>Health Survey for England</v>
      </c>
    </row>
    <row r="1338" spans="1:12" x14ac:dyDescent="0.15">
      <c r="A1338" s="1" t="str">
        <f>_xlfn.XLOOKUP(tblRequirementMeasureXref[[#This Row],[dm_id]],tblDataRequirement[dm_id],tblDataRequirement[domain_sub_requirement])</f>
        <v>Users:Demographics:Gender</v>
      </c>
      <c r="B1338" s="1" t="str">
        <f>_xlfn.XLOOKUP(tblRequirementMeasureXref[[#This Row],[dm_id]],tblDataRequirement[dm_id],tblDataRequirement[dm_phase])</f>
        <v>demand</v>
      </c>
      <c r="C1338" s="1">
        <v>62</v>
      </c>
      <c r="D1338" s="1">
        <v>357</v>
      </c>
      <c r="G1338" s="1"/>
      <c r="H1338" s="62" t="str">
        <f>_xlfn.XLOOKUP(tblRequirementMeasureXref[[#This Row],[msr_id]],tblMeasure[msr_id],tblMeasure[msr_table])</f>
        <v>Table 3</v>
      </c>
      <c r="I1338" s="22" t="str">
        <f>_xlfn.XLOOKUP(tblRequirementMeasureXref[[#This Row],[msr_id]],tblMeasure[msr_id],tblMeasure[msr_name])</f>
        <v>Summary of Activities of Daily Living (ADLs and IADLs) for which help was needed and received in the last month, by age and sex</v>
      </c>
      <c r="J1338" s="22" t="str">
        <f>_xlfn.XLOOKUP(tblRequirementMeasureXref[[#This Row],[msr_id]],tblMeasure[msr_id],tblMeasure[primary_dimensions])</f>
        <v>help needed/received/unmet in performing ADL</v>
      </c>
      <c r="K1338" s="22" t="str">
        <f>_xlfn.XLOOKUP(tblRequirementMeasureXref[[#This Row],[msr_id]],tblMeasure[msr_id],tblMeasure[msr_min_geo_resolution])</f>
        <v>England</v>
      </c>
      <c r="L1338" s="22" t="str">
        <f>_xlfn.XLOOKUP(tblRequirementMeasureXref[[#This Row],[msr_id]],tblMeasure[msr_id],tblMeasure[src_name])</f>
        <v>Health Survey for England</v>
      </c>
    </row>
    <row r="1339" spans="1:12" x14ac:dyDescent="0.15">
      <c r="A1339" s="1" t="str">
        <f>_xlfn.XLOOKUP(tblRequirementMeasureXref[[#This Row],[dm_id]],tblDataRequirement[dm_id],tblDataRequirement[domain_sub_requirement])</f>
        <v>Users:Care need:Disability/Dependence</v>
      </c>
      <c r="B1339" s="1" t="str">
        <f>_xlfn.XLOOKUP(tblRequirementMeasureXref[[#This Row],[dm_id]],tblDataRequirement[dm_id],tblDataRequirement[dm_phase])</f>
        <v>demand</v>
      </c>
      <c r="C1339" s="1">
        <v>61</v>
      </c>
      <c r="D1339" s="1">
        <v>359</v>
      </c>
      <c r="G1339" s="1"/>
      <c r="H1339" s="62" t="str">
        <f>_xlfn.XLOOKUP(tblRequirementMeasureXref[[#This Row],[msr_id]],tblMeasure[msr_id],tblMeasure[msr_table])</f>
        <v>Table 5</v>
      </c>
      <c r="I1339" s="22" t="str">
        <f>_xlfn.XLOOKUP(tblRequirementMeasureXref[[#This Row],[msr_id]],tblMeasure[msr_id],tblMeasure[msr_name])</f>
        <v>Summary of need for and receipt of help with Activities of Daily Living (ADLs/IADLs) in the last month, by equivalised household income and sex</v>
      </c>
      <c r="J1339" s="22" t="str">
        <f>_xlfn.XLOOKUP(tblRequirementMeasureXref[[#This Row],[msr_id]],tblMeasure[msr_id],tblMeasure[primary_dimensions])</f>
        <v>help needed/received/unmet in performing ADL, household income</v>
      </c>
      <c r="K1339" s="22" t="str">
        <f>_xlfn.XLOOKUP(tblRequirementMeasureXref[[#This Row],[msr_id]],tblMeasure[msr_id],tblMeasure[msr_min_geo_resolution])</f>
        <v>England</v>
      </c>
      <c r="L1339" s="22" t="str">
        <f>_xlfn.XLOOKUP(tblRequirementMeasureXref[[#This Row],[msr_id]],tblMeasure[msr_id],tblMeasure[src_name])</f>
        <v>Health Survey for England</v>
      </c>
    </row>
    <row r="1340" spans="1:12" x14ac:dyDescent="0.15">
      <c r="A1340" s="1" t="str">
        <f>_xlfn.XLOOKUP(tblRequirementMeasureXref[[#This Row],[dm_id]],tblDataRequirement[dm_id],tblDataRequirement[domain_sub_requirement])</f>
        <v>Users:Demographics:Age</v>
      </c>
      <c r="B1340" s="1" t="str">
        <f>_xlfn.XLOOKUP(tblRequirementMeasureXref[[#This Row],[dm_id]],tblDataRequirement[dm_id],tblDataRequirement[dm_phase])</f>
        <v>demand</v>
      </c>
      <c r="C1340" s="1">
        <v>51</v>
      </c>
      <c r="D1340" s="1">
        <v>359</v>
      </c>
      <c r="G1340" s="1"/>
      <c r="H1340" s="62" t="str">
        <f>_xlfn.XLOOKUP(tblRequirementMeasureXref[[#This Row],[msr_id]],tblMeasure[msr_id],tblMeasure[msr_table])</f>
        <v>Table 5</v>
      </c>
      <c r="I1340" s="22" t="str">
        <f>_xlfn.XLOOKUP(tblRequirementMeasureXref[[#This Row],[msr_id]],tblMeasure[msr_id],tblMeasure[msr_name])</f>
        <v>Summary of need for and receipt of help with Activities of Daily Living (ADLs/IADLs) in the last month, by equivalised household income and sex</v>
      </c>
      <c r="J1340" s="22" t="str">
        <f>_xlfn.XLOOKUP(tblRequirementMeasureXref[[#This Row],[msr_id]],tblMeasure[msr_id],tblMeasure[primary_dimensions])</f>
        <v>help needed/received/unmet in performing ADL, household income</v>
      </c>
      <c r="K1340" s="22" t="str">
        <f>_xlfn.XLOOKUP(tblRequirementMeasureXref[[#This Row],[msr_id]],tblMeasure[msr_id],tblMeasure[msr_min_geo_resolution])</f>
        <v>England</v>
      </c>
      <c r="L1340" s="22" t="str">
        <f>_xlfn.XLOOKUP(tblRequirementMeasureXref[[#This Row],[msr_id]],tblMeasure[msr_id],tblMeasure[src_name])</f>
        <v>Health Survey for England</v>
      </c>
    </row>
    <row r="1341" spans="1:12" x14ac:dyDescent="0.15">
      <c r="A1341" s="1" t="str">
        <f>_xlfn.XLOOKUP(tblRequirementMeasureXref[[#This Row],[dm_id]],tblDataRequirement[dm_id],tblDataRequirement[domain_sub_requirement])</f>
        <v>Users:Demographics:Gender</v>
      </c>
      <c r="B1341" s="1" t="str">
        <f>_xlfn.XLOOKUP(tblRequirementMeasureXref[[#This Row],[dm_id]],tblDataRequirement[dm_id],tblDataRequirement[dm_phase])</f>
        <v>demand</v>
      </c>
      <c r="C1341" s="1">
        <v>62</v>
      </c>
      <c r="D1341" s="1">
        <v>359</v>
      </c>
      <c r="G1341" s="1"/>
      <c r="H1341" s="62" t="str">
        <f>_xlfn.XLOOKUP(tblRequirementMeasureXref[[#This Row],[msr_id]],tblMeasure[msr_id],tblMeasure[msr_table])</f>
        <v>Table 5</v>
      </c>
      <c r="I1341" s="22" t="str">
        <f>_xlfn.XLOOKUP(tblRequirementMeasureXref[[#This Row],[msr_id]],tblMeasure[msr_id],tblMeasure[msr_name])</f>
        <v>Summary of need for and receipt of help with Activities of Daily Living (ADLs/IADLs) in the last month, by equivalised household income and sex</v>
      </c>
      <c r="J1341" s="22" t="str">
        <f>_xlfn.XLOOKUP(tblRequirementMeasureXref[[#This Row],[msr_id]],tblMeasure[msr_id],tblMeasure[primary_dimensions])</f>
        <v>help needed/received/unmet in performing ADL, household income</v>
      </c>
      <c r="K1341" s="22" t="str">
        <f>_xlfn.XLOOKUP(tblRequirementMeasureXref[[#This Row],[msr_id]],tblMeasure[msr_id],tblMeasure[msr_min_geo_resolution])</f>
        <v>England</v>
      </c>
      <c r="L1341" s="22" t="str">
        <f>_xlfn.XLOOKUP(tblRequirementMeasureXref[[#This Row],[msr_id]],tblMeasure[msr_id],tblMeasure[src_name])</f>
        <v>Health Survey for England</v>
      </c>
    </row>
    <row r="1342" spans="1:12" x14ac:dyDescent="0.15">
      <c r="A1342" s="1" t="str">
        <f>_xlfn.XLOOKUP(tblRequirementMeasureXref[[#This Row],[dm_id]],tblDataRequirement[dm_id],tblDataRequirement[domain_sub_requirement])</f>
        <v>Users:Demographics:Socioeconomic status / employment / income</v>
      </c>
      <c r="B1342" s="1" t="str">
        <f>_xlfn.XLOOKUP(tblRequirementMeasureXref[[#This Row],[dm_id]],tblDataRequirement[dm_id],tblDataRequirement[dm_phase])</f>
        <v>outcome</v>
      </c>
      <c r="C1342" s="1">
        <v>105</v>
      </c>
      <c r="D1342" s="1">
        <v>359</v>
      </c>
      <c r="G1342" s="1"/>
      <c r="H1342" s="62" t="str">
        <f>_xlfn.XLOOKUP(tblRequirementMeasureXref[[#This Row],[msr_id]],tblMeasure[msr_id],tblMeasure[msr_table])</f>
        <v>Table 5</v>
      </c>
      <c r="I1342" s="22" t="str">
        <f>_xlfn.XLOOKUP(tblRequirementMeasureXref[[#This Row],[msr_id]],tblMeasure[msr_id],tblMeasure[msr_name])</f>
        <v>Summary of need for and receipt of help with Activities of Daily Living (ADLs/IADLs) in the last month, by equivalised household income and sex</v>
      </c>
      <c r="J1342" s="22" t="str">
        <f>_xlfn.XLOOKUP(tblRequirementMeasureXref[[#This Row],[msr_id]],tblMeasure[msr_id],tblMeasure[primary_dimensions])</f>
        <v>help needed/received/unmet in performing ADL, household income</v>
      </c>
      <c r="K1342" s="22" t="str">
        <f>_xlfn.XLOOKUP(tblRequirementMeasureXref[[#This Row],[msr_id]],tblMeasure[msr_id],tblMeasure[msr_min_geo_resolution])</f>
        <v>England</v>
      </c>
      <c r="L1342" s="22" t="str">
        <f>_xlfn.XLOOKUP(tblRequirementMeasureXref[[#This Row],[msr_id]],tblMeasure[msr_id],tblMeasure[src_name])</f>
        <v>Health Survey for England</v>
      </c>
    </row>
    <row r="1343" spans="1:12" x14ac:dyDescent="0.15">
      <c r="A1343" s="1" t="str">
        <f>_xlfn.XLOOKUP(tblRequirementMeasureXref[[#This Row],[dm_id]],tblDataRequirement[dm_id],tblDataRequirement[domain_sub_requirement])</f>
        <v>Users:Care need:Disability/Dependence</v>
      </c>
      <c r="B1343" s="1" t="str">
        <f>_xlfn.XLOOKUP(tblRequirementMeasureXref[[#This Row],[dm_id]],tblDataRequirement[dm_id],tblDataRequirement[dm_phase])</f>
        <v>demand</v>
      </c>
      <c r="C1343" s="1">
        <v>61</v>
      </c>
      <c r="D1343" s="1">
        <v>360</v>
      </c>
      <c r="G1343" s="1"/>
      <c r="H1343" s="62" t="str">
        <f>_xlfn.XLOOKUP(tblRequirementMeasureXref[[#This Row],[msr_id]],tblMeasure[msr_id],tblMeasure[msr_table])</f>
        <v>Table 6</v>
      </c>
      <c r="I1343" s="22" t="str">
        <f>_xlfn.XLOOKUP(tblRequirementMeasureXref[[#This Row],[msr_id]],tblMeasure[msr_id],tblMeasure[msr_name])</f>
        <v>Summary of need for and receipt of help with Activities of Daily Living (ADLs/IADLs) in the last month, by Index of Multiple Deprivation (IMD) and sex</v>
      </c>
      <c r="J1343" s="22" t="str">
        <f>_xlfn.XLOOKUP(tblRequirementMeasureXref[[#This Row],[msr_id]],tblMeasure[msr_id],tblMeasure[primary_dimensions])</f>
        <v>help needed/received/unmet in performing ADL, deprivation index</v>
      </c>
      <c r="K1343" s="22" t="str">
        <f>_xlfn.XLOOKUP(tblRequirementMeasureXref[[#This Row],[msr_id]],tblMeasure[msr_id],tblMeasure[msr_min_geo_resolution])</f>
        <v>England</v>
      </c>
      <c r="L1343" s="22" t="str">
        <f>_xlfn.XLOOKUP(tblRequirementMeasureXref[[#This Row],[msr_id]],tblMeasure[msr_id],tblMeasure[src_name])</f>
        <v>Health Survey for England</v>
      </c>
    </row>
    <row r="1344" spans="1:12" x14ac:dyDescent="0.15">
      <c r="A1344" s="1" t="str">
        <f>_xlfn.XLOOKUP(tblRequirementMeasureXref[[#This Row],[dm_id]],tblDataRequirement[dm_id],tblDataRequirement[domain_sub_requirement])</f>
        <v>Users:Demographics:Age</v>
      </c>
      <c r="B1344" s="1" t="str">
        <f>_xlfn.XLOOKUP(tblRequirementMeasureXref[[#This Row],[dm_id]],tblDataRequirement[dm_id],tblDataRequirement[dm_phase])</f>
        <v>demand</v>
      </c>
      <c r="C1344" s="1">
        <v>51</v>
      </c>
      <c r="D1344" s="1">
        <v>360</v>
      </c>
      <c r="G1344" s="1"/>
      <c r="H1344" s="62" t="str">
        <f>_xlfn.XLOOKUP(tblRequirementMeasureXref[[#This Row],[msr_id]],tblMeasure[msr_id],tblMeasure[msr_table])</f>
        <v>Table 6</v>
      </c>
      <c r="I1344" s="22" t="str">
        <f>_xlfn.XLOOKUP(tblRequirementMeasureXref[[#This Row],[msr_id]],tblMeasure[msr_id],tblMeasure[msr_name])</f>
        <v>Summary of need for and receipt of help with Activities of Daily Living (ADLs/IADLs) in the last month, by Index of Multiple Deprivation (IMD) and sex</v>
      </c>
      <c r="J1344" s="22" t="str">
        <f>_xlfn.XLOOKUP(tblRequirementMeasureXref[[#This Row],[msr_id]],tblMeasure[msr_id],tblMeasure[primary_dimensions])</f>
        <v>help needed/received/unmet in performing ADL, deprivation index</v>
      </c>
      <c r="K1344" s="22" t="str">
        <f>_xlfn.XLOOKUP(tblRequirementMeasureXref[[#This Row],[msr_id]],tblMeasure[msr_id],tblMeasure[msr_min_geo_resolution])</f>
        <v>England</v>
      </c>
      <c r="L1344" s="22" t="str">
        <f>_xlfn.XLOOKUP(tblRequirementMeasureXref[[#This Row],[msr_id]],tblMeasure[msr_id],tblMeasure[src_name])</f>
        <v>Health Survey for England</v>
      </c>
    </row>
    <row r="1345" spans="1:12" x14ac:dyDescent="0.15">
      <c r="A1345" s="1" t="str">
        <f>_xlfn.XLOOKUP(tblRequirementMeasureXref[[#This Row],[dm_id]],tblDataRequirement[dm_id],tblDataRequirement[domain_sub_requirement])</f>
        <v>Users:Demographics:Gender</v>
      </c>
      <c r="B1345" s="1" t="str">
        <f>_xlfn.XLOOKUP(tblRequirementMeasureXref[[#This Row],[dm_id]],tblDataRequirement[dm_id],tblDataRequirement[dm_phase])</f>
        <v>demand</v>
      </c>
      <c r="C1345" s="1">
        <v>62</v>
      </c>
      <c r="D1345" s="1">
        <v>360</v>
      </c>
      <c r="G1345" s="1"/>
      <c r="H1345" s="62" t="str">
        <f>_xlfn.XLOOKUP(tblRequirementMeasureXref[[#This Row],[msr_id]],tblMeasure[msr_id],tblMeasure[msr_table])</f>
        <v>Table 6</v>
      </c>
      <c r="I1345" s="22" t="str">
        <f>_xlfn.XLOOKUP(tblRequirementMeasureXref[[#This Row],[msr_id]],tblMeasure[msr_id],tblMeasure[msr_name])</f>
        <v>Summary of need for and receipt of help with Activities of Daily Living (ADLs/IADLs) in the last month, by Index of Multiple Deprivation (IMD) and sex</v>
      </c>
      <c r="J1345" s="22" t="str">
        <f>_xlfn.XLOOKUP(tblRequirementMeasureXref[[#This Row],[msr_id]],tblMeasure[msr_id],tblMeasure[primary_dimensions])</f>
        <v>help needed/received/unmet in performing ADL, deprivation index</v>
      </c>
      <c r="K1345" s="22" t="str">
        <f>_xlfn.XLOOKUP(tblRequirementMeasureXref[[#This Row],[msr_id]],tblMeasure[msr_id],tblMeasure[msr_min_geo_resolution])</f>
        <v>England</v>
      </c>
      <c r="L1345" s="22" t="str">
        <f>_xlfn.XLOOKUP(tblRequirementMeasureXref[[#This Row],[msr_id]],tblMeasure[msr_id],tblMeasure[src_name])</f>
        <v>Health Survey for England</v>
      </c>
    </row>
    <row r="1346" spans="1:12" x14ac:dyDescent="0.15">
      <c r="A1346" s="1" t="str">
        <f>_xlfn.XLOOKUP(tblRequirementMeasureXref[[#This Row],[dm_id]],tblDataRequirement[dm_id],tblDataRequirement[domain_sub_requirement])</f>
        <v>Users:Demographics:Socioeconomic status / employment / income</v>
      </c>
      <c r="B1346" s="1" t="str">
        <f>_xlfn.XLOOKUP(tblRequirementMeasureXref[[#This Row],[dm_id]],tblDataRequirement[dm_id],tblDataRequirement[dm_phase])</f>
        <v>outcome</v>
      </c>
      <c r="C1346" s="1">
        <v>105</v>
      </c>
      <c r="D1346" s="1">
        <v>360</v>
      </c>
      <c r="G1346" s="1"/>
      <c r="H1346" s="62" t="str">
        <f>_xlfn.XLOOKUP(tblRequirementMeasureXref[[#This Row],[msr_id]],tblMeasure[msr_id],tblMeasure[msr_table])</f>
        <v>Table 6</v>
      </c>
      <c r="I1346" s="22" t="str">
        <f>_xlfn.XLOOKUP(tblRequirementMeasureXref[[#This Row],[msr_id]],tblMeasure[msr_id],tblMeasure[msr_name])</f>
        <v>Summary of need for and receipt of help with Activities of Daily Living (ADLs/IADLs) in the last month, by Index of Multiple Deprivation (IMD) and sex</v>
      </c>
      <c r="J1346" s="22" t="str">
        <f>_xlfn.XLOOKUP(tblRequirementMeasureXref[[#This Row],[msr_id]],tblMeasure[msr_id],tblMeasure[primary_dimensions])</f>
        <v>help needed/received/unmet in performing ADL, deprivation index</v>
      </c>
      <c r="K1346" s="22" t="str">
        <f>_xlfn.XLOOKUP(tblRequirementMeasureXref[[#This Row],[msr_id]],tblMeasure[msr_id],tblMeasure[msr_min_geo_resolution])</f>
        <v>England</v>
      </c>
      <c r="L1346" s="22" t="str">
        <f>_xlfn.XLOOKUP(tblRequirementMeasureXref[[#This Row],[msr_id]],tblMeasure[msr_id],tblMeasure[src_name])</f>
        <v>Health Survey for England</v>
      </c>
    </row>
    <row r="1347" spans="1:12" x14ac:dyDescent="0.15">
      <c r="A1347" s="1" t="str">
        <f>_xlfn.XLOOKUP(tblRequirementMeasureXref[[#This Row],[dm_id]],tblDataRequirement[dm_id],tblDataRequirement[domain_sub_requirement])</f>
        <v>Users:Care need:Disability/Dependence</v>
      </c>
      <c r="B1347" s="1" t="str">
        <f>_xlfn.XLOOKUP(tblRequirementMeasureXref[[#This Row],[dm_id]],tblDataRequirement[dm_id],tblDataRequirement[dm_phase])</f>
        <v>demand</v>
      </c>
      <c r="C1347" s="1">
        <v>61</v>
      </c>
      <c r="D1347" s="1">
        <v>361</v>
      </c>
      <c r="G1347" s="1"/>
      <c r="H1347" s="62" t="str">
        <f>_xlfn.XLOOKUP(tblRequirementMeasureXref[[#This Row],[msr_id]],tblMeasure[msr_id],tblMeasure[msr_table])</f>
        <v>Table 7</v>
      </c>
      <c r="I1347" s="22" t="str">
        <f>_xlfn.XLOOKUP(tblRequirementMeasureXref[[#This Row],[msr_id]],tblMeasure[msr_id],tblMeasure[msr_name])</f>
        <v>Summary of Activities of Daily Living (ADLs/ IADLs) for which help was needed and received in the last month, by longstanding illness</v>
      </c>
      <c r="J1347" s="22" t="str">
        <f>_xlfn.XLOOKUP(tblRequirementMeasureXref[[#This Row],[msr_id]],tblMeasure[msr_id],tblMeasure[primary_dimensions])</f>
        <v>help needed/received/unmet in performing ADL, long standing illness</v>
      </c>
      <c r="K1347" s="22" t="str">
        <f>_xlfn.XLOOKUP(tblRequirementMeasureXref[[#This Row],[msr_id]],tblMeasure[msr_id],tblMeasure[msr_min_geo_resolution])</f>
        <v>England</v>
      </c>
      <c r="L1347" s="22" t="str">
        <f>_xlfn.XLOOKUP(tblRequirementMeasureXref[[#This Row],[msr_id]],tblMeasure[msr_id],tblMeasure[src_name])</f>
        <v>Health Survey for England</v>
      </c>
    </row>
    <row r="1348" spans="1:12" x14ac:dyDescent="0.15">
      <c r="A1348" s="1" t="str">
        <f>_xlfn.XLOOKUP(tblRequirementMeasureXref[[#This Row],[dm_id]],tblDataRequirement[dm_id],tblDataRequirement[domain_sub_requirement])</f>
        <v>Users:Demographics:Age</v>
      </c>
      <c r="B1348" s="1" t="str">
        <f>_xlfn.XLOOKUP(tblRequirementMeasureXref[[#This Row],[dm_id]],tblDataRequirement[dm_id],tblDataRequirement[dm_phase])</f>
        <v>demand</v>
      </c>
      <c r="C1348" s="1">
        <v>51</v>
      </c>
      <c r="D1348" s="1">
        <v>361</v>
      </c>
      <c r="G1348" s="1"/>
      <c r="H1348" s="62" t="str">
        <f>_xlfn.XLOOKUP(tblRequirementMeasureXref[[#This Row],[msr_id]],tblMeasure[msr_id],tblMeasure[msr_table])</f>
        <v>Table 7</v>
      </c>
      <c r="I1348" s="22" t="str">
        <f>_xlfn.XLOOKUP(tblRequirementMeasureXref[[#This Row],[msr_id]],tblMeasure[msr_id],tblMeasure[msr_name])</f>
        <v>Summary of Activities of Daily Living (ADLs/ IADLs) for which help was needed and received in the last month, by longstanding illness</v>
      </c>
      <c r="J1348" s="22" t="str">
        <f>_xlfn.XLOOKUP(tblRequirementMeasureXref[[#This Row],[msr_id]],tblMeasure[msr_id],tblMeasure[primary_dimensions])</f>
        <v>help needed/received/unmet in performing ADL, long standing illness</v>
      </c>
      <c r="K1348" s="22" t="str">
        <f>_xlfn.XLOOKUP(tblRequirementMeasureXref[[#This Row],[msr_id]],tblMeasure[msr_id],tblMeasure[msr_min_geo_resolution])</f>
        <v>England</v>
      </c>
      <c r="L1348" s="22" t="str">
        <f>_xlfn.XLOOKUP(tblRequirementMeasureXref[[#This Row],[msr_id]],tblMeasure[msr_id],tblMeasure[src_name])</f>
        <v>Health Survey for England</v>
      </c>
    </row>
    <row r="1349" spans="1:12" x14ac:dyDescent="0.15">
      <c r="A1349" s="1" t="str">
        <f>_xlfn.XLOOKUP(tblRequirementMeasureXref[[#This Row],[dm_id]],tblDataRequirement[dm_id],tblDataRequirement[domain_sub_requirement])</f>
        <v>Users:Demographics:Gender</v>
      </c>
      <c r="B1349" s="1" t="str">
        <f>_xlfn.XLOOKUP(tblRequirementMeasureXref[[#This Row],[dm_id]],tblDataRequirement[dm_id],tblDataRequirement[dm_phase])</f>
        <v>demand</v>
      </c>
      <c r="C1349" s="1">
        <v>62</v>
      </c>
      <c r="D1349" s="1">
        <v>361</v>
      </c>
      <c r="G1349" s="1"/>
      <c r="H1349" s="62" t="str">
        <f>_xlfn.XLOOKUP(tblRequirementMeasureXref[[#This Row],[msr_id]],tblMeasure[msr_id],tblMeasure[msr_table])</f>
        <v>Table 7</v>
      </c>
      <c r="I1349" s="22" t="str">
        <f>_xlfn.XLOOKUP(tblRequirementMeasureXref[[#This Row],[msr_id]],tblMeasure[msr_id],tblMeasure[msr_name])</f>
        <v>Summary of Activities of Daily Living (ADLs/ IADLs) for which help was needed and received in the last month, by longstanding illness</v>
      </c>
      <c r="J1349" s="22" t="str">
        <f>_xlfn.XLOOKUP(tblRequirementMeasureXref[[#This Row],[msr_id]],tblMeasure[msr_id],tblMeasure[primary_dimensions])</f>
        <v>help needed/received/unmet in performing ADL, long standing illness</v>
      </c>
      <c r="K1349" s="22" t="str">
        <f>_xlfn.XLOOKUP(tblRequirementMeasureXref[[#This Row],[msr_id]],tblMeasure[msr_id],tblMeasure[msr_min_geo_resolution])</f>
        <v>England</v>
      </c>
      <c r="L1349" s="22" t="str">
        <f>_xlfn.XLOOKUP(tblRequirementMeasureXref[[#This Row],[msr_id]],tblMeasure[msr_id],tblMeasure[src_name])</f>
        <v>Health Survey for England</v>
      </c>
    </row>
    <row r="1350" spans="1:12" x14ac:dyDescent="0.15">
      <c r="A1350" s="1" t="str">
        <f>_xlfn.XLOOKUP(tblRequirementMeasureXref[[#This Row],[dm_id]],tblDataRequirement[dm_id],tblDataRequirement[domain_sub_requirement])</f>
        <v>Users:Health:Health</v>
      </c>
      <c r="B1350" s="1" t="str">
        <f>_xlfn.XLOOKUP(tblRequirementMeasureXref[[#This Row],[dm_id]],tblDataRequirement[dm_id],tblDataRequirement[dm_phase])</f>
        <v>outcome</v>
      </c>
      <c r="C1350" s="1">
        <v>53</v>
      </c>
      <c r="D1350" s="1">
        <v>361</v>
      </c>
      <c r="G1350" s="1"/>
      <c r="H1350" s="62" t="str">
        <f>_xlfn.XLOOKUP(tblRequirementMeasureXref[[#This Row],[msr_id]],tblMeasure[msr_id],tblMeasure[msr_table])</f>
        <v>Table 7</v>
      </c>
      <c r="I1350" s="22" t="str">
        <f>_xlfn.XLOOKUP(tblRequirementMeasureXref[[#This Row],[msr_id]],tblMeasure[msr_id],tblMeasure[msr_name])</f>
        <v>Summary of Activities of Daily Living (ADLs/ IADLs) for which help was needed and received in the last month, by longstanding illness</v>
      </c>
      <c r="J1350" s="22" t="str">
        <f>_xlfn.XLOOKUP(tblRequirementMeasureXref[[#This Row],[msr_id]],tblMeasure[msr_id],tblMeasure[primary_dimensions])</f>
        <v>help needed/received/unmet in performing ADL, long standing illness</v>
      </c>
      <c r="K1350" s="22" t="str">
        <f>_xlfn.XLOOKUP(tblRequirementMeasureXref[[#This Row],[msr_id]],tblMeasure[msr_id],tblMeasure[msr_min_geo_resolution])</f>
        <v>England</v>
      </c>
      <c r="L1350" s="22" t="str">
        <f>_xlfn.XLOOKUP(tblRequirementMeasureXref[[#This Row],[msr_id]],tblMeasure[msr_id],tblMeasure[src_name])</f>
        <v>Health Survey for England</v>
      </c>
    </row>
    <row r="1351" spans="1:12" x14ac:dyDescent="0.15">
      <c r="A1351" s="1" t="str">
        <f>_xlfn.XLOOKUP(tblRequirementMeasureXref[[#This Row],[dm_id]],tblDataRequirement[dm_id],tblDataRequirement[domain_sub_requirement])</f>
        <v>Users:Care need:Disability/Dependence</v>
      </c>
      <c r="B1351" s="1" t="str">
        <f>_xlfn.XLOOKUP(tblRequirementMeasureXref[[#This Row],[dm_id]],tblDataRequirement[dm_id],tblDataRequirement[dm_phase])</f>
        <v>demand</v>
      </c>
      <c r="C1351" s="1">
        <v>61</v>
      </c>
      <c r="D1351" s="1">
        <v>362</v>
      </c>
      <c r="G1351" s="1"/>
      <c r="H1351" s="62" t="str">
        <f>_xlfn.XLOOKUP(tblRequirementMeasureXref[[#This Row],[msr_id]],tblMeasure[msr_id],tblMeasure[msr_table])</f>
        <v>Table 8</v>
      </c>
      <c r="I1351" s="22" t="str">
        <f>_xlfn.XLOOKUP(tblRequirementMeasureXref[[#This Row],[msr_id]],tblMeasure[msr_id],tblMeasure[msr_name])</f>
        <v>Summary of Activities of Daily Living (ADLs/IADLs) for which help was needed and received in the last month, by EQ-5D</v>
      </c>
      <c r="J1351" s="22" t="str">
        <f>_xlfn.XLOOKUP(tblRequirementMeasureXref[[#This Row],[msr_id]],tblMeasure[msr_id],tblMeasure[primary_dimensions])</f>
        <v>help needed/received/unmet in performing ADL, EQ5D QoL</v>
      </c>
      <c r="K1351" s="22" t="str">
        <f>_xlfn.XLOOKUP(tblRequirementMeasureXref[[#This Row],[msr_id]],tblMeasure[msr_id],tblMeasure[msr_min_geo_resolution])</f>
        <v>England</v>
      </c>
      <c r="L1351" s="22" t="str">
        <f>_xlfn.XLOOKUP(tblRequirementMeasureXref[[#This Row],[msr_id]],tblMeasure[msr_id],tblMeasure[src_name])</f>
        <v>Health Survey for England</v>
      </c>
    </row>
    <row r="1352" spans="1:12" ht="12.5" customHeight="1" x14ac:dyDescent="0.15">
      <c r="A1352" s="1" t="str">
        <f>_xlfn.XLOOKUP(tblRequirementMeasureXref[[#This Row],[dm_id]],tblDataRequirement[dm_id],tblDataRequirement[domain_sub_requirement])</f>
        <v>Users:Quality of life:Independence/Mobility</v>
      </c>
      <c r="B1352" s="1" t="str">
        <f>_xlfn.XLOOKUP(tblRequirementMeasureXref[[#This Row],[dm_id]],tblDataRequirement[dm_id],tblDataRequirement[dm_phase])</f>
        <v>outcome</v>
      </c>
      <c r="C1352" s="1">
        <v>104</v>
      </c>
      <c r="D1352" s="1">
        <v>362</v>
      </c>
      <c r="G1352" s="1"/>
      <c r="H1352" s="62" t="str">
        <f>_xlfn.XLOOKUP(tblRequirementMeasureXref[[#This Row],[msr_id]],tblMeasure[msr_id],tblMeasure[msr_table])</f>
        <v>Table 8</v>
      </c>
      <c r="I1352" s="22" t="str">
        <f>_xlfn.XLOOKUP(tblRequirementMeasureXref[[#This Row],[msr_id]],tblMeasure[msr_id],tblMeasure[msr_name])</f>
        <v>Summary of Activities of Daily Living (ADLs/IADLs) for which help was needed and received in the last month, by EQ-5D</v>
      </c>
      <c r="J1352" s="22" t="str">
        <f>_xlfn.XLOOKUP(tblRequirementMeasureXref[[#This Row],[msr_id]],tblMeasure[msr_id],tblMeasure[primary_dimensions])</f>
        <v>help needed/received/unmet in performing ADL, EQ5D QoL</v>
      </c>
      <c r="K1352" s="22" t="str">
        <f>_xlfn.XLOOKUP(tblRequirementMeasureXref[[#This Row],[msr_id]],tblMeasure[msr_id],tblMeasure[msr_min_geo_resolution])</f>
        <v>England</v>
      </c>
      <c r="L1352" s="22" t="str">
        <f>_xlfn.XLOOKUP(tblRequirementMeasureXref[[#This Row],[msr_id]],tblMeasure[msr_id],tblMeasure[src_name])</f>
        <v>Health Survey for England</v>
      </c>
    </row>
    <row r="1353" spans="1:12" x14ac:dyDescent="0.15">
      <c r="A1353" s="1" t="str">
        <f>_xlfn.XLOOKUP(tblRequirementMeasureXref[[#This Row],[dm_id]],tblDataRequirement[dm_id],tblDataRequirement[domain_sub_requirement])</f>
        <v>Users:Demographics:Age</v>
      </c>
      <c r="B1353" s="1" t="str">
        <f>_xlfn.XLOOKUP(tblRequirementMeasureXref[[#This Row],[dm_id]],tblDataRequirement[dm_id],tblDataRequirement[dm_phase])</f>
        <v>demand</v>
      </c>
      <c r="C1353" s="1">
        <v>51</v>
      </c>
      <c r="D1353" s="1">
        <v>363</v>
      </c>
      <c r="G1353" s="1"/>
      <c r="H1353" s="62" t="str">
        <f>_xlfn.XLOOKUP(tblRequirementMeasureXref[[#This Row],[msr_id]],tblMeasure[msr_id],tblMeasure[msr_table])</f>
        <v>Table 9</v>
      </c>
      <c r="I1353" s="22" t="str">
        <f>_xlfn.XLOOKUP(tblRequirementMeasureXref[[#This Row],[msr_id]],tblMeasure[msr_id],tblMeasure[msr_name])</f>
        <v xml:space="preserve">Whether received local authority assessment of care needs in last 12 months, by age </v>
      </c>
      <c r="J1353" s="22" t="str">
        <f>_xlfn.XLOOKUP(tblRequirementMeasureXref[[#This Row],[msr_id]],tblMeasure[msr_id],tblMeasure[primary_dimensions])</f>
        <v>LA assessment of care needs</v>
      </c>
      <c r="K1353" s="22" t="str">
        <f>_xlfn.XLOOKUP(tblRequirementMeasureXref[[#This Row],[msr_id]],tblMeasure[msr_id],tblMeasure[msr_min_geo_resolution])</f>
        <v>England</v>
      </c>
      <c r="L1353" s="22" t="str">
        <f>_xlfn.XLOOKUP(tblRequirementMeasureXref[[#This Row],[msr_id]],tblMeasure[msr_id],tblMeasure[src_name])</f>
        <v>Health Survey for England</v>
      </c>
    </row>
    <row r="1354" spans="1:12" x14ac:dyDescent="0.15">
      <c r="A1354" s="1" t="str">
        <f>_xlfn.XLOOKUP(tblRequirementMeasureXref[[#This Row],[dm_id]],tblDataRequirement[dm_id],tblDataRequirement[domain_sub_requirement])</f>
        <v>Service:Access:Requests for local authority-funded care</v>
      </c>
      <c r="B1354" s="1" t="str">
        <f>_xlfn.XLOOKUP(tblRequirementMeasureXref[[#This Row],[dm_id]],tblDataRequirement[dm_id],tblDataRequirement[dm_phase])</f>
        <v>demand</v>
      </c>
      <c r="C1354" s="1">
        <v>27</v>
      </c>
      <c r="D1354" s="1">
        <v>363</v>
      </c>
      <c r="G1354" s="1"/>
      <c r="H1354" s="62" t="str">
        <f>_xlfn.XLOOKUP(tblRequirementMeasureXref[[#This Row],[msr_id]],tblMeasure[msr_id],tblMeasure[msr_table])</f>
        <v>Table 9</v>
      </c>
      <c r="I1354" s="22" t="str">
        <f>_xlfn.XLOOKUP(tblRequirementMeasureXref[[#This Row],[msr_id]],tblMeasure[msr_id],tblMeasure[msr_name])</f>
        <v xml:space="preserve">Whether received local authority assessment of care needs in last 12 months, by age </v>
      </c>
      <c r="J1354" s="22" t="str">
        <f>_xlfn.XLOOKUP(tblRequirementMeasureXref[[#This Row],[msr_id]],tblMeasure[msr_id],tblMeasure[primary_dimensions])</f>
        <v>LA assessment of care needs</v>
      </c>
      <c r="K1354" s="22" t="str">
        <f>_xlfn.XLOOKUP(tblRequirementMeasureXref[[#This Row],[msr_id]],tblMeasure[msr_id],tblMeasure[msr_min_geo_resolution])</f>
        <v>England</v>
      </c>
      <c r="L1354" s="22" t="str">
        <f>_xlfn.XLOOKUP(tblRequirementMeasureXref[[#This Row],[msr_id]],tblMeasure[msr_id],tblMeasure[src_name])</f>
        <v>Health Survey for England</v>
      </c>
    </row>
    <row r="1355" spans="1:12" x14ac:dyDescent="0.15">
      <c r="A1355" s="1" t="str">
        <f>_xlfn.XLOOKUP(tblRequirementMeasureXref[[#This Row],[dm_id]],tblDataRequirement[dm_id],tblDataRequirement[domain_sub_requirement])</f>
        <v>Service:Integration:Care commissioning</v>
      </c>
      <c r="B1355" s="1" t="str">
        <f>_xlfn.XLOOKUP(tblRequirementMeasureXref[[#This Row],[dm_id]],tblDataRequirement[dm_id],tblDataRequirement[dm_phase])</f>
        <v>operate</v>
      </c>
      <c r="C1355" s="1">
        <v>38</v>
      </c>
      <c r="D1355" s="1">
        <v>364</v>
      </c>
      <c r="G1355" s="1"/>
      <c r="H1355" s="61" t="str">
        <f>_xlfn.XLOOKUP(tblRequirementMeasureXref[[#This Row],[msr_id]],tblMeasure[msr_id],tblMeasure[msr_table])</f>
        <v>Nat Conditions &amp; s75</v>
      </c>
      <c r="I1355" s="22" t="str">
        <f>_xlfn.XLOOKUP(tblRequirementMeasureXref[[#This Row],[msr_id]],tblMeasure[msr_id],tblMeasure[msr_name])</f>
        <v>Agreement on BCF national conditions</v>
      </c>
      <c r="J1355" s="22" t="str">
        <f>_xlfn.XLOOKUP(tblRequirementMeasureXref[[#This Row],[msr_id]],tblMeasure[msr_id],tblMeasure[primary_dimensions])</f>
        <v>national conditions, Section 75 budget</v>
      </c>
      <c r="K1355" s="22" t="str">
        <f>_xlfn.XLOOKUP(tblRequirementMeasureXref[[#This Row],[msr_id]],tblMeasure[msr_id],tblMeasure[msr_min_geo_resolution])</f>
        <v>LA/HWB</v>
      </c>
      <c r="L1355" s="22" t="str">
        <f>_xlfn.XLOOKUP(tblRequirementMeasureXref[[#This Row],[msr_id]],tblMeasure[msr_id],tblMeasure[src_name])</f>
        <v>Better Care Fund: Data Collection and Performance Report</v>
      </c>
    </row>
    <row r="1356" spans="1:12" x14ac:dyDescent="0.15">
      <c r="A1356" s="1" t="str">
        <f>_xlfn.XLOOKUP(tblRequirementMeasureXref[[#This Row],[dm_id]],tblDataRequirement[dm_id],tblDataRequirement[domain_sub_requirement])</f>
        <v>Funders:Budget:Local authorities</v>
      </c>
      <c r="B1356" s="1" t="str">
        <f>_xlfn.XLOOKUP(tblRequirementMeasureXref[[#This Row],[dm_id]],tblDataRequirement[dm_id],tblDataRequirement[dm_phase])</f>
        <v>supply</v>
      </c>
      <c r="C1356" s="1">
        <v>1</v>
      </c>
      <c r="D1356" s="1">
        <v>364</v>
      </c>
      <c r="G1356" s="1"/>
      <c r="H1356" s="62" t="str">
        <f>_xlfn.XLOOKUP(tblRequirementMeasureXref[[#This Row],[msr_id]],tblMeasure[msr_id],tblMeasure[msr_table])</f>
        <v>Nat Conditions &amp; s75</v>
      </c>
      <c r="I1356" s="22" t="str">
        <f>_xlfn.XLOOKUP(tblRequirementMeasureXref[[#This Row],[msr_id]],tblMeasure[msr_id],tblMeasure[msr_name])</f>
        <v>Agreement on BCF national conditions</v>
      </c>
      <c r="J1356" s="22" t="str">
        <f>_xlfn.XLOOKUP(tblRequirementMeasureXref[[#This Row],[msr_id]],tblMeasure[msr_id],tblMeasure[primary_dimensions])</f>
        <v>national conditions, Section 75 budget</v>
      </c>
      <c r="K1356" s="22" t="str">
        <f>_xlfn.XLOOKUP(tblRequirementMeasureXref[[#This Row],[msr_id]],tblMeasure[msr_id],tblMeasure[msr_min_geo_resolution])</f>
        <v>LA/HWB</v>
      </c>
      <c r="L1356" s="22" t="str">
        <f>_xlfn.XLOOKUP(tblRequirementMeasureXref[[#This Row],[msr_id]],tblMeasure[msr_id],tblMeasure[src_name])</f>
        <v>Better Care Fund: Data Collection and Performance Report</v>
      </c>
    </row>
    <row r="1357" spans="1:12" x14ac:dyDescent="0.15">
      <c r="A1357" s="1" t="str">
        <f>_xlfn.XLOOKUP(tblRequirementMeasureXref[[#This Row],[dm_id]],tblDataRequirement[dm_id],tblDataRequirement[domain_sub_requirement])</f>
        <v>Funders:Budget:NHS</v>
      </c>
      <c r="B1357" s="1" t="str">
        <f>_xlfn.XLOOKUP(tblRequirementMeasureXref[[#This Row],[dm_id]],tblDataRequirement[dm_id],tblDataRequirement[dm_phase])</f>
        <v>supply</v>
      </c>
      <c r="C1357" s="1">
        <v>102</v>
      </c>
      <c r="D1357" s="1">
        <v>364</v>
      </c>
      <c r="G1357" s="1"/>
      <c r="H1357" s="62" t="str">
        <f>_xlfn.XLOOKUP(tblRequirementMeasureXref[[#This Row],[msr_id]],tblMeasure[msr_id],tblMeasure[msr_table])</f>
        <v>Nat Conditions &amp; s75</v>
      </c>
      <c r="I1357" s="22" t="str">
        <f>_xlfn.XLOOKUP(tblRequirementMeasureXref[[#This Row],[msr_id]],tblMeasure[msr_id],tblMeasure[msr_name])</f>
        <v>Agreement on BCF national conditions</v>
      </c>
      <c r="J1357" s="22" t="str">
        <f>_xlfn.XLOOKUP(tblRequirementMeasureXref[[#This Row],[msr_id]],tblMeasure[msr_id],tblMeasure[primary_dimensions])</f>
        <v>national conditions, Section 75 budget</v>
      </c>
      <c r="K1357" s="22" t="str">
        <f>_xlfn.XLOOKUP(tblRequirementMeasureXref[[#This Row],[msr_id]],tblMeasure[msr_id],tblMeasure[msr_min_geo_resolution])</f>
        <v>LA/HWB</v>
      </c>
      <c r="L1357" s="22" t="str">
        <f>_xlfn.XLOOKUP(tblRequirementMeasureXref[[#This Row],[msr_id]],tblMeasure[msr_id],tblMeasure[src_name])</f>
        <v>Better Care Fund: Data Collection and Performance Report</v>
      </c>
    </row>
    <row r="1358" spans="1:12" x14ac:dyDescent="0.15">
      <c r="A1358" s="1" t="str">
        <f>_xlfn.XLOOKUP(tblRequirementMeasureXref[[#This Row],[dm_id]],tblDataRequirement[dm_id],tblDataRequirement[domain_sub_requirement])</f>
        <v>Service:Integration:NHS secondary care</v>
      </c>
      <c r="B1358" s="1" t="str">
        <f>_xlfn.XLOOKUP(tblRequirementMeasureXref[[#This Row],[dm_id]],tblDataRequirement[dm_id],tblDataRequirement[dm_phase])</f>
        <v>operate</v>
      </c>
      <c r="C1358" s="1">
        <v>37</v>
      </c>
      <c r="D1358" s="1">
        <v>365</v>
      </c>
      <c r="G1358" s="1"/>
      <c r="H1358" s="62" t="str">
        <f>_xlfn.XLOOKUP(tblRequirementMeasureXref[[#This Row],[msr_id]],tblMeasure[msr_id],tblMeasure[msr_table])</f>
        <v>Metrics</v>
      </c>
      <c r="I1358" s="22" t="str">
        <f>_xlfn.XLOOKUP(tblRequirementMeasureXref[[#This Row],[msr_id]],tblMeasure[msr_id],tblMeasure[msr_name])</f>
        <v>All metrics self-assessed by HWBs</v>
      </c>
      <c r="J1358" s="22" t="str">
        <f>_xlfn.XLOOKUP(tblRequirementMeasureXref[[#This Row],[msr_id]],tblMeasure[msr_id],tblMeasure[primary_dimensions])</f>
        <v xml:space="preserve">performance against metrics on non-elective admissions, residential admissions, reablement and delayed transfers of care </v>
      </c>
      <c r="K1358" s="22" t="str">
        <f>_xlfn.XLOOKUP(tblRequirementMeasureXref[[#This Row],[msr_id]],tblMeasure[msr_id],tblMeasure[msr_min_geo_resolution])</f>
        <v>LA/HWB</v>
      </c>
      <c r="L1358" s="22" t="str">
        <f>_xlfn.XLOOKUP(tblRequirementMeasureXref[[#This Row],[msr_id]],tblMeasure[msr_id],tblMeasure[src_name])</f>
        <v>Better Care Fund: Data Collection and Performance Report</v>
      </c>
    </row>
    <row r="1359" spans="1:12" x14ac:dyDescent="0.15">
      <c r="A1359" s="1" t="str">
        <f>_xlfn.XLOOKUP(tblRequirementMeasureXref[[#This Row],[dm_id]],tblDataRequirement[dm_id],tblDataRequirement[domain_sub_requirement])</f>
        <v>Service:Support type:Reablement / ST-MAX</v>
      </c>
      <c r="B1359" s="1" t="str">
        <f>_xlfn.XLOOKUP(tblRequirementMeasureXref[[#This Row],[dm_id]],tblDataRequirement[dm_id],tblDataRequirement[dm_phase])</f>
        <v>operate</v>
      </c>
      <c r="C1359" s="1">
        <v>46</v>
      </c>
      <c r="D1359" s="1">
        <v>365</v>
      </c>
      <c r="G1359" s="1"/>
      <c r="H1359" s="62" t="str">
        <f>_xlfn.XLOOKUP(tblRequirementMeasureXref[[#This Row],[msr_id]],tblMeasure[msr_id],tblMeasure[msr_table])</f>
        <v>Metrics</v>
      </c>
      <c r="I1359" s="22" t="str">
        <f>_xlfn.XLOOKUP(tblRequirementMeasureXref[[#This Row],[msr_id]],tblMeasure[msr_id],tblMeasure[msr_name])</f>
        <v>All metrics self-assessed by HWBs</v>
      </c>
      <c r="J1359" s="22" t="str">
        <f>_xlfn.XLOOKUP(tblRequirementMeasureXref[[#This Row],[msr_id]],tblMeasure[msr_id],tblMeasure[primary_dimensions])</f>
        <v xml:space="preserve">performance against metrics on non-elective admissions, residential admissions, reablement and delayed transfers of care </v>
      </c>
      <c r="K1359" s="22" t="str">
        <f>_xlfn.XLOOKUP(tblRequirementMeasureXref[[#This Row],[msr_id]],tblMeasure[msr_id],tblMeasure[msr_min_geo_resolution])</f>
        <v>LA/HWB</v>
      </c>
      <c r="L1359" s="22" t="str">
        <f>_xlfn.XLOOKUP(tblRequirementMeasureXref[[#This Row],[msr_id]],tblMeasure[msr_id],tblMeasure[src_name])</f>
        <v>Better Care Fund: Data Collection and Performance Report</v>
      </c>
    </row>
    <row r="1360" spans="1:12" x14ac:dyDescent="0.15">
      <c r="A1360" s="1" t="str">
        <f>_xlfn.XLOOKUP(tblRequirementMeasureXref[[#This Row],[dm_id]],tblDataRequirement[dm_id],tblDataRequirement[domain_sub_requirement])</f>
        <v>Service:Integration:NHS primary care</v>
      </c>
      <c r="B1360" s="1" t="str">
        <f>_xlfn.XLOOKUP(tblRequirementMeasureXref[[#This Row],[dm_id]],tblDataRequirement[dm_id],tblDataRequirement[dm_phase])</f>
        <v>operate</v>
      </c>
      <c r="C1360" s="1">
        <v>36</v>
      </c>
      <c r="D1360" s="1">
        <v>366</v>
      </c>
      <c r="G1360" s="1"/>
      <c r="H1360" s="62" t="str">
        <f>_xlfn.XLOOKUP(tblRequirementMeasureXref[[#This Row],[msr_id]],tblMeasure[msr_id],tblMeasure[msr_table])</f>
        <v>HICM</v>
      </c>
      <c r="I1360" s="22" t="str">
        <f>_xlfn.XLOOKUP(tblRequirementMeasureXref[[#This Row],[msr_id]],tblMeasure[msr_id],tblMeasure[msr_name])</f>
        <v>High Impact Change Model self assessment by HWBs</v>
      </c>
      <c r="J1360" s="22" t="str">
        <f>_xlfn.XLOOKUP(tblRequirementMeasureXref[[#This Row],[msr_id]],tblMeasure[msr_id],tblMeasure[primary_dimensions])</f>
        <v>change implementation progress</v>
      </c>
      <c r="K1360" s="22" t="str">
        <f>_xlfn.XLOOKUP(tblRequirementMeasureXref[[#This Row],[msr_id]],tblMeasure[msr_id],tblMeasure[msr_min_geo_resolution])</f>
        <v>LA/HWB</v>
      </c>
      <c r="L1360" s="22" t="str">
        <f>_xlfn.XLOOKUP(tblRequirementMeasureXref[[#This Row],[msr_id]],tblMeasure[msr_id],tblMeasure[src_name])</f>
        <v>Better Care Fund: Data Collection and Performance Report</v>
      </c>
    </row>
    <row r="1361" spans="1:12" x14ac:dyDescent="0.15">
      <c r="A1361" s="1" t="str">
        <f>_xlfn.XLOOKUP(tblRequirementMeasureXref[[#This Row],[dm_id]],tblDataRequirement[dm_id],tblDataRequirement[domain_sub_requirement])</f>
        <v>Service:Integration:NHS secondary care</v>
      </c>
      <c r="B1361" s="1" t="str">
        <f>_xlfn.XLOOKUP(tblRequirementMeasureXref[[#This Row],[dm_id]],tblDataRequirement[dm_id],tblDataRequirement[dm_phase])</f>
        <v>operate</v>
      </c>
      <c r="C1361" s="1">
        <v>37</v>
      </c>
      <c r="D1361" s="1">
        <v>366</v>
      </c>
      <c r="G1361" s="1"/>
      <c r="H1361" s="62" t="str">
        <f>_xlfn.XLOOKUP(tblRequirementMeasureXref[[#This Row],[msr_id]],tblMeasure[msr_id],tblMeasure[msr_table])</f>
        <v>HICM</v>
      </c>
      <c r="I1361" s="22" t="str">
        <f>_xlfn.XLOOKUP(tblRequirementMeasureXref[[#This Row],[msr_id]],tblMeasure[msr_id],tblMeasure[msr_name])</f>
        <v>High Impact Change Model self assessment by HWBs</v>
      </c>
      <c r="J1361" s="22" t="str">
        <f>_xlfn.XLOOKUP(tblRequirementMeasureXref[[#This Row],[msr_id]],tblMeasure[msr_id],tblMeasure[primary_dimensions])</f>
        <v>change implementation progress</v>
      </c>
      <c r="K1361" s="22" t="str">
        <f>_xlfn.XLOOKUP(tblRequirementMeasureXref[[#This Row],[msr_id]],tblMeasure[msr_id],tblMeasure[msr_min_geo_resolution])</f>
        <v>LA/HWB</v>
      </c>
      <c r="L1361" s="22" t="str">
        <f>_xlfn.XLOOKUP(tblRequirementMeasureXref[[#This Row],[msr_id]],tblMeasure[msr_id],tblMeasure[src_name])</f>
        <v>Better Care Fund: Data Collection and Performance Report</v>
      </c>
    </row>
    <row r="1362" spans="1:12" x14ac:dyDescent="0.15">
      <c r="A1362" s="1" t="str">
        <f>_xlfn.XLOOKUP(tblRequirementMeasureXref[[#This Row],[dm_id]],tblDataRequirement[dm_id],tblDataRequirement[domain_sub_requirement])</f>
        <v>Funders:Income:Local authority</v>
      </c>
      <c r="B1362" s="1" t="str">
        <f>_xlfn.XLOOKUP(tblRequirementMeasureXref[[#This Row],[dm_id]],tblDataRequirement[dm_id],tblDataRequirement[dm_phase])</f>
        <v>supply</v>
      </c>
      <c r="C1362" s="1">
        <v>8</v>
      </c>
      <c r="D1362" s="1">
        <v>367</v>
      </c>
      <c r="G1362" s="1"/>
      <c r="H1362" s="62" t="str">
        <f>_xlfn.XLOOKUP(tblRequirementMeasureXref[[#This Row],[msr_id]],tblMeasure[msr_id],tblMeasure[msr_table])</f>
        <v>Income</v>
      </c>
      <c r="I1362" s="22" t="str">
        <f>_xlfn.XLOOKUP(tblRequirementMeasureXref[[#This Row],[msr_id]],tblMeasure[msr_id],tblMeasure[msr_name])</f>
        <v>Minimum income, planned additional income and actual additional income.</v>
      </c>
      <c r="J1362" s="22" t="str">
        <f>_xlfn.XLOOKUP(tblRequirementMeasureXref[[#This Row],[msr_id]],tblMeasure[msr_id],tblMeasure[primary_dimensions])</f>
        <v>income</v>
      </c>
      <c r="K1362" s="22" t="str">
        <f>_xlfn.XLOOKUP(tblRequirementMeasureXref[[#This Row],[msr_id]],tblMeasure[msr_id],tblMeasure[msr_min_geo_resolution])</f>
        <v>LA/HWB</v>
      </c>
      <c r="L1362" s="22" t="str">
        <f>_xlfn.XLOOKUP(tblRequirementMeasureXref[[#This Row],[msr_id]],tblMeasure[msr_id],tblMeasure[src_name])</f>
        <v>Better Care Fund: Data Collection and Performance Report</v>
      </c>
    </row>
    <row r="1363" spans="1:12" x14ac:dyDescent="0.15">
      <c r="A1363" s="1" t="str">
        <f>_xlfn.XLOOKUP(tblRequirementMeasureXref[[#This Row],[dm_id]],tblDataRequirement[dm_id],tblDataRequirement[domain_sub_requirement])</f>
        <v>Service:Integration:Care commissioning</v>
      </c>
      <c r="B1363" s="1" t="str">
        <f>_xlfn.XLOOKUP(tblRequirementMeasureXref[[#This Row],[dm_id]],tblDataRequirement[dm_id],tblDataRequirement[dm_phase])</f>
        <v>operate</v>
      </c>
      <c r="C1363" s="1">
        <v>38</v>
      </c>
      <c r="D1363" s="1">
        <v>367</v>
      </c>
      <c r="G1363" s="1"/>
      <c r="H1363" s="62" t="str">
        <f>_xlfn.XLOOKUP(tblRequirementMeasureXref[[#This Row],[msr_id]],tblMeasure[msr_id],tblMeasure[msr_table])</f>
        <v>Income</v>
      </c>
      <c r="I1363" s="22" t="str">
        <f>_xlfn.XLOOKUP(tblRequirementMeasureXref[[#This Row],[msr_id]],tblMeasure[msr_id],tblMeasure[msr_name])</f>
        <v>Minimum income, planned additional income and actual additional income.</v>
      </c>
      <c r="J1363" s="22" t="str">
        <f>_xlfn.XLOOKUP(tblRequirementMeasureXref[[#This Row],[msr_id]],tblMeasure[msr_id],tblMeasure[primary_dimensions])</f>
        <v>income</v>
      </c>
      <c r="K1363" s="22" t="str">
        <f>_xlfn.XLOOKUP(tblRequirementMeasureXref[[#This Row],[msr_id]],tblMeasure[msr_id],tblMeasure[msr_min_geo_resolution])</f>
        <v>LA/HWB</v>
      </c>
      <c r="L1363" s="22" t="str">
        <f>_xlfn.XLOOKUP(tblRequirementMeasureXref[[#This Row],[msr_id]],tblMeasure[msr_id],tblMeasure[src_name])</f>
        <v>Better Care Fund: Data Collection and Performance Report</v>
      </c>
    </row>
    <row r="1364" spans="1:12" x14ac:dyDescent="0.15">
      <c r="A1364" s="1" t="str">
        <f>_xlfn.XLOOKUP(tblRequirementMeasureXref[[#This Row],[dm_id]],tblDataRequirement[dm_id],tblDataRequirement[domain_sub_requirement])</f>
        <v>Funders:Expenditure:Local authorities</v>
      </c>
      <c r="B1364" s="1" t="str">
        <f>_xlfn.XLOOKUP(tblRequirementMeasureXref[[#This Row],[dm_id]],tblDataRequirement[dm_id],tblDataRequirement[dm_phase])</f>
        <v>supply</v>
      </c>
      <c r="C1364" s="1">
        <v>3</v>
      </c>
      <c r="D1364" s="1">
        <v>368</v>
      </c>
      <c r="G1364" s="1"/>
      <c r="H1364" s="62" t="str">
        <f>_xlfn.XLOOKUP(tblRequirementMeasureXref[[#This Row],[msr_id]],tblMeasure[msr_id],tblMeasure[msr_table])</f>
        <v>Expenditure</v>
      </c>
      <c r="I1364" s="22" t="str">
        <f>_xlfn.XLOOKUP(tblRequirementMeasureXref[[#This Row],[msr_id]],tblMeasure[msr_id],tblMeasure[msr_name])</f>
        <v xml:space="preserve">Planned expenditure and additional expenditure. </v>
      </c>
      <c r="J1364" s="22" t="str">
        <f>_xlfn.XLOOKUP(tblRequirementMeasureXref[[#This Row],[msr_id]],tblMeasure[msr_id],tblMeasure[primary_dimensions])</f>
        <v>expenditure</v>
      </c>
      <c r="K1364" s="22" t="str">
        <f>_xlfn.XLOOKUP(tblRequirementMeasureXref[[#This Row],[msr_id]],tblMeasure[msr_id],tblMeasure[msr_min_geo_resolution])</f>
        <v>LA/HWB</v>
      </c>
      <c r="L1364" s="22" t="str">
        <f>_xlfn.XLOOKUP(tblRequirementMeasureXref[[#This Row],[msr_id]],tblMeasure[msr_id],tblMeasure[src_name])</f>
        <v>Better Care Fund: Data Collection and Performance Report</v>
      </c>
    </row>
    <row r="1365" spans="1:12" x14ac:dyDescent="0.15">
      <c r="A1365" s="1" t="str">
        <f>_xlfn.XLOOKUP(tblRequirementMeasureXref[[#This Row],[dm_id]],tblDataRequirement[dm_id],tblDataRequirement[domain_sub_requirement])</f>
        <v>Service:Integration:Care commissioning</v>
      </c>
      <c r="B1365" s="1" t="str">
        <f>_xlfn.XLOOKUP(tblRequirementMeasureXref[[#This Row],[dm_id]],tblDataRequirement[dm_id],tblDataRequirement[dm_phase])</f>
        <v>operate</v>
      </c>
      <c r="C1365" s="1">
        <v>38</v>
      </c>
      <c r="D1365" s="1">
        <v>368</v>
      </c>
      <c r="G1365" s="1"/>
      <c r="H1365" s="62" t="str">
        <f>_xlfn.XLOOKUP(tblRequirementMeasureXref[[#This Row],[msr_id]],tblMeasure[msr_id],tblMeasure[msr_table])</f>
        <v>Expenditure</v>
      </c>
      <c r="I1365" s="22" t="str">
        <f>_xlfn.XLOOKUP(tblRequirementMeasureXref[[#This Row],[msr_id]],tblMeasure[msr_id],tblMeasure[msr_name])</f>
        <v xml:space="preserve">Planned expenditure and additional expenditure. </v>
      </c>
      <c r="J1365" s="22" t="str">
        <f>_xlfn.XLOOKUP(tblRequirementMeasureXref[[#This Row],[msr_id]],tblMeasure[msr_id],tblMeasure[primary_dimensions])</f>
        <v>expenditure</v>
      </c>
      <c r="K1365" s="22" t="str">
        <f>_xlfn.XLOOKUP(tblRequirementMeasureXref[[#This Row],[msr_id]],tblMeasure[msr_id],tblMeasure[msr_min_geo_resolution])</f>
        <v>LA/HWB</v>
      </c>
      <c r="L1365" s="22" t="str">
        <f>_xlfn.XLOOKUP(tblRequirementMeasureXref[[#This Row],[msr_id]],tblMeasure[msr_id],tblMeasure[src_name])</f>
        <v>Better Care Fund: Data Collection and Performance Report</v>
      </c>
    </row>
    <row r="1366" spans="1:12" x14ac:dyDescent="0.15">
      <c r="A1366" s="1" t="str">
        <f>_xlfn.XLOOKUP(tblRequirementMeasureXref[[#This Row],[dm_id]],tblDataRequirement[dm_id],tblDataRequirement[domain_sub_requirement])</f>
        <v>Service:Integration:Care commissioning</v>
      </c>
      <c r="B1366" s="1" t="str">
        <f>_xlfn.XLOOKUP(tblRequirementMeasureXref[[#This Row],[dm_id]],tblDataRequirement[dm_id],tblDataRequirement[dm_phase])</f>
        <v>operate</v>
      </c>
      <c r="C1366" s="1">
        <v>38</v>
      </c>
      <c r="D1366" s="1">
        <v>369</v>
      </c>
      <c r="G1366" s="1"/>
      <c r="H1366" s="62" t="str">
        <f>_xlfn.XLOOKUP(tblRequirementMeasureXref[[#This Row],[msr_id]],tblMeasure[msr_id],tblMeasure[msr_table])</f>
        <v>Year End Feedback 1</v>
      </c>
      <c r="I1366" s="22" t="str">
        <f>_xlfn.XLOOKUP(tblRequirementMeasureXref[[#This Row],[msr_id]],tblMeasure[msr_id],tblMeasure[msr_name])</f>
        <v>Agreement statements around the delivery of the Better Care Fund</v>
      </c>
      <c r="J1366" s="22" t="str">
        <f>_xlfn.XLOOKUP(tblRequirementMeasureXref[[#This Row],[msr_id]],tblMeasure[msr_id],tblMeasure[primary_dimensions])</f>
        <v>perception, integration</v>
      </c>
      <c r="K1366" s="22" t="str">
        <f>_xlfn.XLOOKUP(tblRequirementMeasureXref[[#This Row],[msr_id]],tblMeasure[msr_id],tblMeasure[msr_min_geo_resolution])</f>
        <v>LA/HWB</v>
      </c>
      <c r="L1366" s="22" t="str">
        <f>_xlfn.XLOOKUP(tblRequirementMeasureXref[[#This Row],[msr_id]],tblMeasure[msr_id],tblMeasure[src_name])</f>
        <v>Better Care Fund: Data Collection and Performance Report</v>
      </c>
    </row>
    <row r="1367" spans="1:12" x14ac:dyDescent="0.15">
      <c r="A1367" s="1" t="str">
        <f>_xlfn.XLOOKUP(tblRequirementMeasureXref[[#This Row],[dm_id]],tblDataRequirement[dm_id],tblDataRequirement[domain_sub_requirement])</f>
        <v>Service:Integration:NHS secondary care</v>
      </c>
      <c r="B1367" s="1" t="str">
        <f>_xlfn.XLOOKUP(tblRequirementMeasureXref[[#This Row],[dm_id]],tblDataRequirement[dm_id],tblDataRequirement[dm_phase])</f>
        <v>operate</v>
      </c>
      <c r="C1367" s="1">
        <v>37</v>
      </c>
      <c r="D1367" s="1">
        <v>369</v>
      </c>
      <c r="G1367" s="1"/>
      <c r="H1367" s="62" t="str">
        <f>_xlfn.XLOOKUP(tblRequirementMeasureXref[[#This Row],[msr_id]],tblMeasure[msr_id],tblMeasure[msr_table])</f>
        <v>Year End Feedback 1</v>
      </c>
      <c r="I1367" s="22" t="str">
        <f>_xlfn.XLOOKUP(tblRequirementMeasureXref[[#This Row],[msr_id]],tblMeasure[msr_id],tblMeasure[msr_name])</f>
        <v>Agreement statements around the delivery of the Better Care Fund</v>
      </c>
      <c r="J1367" s="22" t="str">
        <f>_xlfn.XLOOKUP(tblRequirementMeasureXref[[#This Row],[msr_id]],tblMeasure[msr_id],tblMeasure[primary_dimensions])</f>
        <v>perception, integration</v>
      </c>
      <c r="K1367" s="22" t="str">
        <f>_xlfn.XLOOKUP(tblRequirementMeasureXref[[#This Row],[msr_id]],tblMeasure[msr_id],tblMeasure[msr_min_geo_resolution])</f>
        <v>LA/HWB</v>
      </c>
      <c r="L1367" s="22" t="str">
        <f>_xlfn.XLOOKUP(tblRequirementMeasureXref[[#This Row],[msr_id]],tblMeasure[msr_id],tblMeasure[src_name])</f>
        <v>Better Care Fund: Data Collection and Performance Report</v>
      </c>
    </row>
    <row r="1368" spans="1:12" x14ac:dyDescent="0.15">
      <c r="A1368" s="1" t="str">
        <f>_xlfn.XLOOKUP(tblRequirementMeasureXref[[#This Row],[dm_id]],tblDataRequirement[dm_id],tblDataRequirement[domain_sub_requirement])</f>
        <v>Service:Integration:Funder perception</v>
      </c>
      <c r="B1368" s="1" t="str">
        <f>_xlfn.XLOOKUP(tblRequirementMeasureXref[[#This Row],[dm_id]],tblDataRequirement[dm_id],tblDataRequirement[dm_phase])</f>
        <v>operate</v>
      </c>
      <c r="C1368" s="1">
        <v>103</v>
      </c>
      <c r="D1368" s="1">
        <v>369</v>
      </c>
      <c r="G1368" s="1"/>
      <c r="H1368" s="62" t="str">
        <f>_xlfn.XLOOKUP(tblRequirementMeasureXref[[#This Row],[msr_id]],tblMeasure[msr_id],tblMeasure[msr_table])</f>
        <v>Year End Feedback 1</v>
      </c>
      <c r="I1368" s="22" t="str">
        <f>_xlfn.XLOOKUP(tblRequirementMeasureXref[[#This Row],[msr_id]],tblMeasure[msr_id],tblMeasure[msr_name])</f>
        <v>Agreement statements around the delivery of the Better Care Fund</v>
      </c>
      <c r="J1368" s="22" t="str">
        <f>_xlfn.XLOOKUP(tblRequirementMeasureXref[[#This Row],[msr_id]],tblMeasure[msr_id],tblMeasure[primary_dimensions])</f>
        <v>perception, integration</v>
      </c>
      <c r="K1368" s="22" t="str">
        <f>_xlfn.XLOOKUP(tblRequirementMeasureXref[[#This Row],[msr_id]],tblMeasure[msr_id],tblMeasure[msr_min_geo_resolution])</f>
        <v>LA/HWB</v>
      </c>
      <c r="L1368" s="22" t="str">
        <f>_xlfn.XLOOKUP(tblRequirementMeasureXref[[#This Row],[msr_id]],tblMeasure[msr_id],tblMeasure[src_name])</f>
        <v>Better Care Fund: Data Collection and Performance Report</v>
      </c>
    </row>
    <row r="1369" spans="1:12" x14ac:dyDescent="0.15">
      <c r="A1369" s="1" t="str">
        <f>_xlfn.XLOOKUP(tblRequirementMeasureXref[[#This Row],[dm_id]],tblDataRequirement[dm_id],tblDataRequirement[domain_sub_requirement])</f>
        <v>Service:Integration:NHS secondary care</v>
      </c>
      <c r="B1369" s="1" t="str">
        <f>_xlfn.XLOOKUP(tblRequirementMeasureXref[[#This Row],[dm_id]],tblDataRequirement[dm_id],tblDataRequirement[dm_phase])</f>
        <v>operate</v>
      </c>
      <c r="C1369" s="1">
        <v>37</v>
      </c>
      <c r="D1369" s="1">
        <v>378</v>
      </c>
      <c r="G1369" s="1"/>
      <c r="H1369" s="62" t="str">
        <f>_xlfn.XLOOKUP(tblRequirementMeasureXref[[#This Row],[msr_id]],tblMeasure[msr_id],tblMeasure[msr_table])</f>
        <v>DTOC Performance</v>
      </c>
      <c r="I1369" s="22" t="str">
        <f>_xlfn.XLOOKUP(tblRequirementMeasureXref[[#This Row],[msr_id]],tblMeasure[msr_id],tblMeasure[msr_name])</f>
        <v>DTOC (monthly) performance, the baseline (17/18) and target figures</v>
      </c>
      <c r="J1369" s="22" t="str">
        <f>_xlfn.XLOOKUP(tblRequirementMeasureXref[[#This Row],[msr_id]],tblMeasure[msr_id],tblMeasure[primary_dimensions])</f>
        <v>delayed transfers of care</v>
      </c>
      <c r="K1369" s="22" t="str">
        <f>_xlfn.XLOOKUP(tblRequirementMeasureXref[[#This Row],[msr_id]],tblMeasure[msr_id],tblMeasure[msr_min_geo_resolution])</f>
        <v>LA/HWB</v>
      </c>
      <c r="L1369" s="22" t="str">
        <f>_xlfn.XLOOKUP(tblRequirementMeasureXref[[#This Row],[msr_id]],tblMeasure[msr_id],tblMeasure[src_name])</f>
        <v>Better Care Fund: Data Collection and Performance Report</v>
      </c>
    </row>
    <row r="1370" spans="1:12" x14ac:dyDescent="0.15">
      <c r="A1370" s="1" t="str">
        <f>_xlfn.XLOOKUP(tblRequirementMeasureXref[[#This Row],[dm_id]],tblDataRequirement[dm_id],tblDataRequirement[domain_sub_requirement])</f>
        <v>Service:Integration:NHS secondary care</v>
      </c>
      <c r="B1370" s="1" t="str">
        <f>_xlfn.XLOOKUP(tblRequirementMeasureXref[[#This Row],[dm_id]],tblDataRequirement[dm_id],tblDataRequirement[dm_phase])</f>
        <v>operate</v>
      </c>
      <c r="C1370" s="1">
        <v>37</v>
      </c>
      <c r="D1370" s="1">
        <v>379</v>
      </c>
      <c r="G1370" s="1"/>
      <c r="H1370" s="62" t="str">
        <f>_xlfn.XLOOKUP(tblRequirementMeasureXref[[#This Row],[msr_id]],tblMeasure[msr_id],tblMeasure[msr_table])</f>
        <v>DTOC Performance (Rate)</v>
      </c>
      <c r="I1370" s="22" t="str">
        <f>_xlfn.XLOOKUP(tblRequirementMeasureXref[[#This Row],[msr_id]],tblMeasure[msr_id],tblMeasure[msr_name])</f>
        <v>Delayed Transfers of Care (monthly) performance rate</v>
      </c>
      <c r="J1370" s="22" t="str">
        <f>_xlfn.XLOOKUP(tblRequirementMeasureXref[[#This Row],[msr_id]],tblMeasure[msr_id],tblMeasure[primary_dimensions])</f>
        <v>delayed transfers of care</v>
      </c>
      <c r="K1370" s="22" t="str">
        <f>_xlfn.XLOOKUP(tblRequirementMeasureXref[[#This Row],[msr_id]],tblMeasure[msr_id],tblMeasure[msr_min_geo_resolution])</f>
        <v>LA/HWB</v>
      </c>
      <c r="L1370" s="22" t="str">
        <f>_xlfn.XLOOKUP(tblRequirementMeasureXref[[#This Row],[msr_id]],tblMeasure[msr_id],tblMeasure[src_name])</f>
        <v>Better Care Fund: Data Collection and Performance Report</v>
      </c>
    </row>
    <row r="1371" spans="1:12" x14ac:dyDescent="0.15">
      <c r="A1371" s="1" t="str">
        <f>_xlfn.XLOOKUP(tblRequirementMeasureXref[[#This Row],[dm_id]],tblDataRequirement[dm_id],tblDataRequirement[domain_sub_requirement])</f>
        <v>Service:Support type:Long-term</v>
      </c>
      <c r="B1371" s="1" t="str">
        <f>_xlfn.XLOOKUP(tblRequirementMeasureXref[[#This Row],[dm_id]],tblDataRequirement[dm_id],tblDataRequirement[dm_phase])</f>
        <v>operate</v>
      </c>
      <c r="C1371" s="1">
        <v>45</v>
      </c>
      <c r="D1371" s="1">
        <v>380</v>
      </c>
      <c r="G1371" s="1"/>
      <c r="H1371" s="62" t="str">
        <f>_xlfn.XLOOKUP(tblRequirementMeasureXref[[#This Row],[msr_id]],tblMeasure[msr_id],tblMeasure[msr_table])</f>
        <v>Res Adm Performance</v>
      </c>
      <c r="I1371" s="22" t="str">
        <f>_xlfn.XLOOKUP(tblRequirementMeasureXref[[#This Row],[msr_id]],tblMeasure[msr_id],tblMeasure[msr_name])</f>
        <v>2017/18 Residential Admissions performance, the baseline (16/17) and target figures</v>
      </c>
      <c r="J1371" s="22" t="str">
        <f>_xlfn.XLOOKUP(tblRequirementMeasureXref[[#This Row],[msr_id]],tblMeasure[msr_id],tblMeasure[primary_dimensions])</f>
        <v>residential admissions</v>
      </c>
      <c r="K1371" s="22" t="str">
        <f>_xlfn.XLOOKUP(tblRequirementMeasureXref[[#This Row],[msr_id]],tblMeasure[msr_id],tblMeasure[msr_min_geo_resolution])</f>
        <v>LA/HWB</v>
      </c>
      <c r="L1371" s="22" t="str">
        <f>_xlfn.XLOOKUP(tblRequirementMeasureXref[[#This Row],[msr_id]],tblMeasure[msr_id],tblMeasure[src_name])</f>
        <v>Better Care Fund: Data Collection and Performance Report</v>
      </c>
    </row>
    <row r="1372" spans="1:12" x14ac:dyDescent="0.15">
      <c r="A1372" s="1" t="str">
        <f>_xlfn.XLOOKUP(tblRequirementMeasureXref[[#This Row],[dm_id]],tblDataRequirement[dm_id],tblDataRequirement[domain_sub_requirement])</f>
        <v>Service:Support setting:Residential care home</v>
      </c>
      <c r="B1372" s="1" t="str">
        <f>_xlfn.XLOOKUP(tblRequirementMeasureXref[[#This Row],[dm_id]],tblDataRequirement[dm_id],tblDataRequirement[dm_phase])</f>
        <v>operate</v>
      </c>
      <c r="C1372" s="1">
        <v>41</v>
      </c>
      <c r="D1372" s="1">
        <v>380</v>
      </c>
      <c r="G1372" s="1"/>
      <c r="H1372" s="62" t="str">
        <f>_xlfn.XLOOKUP(tblRequirementMeasureXref[[#This Row],[msr_id]],tblMeasure[msr_id],tblMeasure[msr_table])</f>
        <v>Res Adm Performance</v>
      </c>
      <c r="I1372" s="22" t="str">
        <f>_xlfn.XLOOKUP(tblRequirementMeasureXref[[#This Row],[msr_id]],tblMeasure[msr_id],tblMeasure[msr_name])</f>
        <v>2017/18 Residential Admissions performance, the baseline (16/17) and target figures</v>
      </c>
      <c r="J1372" s="22" t="str">
        <f>_xlfn.XLOOKUP(tblRequirementMeasureXref[[#This Row],[msr_id]],tblMeasure[msr_id],tblMeasure[primary_dimensions])</f>
        <v>residential admissions</v>
      </c>
      <c r="K1372" s="22" t="str">
        <f>_xlfn.XLOOKUP(tblRequirementMeasureXref[[#This Row],[msr_id]],tblMeasure[msr_id],tblMeasure[msr_min_geo_resolution])</f>
        <v>LA/HWB</v>
      </c>
      <c r="L1372" s="22" t="str">
        <f>_xlfn.XLOOKUP(tblRequirementMeasureXref[[#This Row],[msr_id]],tblMeasure[msr_id],tblMeasure[src_name])</f>
        <v>Better Care Fund: Data Collection and Performance Report</v>
      </c>
    </row>
    <row r="1373" spans="1:12" x14ac:dyDescent="0.15">
      <c r="A1373" s="1" t="str">
        <f>_xlfn.XLOOKUP(tblRequirementMeasureXref[[#This Row],[dm_id]],tblDataRequirement[dm_id],tblDataRequirement[domain_sub_requirement])</f>
        <v>Service:Support setting:Nursing home</v>
      </c>
      <c r="B1373" s="1" t="str">
        <f>_xlfn.XLOOKUP(tblRequirementMeasureXref[[#This Row],[dm_id]],tblDataRequirement[dm_id],tblDataRequirement[dm_phase])</f>
        <v>operate</v>
      </c>
      <c r="C1373" s="1">
        <v>42</v>
      </c>
      <c r="D1373" s="1">
        <v>380</v>
      </c>
      <c r="G1373" s="1"/>
      <c r="H1373" s="62" t="str">
        <f>_xlfn.XLOOKUP(tblRequirementMeasureXref[[#This Row],[msr_id]],tblMeasure[msr_id],tblMeasure[msr_table])</f>
        <v>Res Adm Performance</v>
      </c>
      <c r="I1373" s="22" t="str">
        <f>_xlfn.XLOOKUP(tblRequirementMeasureXref[[#This Row],[msr_id]],tblMeasure[msr_id],tblMeasure[msr_name])</f>
        <v>2017/18 Residential Admissions performance, the baseline (16/17) and target figures</v>
      </c>
      <c r="J1373" s="22" t="str">
        <f>_xlfn.XLOOKUP(tblRequirementMeasureXref[[#This Row],[msr_id]],tblMeasure[msr_id],tblMeasure[primary_dimensions])</f>
        <v>residential admissions</v>
      </c>
      <c r="K1373" s="22" t="str">
        <f>_xlfn.XLOOKUP(tblRequirementMeasureXref[[#This Row],[msr_id]],tblMeasure[msr_id],tblMeasure[msr_min_geo_resolution])</f>
        <v>LA/HWB</v>
      </c>
      <c r="L1373" s="22" t="str">
        <f>_xlfn.XLOOKUP(tblRequirementMeasureXref[[#This Row],[msr_id]],tblMeasure[msr_id],tblMeasure[src_name])</f>
        <v>Better Care Fund: Data Collection and Performance Report</v>
      </c>
    </row>
    <row r="1374" spans="1:12" x14ac:dyDescent="0.15">
      <c r="A1374" s="1" t="str">
        <f>_xlfn.XLOOKUP(tblRequirementMeasureXref[[#This Row],[dm_id]],tblDataRequirement[dm_id],tblDataRequirement[domain_sub_requirement])</f>
        <v>Service:Support type:Reablement / ST-MAX</v>
      </c>
      <c r="B1374" s="1" t="str">
        <f>_xlfn.XLOOKUP(tblRequirementMeasureXref[[#This Row],[dm_id]],tblDataRequirement[dm_id],tblDataRequirement[dm_phase])</f>
        <v>operate</v>
      </c>
      <c r="C1374" s="1">
        <v>46</v>
      </c>
      <c r="D1374" s="1">
        <v>381</v>
      </c>
      <c r="G1374" s="1"/>
      <c r="H1374" s="62" t="str">
        <f>_xlfn.XLOOKUP(tblRequirementMeasureXref[[#This Row],[msr_id]],tblMeasure[msr_id],tblMeasure[msr_table])</f>
        <v>Reablement Performance</v>
      </c>
      <c r="I1374" s="22" t="str">
        <f>_xlfn.XLOOKUP(tblRequirementMeasureXref[[#This Row],[msr_id]],tblMeasure[msr_id],tblMeasure[msr_name])</f>
        <v>2017/18 Reablement performance, the baseline (16/17) and target figures</v>
      </c>
      <c r="J1374" s="22" t="str">
        <f>_xlfn.XLOOKUP(tblRequirementMeasureXref[[#This Row],[msr_id]],tblMeasure[msr_id],tblMeasure[primary_dimensions])</f>
        <v>reablement</v>
      </c>
      <c r="K1374" s="22" t="str">
        <f>_xlfn.XLOOKUP(tblRequirementMeasureXref[[#This Row],[msr_id]],tblMeasure[msr_id],tblMeasure[msr_min_geo_resolution])</f>
        <v>LA/HWB</v>
      </c>
      <c r="L1374" s="22" t="str">
        <f>_xlfn.XLOOKUP(tblRequirementMeasureXref[[#This Row],[msr_id]],tblMeasure[msr_id],tblMeasure[src_name])</f>
        <v>Better Care Fund: Data Collection and Performance Report</v>
      </c>
    </row>
    <row r="1375" spans="1:12" x14ac:dyDescent="0.15">
      <c r="A1375" s="1" t="str">
        <f>_xlfn.XLOOKUP(tblRequirementMeasureXref[[#This Row],[dm_id]],tblDataRequirement[dm_id],tblDataRequirement[domain_sub_requirement])</f>
        <v>Funders:Budget:Local authorities</v>
      </c>
      <c r="B1375" s="1" t="str">
        <f>_xlfn.XLOOKUP(tblRequirementMeasureXref[[#This Row],[dm_id]],tblDataRequirement[dm_id],tblDataRequirement[dm_phase])</f>
        <v>supply</v>
      </c>
      <c r="C1375" s="1">
        <v>1</v>
      </c>
      <c r="D1375" s="1">
        <v>383</v>
      </c>
      <c r="G1375" s="1"/>
      <c r="H1375" s="62" t="str">
        <f>_xlfn.XLOOKUP(tblRequirementMeasureXref[[#This Row],[msr_id]],tblMeasure[msr_id],tblMeasure[msr_table])</f>
        <v>Table A</v>
      </c>
      <c r="I1375" s="22" t="str">
        <f>_xlfn.XLOOKUP(tblRequirementMeasureXref[[#This Row],[msr_id]],tblMeasure[msr_id],tblMeasure[msr_name])</f>
        <v>Distribution of 2018-19 additional iBCF funding across the three purposes for which it was intended, Health and Wellbeing Board returns (Quarter 4 / Year-End 2018-19)</v>
      </c>
      <c r="J1375" s="22" t="str">
        <f>_xlfn.XLOOKUP(tblRequirementMeasureXref[[#This Row],[msr_id]],tblMeasure[msr_id],tblMeasure[primary_dimensions])</f>
        <v>funding allocation</v>
      </c>
      <c r="K1375" s="22" t="str">
        <f>_xlfn.XLOOKUP(tblRequirementMeasureXref[[#This Row],[msr_id]],tblMeasure[msr_id],tblMeasure[msr_min_geo_resolution])</f>
        <v>LA/HWB</v>
      </c>
      <c r="L1375" s="22" t="str">
        <f>_xlfn.XLOOKUP(tblRequirementMeasureXref[[#This Row],[msr_id]],tblMeasure[msr_id],tblMeasure[src_name])</f>
        <v>Improved Better Care Fund (iBCF): Quarterly and year-end reporting</v>
      </c>
    </row>
    <row r="1376" spans="1:12" x14ac:dyDescent="0.15">
      <c r="A1376" s="1" t="str">
        <f>_xlfn.XLOOKUP(tblRequirementMeasureXref[[#This Row],[dm_id]],tblDataRequirement[dm_id],tblDataRequirement[domain_sub_requirement])</f>
        <v>Service:Integration:NHS secondary care</v>
      </c>
      <c r="B1376" s="1" t="str">
        <f>_xlfn.XLOOKUP(tblRequirementMeasureXref[[#This Row],[dm_id]],tblDataRequirement[dm_id],tblDataRequirement[dm_phase])</f>
        <v>operate</v>
      </c>
      <c r="C1376" s="1">
        <v>37</v>
      </c>
      <c r="D1376" s="1">
        <v>383</v>
      </c>
      <c r="G1376" s="1"/>
      <c r="H1376" s="62" t="str">
        <f>_xlfn.XLOOKUP(tblRequirementMeasureXref[[#This Row],[msr_id]],tblMeasure[msr_id],tblMeasure[msr_table])</f>
        <v>Table A</v>
      </c>
      <c r="I1376" s="22" t="str">
        <f>_xlfn.XLOOKUP(tblRequirementMeasureXref[[#This Row],[msr_id]],tblMeasure[msr_id],tblMeasure[msr_name])</f>
        <v>Distribution of 2018-19 additional iBCF funding across the three purposes for which it was intended, Health and Wellbeing Board returns (Quarter 4 / Year-End 2018-19)</v>
      </c>
      <c r="J1376" s="22" t="str">
        <f>_xlfn.XLOOKUP(tblRequirementMeasureXref[[#This Row],[msr_id]],tblMeasure[msr_id],tblMeasure[primary_dimensions])</f>
        <v>funding allocation</v>
      </c>
      <c r="K1376" s="22" t="str">
        <f>_xlfn.XLOOKUP(tblRequirementMeasureXref[[#This Row],[msr_id]],tblMeasure[msr_id],tblMeasure[msr_min_geo_resolution])</f>
        <v>LA/HWB</v>
      </c>
      <c r="L1376" s="22" t="str">
        <f>_xlfn.XLOOKUP(tblRequirementMeasureXref[[#This Row],[msr_id]],tblMeasure[msr_id],tblMeasure[src_name])</f>
        <v>Improved Better Care Fund (iBCF): Quarterly and year-end reporting</v>
      </c>
    </row>
    <row r="1377" spans="1:12" x14ac:dyDescent="0.15">
      <c r="A1377" s="1" t="str">
        <f>_xlfn.XLOOKUP(tblRequirementMeasureXref[[#This Row],[dm_id]],tblDataRequirement[dm_id],tblDataRequirement[domain_sub_requirement])</f>
        <v>Service:Cost:Unit cost for local authority-funded care</v>
      </c>
      <c r="B1377" s="1" t="str">
        <f>_xlfn.XLOOKUP(tblRequirementMeasureXref[[#This Row],[dm_id]],tblDataRequirement[dm_id],tblDataRequirement[dm_phase])</f>
        <v>operate</v>
      </c>
      <c r="C1377" s="1">
        <v>34</v>
      </c>
      <c r="D1377" s="1">
        <v>384</v>
      </c>
      <c r="G1377" s="1"/>
      <c r="H1377" s="62" t="str">
        <f>_xlfn.XLOOKUP(tblRequirementMeasureXref[[#This Row],[msr_id]],tblMeasure[msr_id],tblMeasure[msr_table])</f>
        <v>Table B</v>
      </c>
      <c r="I1377" s="22" t="str">
        <f>_xlfn.XLOOKUP(tblRequirementMeasureXref[[#This Row],[msr_id]],tblMeasure[msr_id],tblMeasure[msr_name])</f>
        <v>Planned impact on fees paid to external care providers, Health and Wellbeing Board returns (Quarter 2 2018-19)</v>
      </c>
      <c r="J1377" s="22" t="str">
        <f>_xlfn.XLOOKUP(tblRequirementMeasureXref[[#This Row],[msr_id]],tblMeasure[msr_id],tblMeasure[primary_dimensions])</f>
        <v>unit cost, home care, care homes, nurisng homes</v>
      </c>
      <c r="K1377" s="22" t="str">
        <f>_xlfn.XLOOKUP(tblRequirementMeasureXref[[#This Row],[msr_id]],tblMeasure[msr_id],tblMeasure[msr_min_geo_resolution])</f>
        <v>LA/HWB</v>
      </c>
      <c r="L1377" s="22" t="str">
        <f>_xlfn.XLOOKUP(tblRequirementMeasureXref[[#This Row],[msr_id]],tblMeasure[msr_id],tblMeasure[src_name])</f>
        <v>Improved Better Care Fund (iBCF): Quarterly and year-end reporting</v>
      </c>
    </row>
    <row r="1378" spans="1:12" x14ac:dyDescent="0.15">
      <c r="A1378" s="1" t="str">
        <f>_xlfn.XLOOKUP(tblRequirementMeasureXref[[#This Row],[dm_id]],tblDataRequirement[dm_id],tblDataRequirement[domain_sub_requirement])</f>
        <v>Service:Support setting:Home</v>
      </c>
      <c r="B1378" s="1" t="str">
        <f>_xlfn.XLOOKUP(tblRequirementMeasureXref[[#This Row],[dm_id]],tblDataRequirement[dm_id],tblDataRequirement[dm_phase])</f>
        <v>operate</v>
      </c>
      <c r="C1378" s="1">
        <v>40</v>
      </c>
      <c r="D1378" s="1">
        <v>384</v>
      </c>
      <c r="G1378" s="1"/>
      <c r="H1378" s="62" t="str">
        <f>_xlfn.XLOOKUP(tblRequirementMeasureXref[[#This Row],[msr_id]],tblMeasure[msr_id],tblMeasure[msr_table])</f>
        <v>Table B</v>
      </c>
      <c r="I1378" s="22" t="str">
        <f>_xlfn.XLOOKUP(tblRequirementMeasureXref[[#This Row],[msr_id]],tblMeasure[msr_id],tblMeasure[msr_name])</f>
        <v>Planned impact on fees paid to external care providers, Health and Wellbeing Board returns (Quarter 2 2018-19)</v>
      </c>
      <c r="J1378" s="22" t="str">
        <f>_xlfn.XLOOKUP(tblRequirementMeasureXref[[#This Row],[msr_id]],tblMeasure[msr_id],tblMeasure[primary_dimensions])</f>
        <v>unit cost, home care, care homes, nurisng homes</v>
      </c>
      <c r="K1378" s="22" t="str">
        <f>_xlfn.XLOOKUP(tblRequirementMeasureXref[[#This Row],[msr_id]],tblMeasure[msr_id],tblMeasure[msr_min_geo_resolution])</f>
        <v>LA/HWB</v>
      </c>
      <c r="L1378" s="22" t="str">
        <f>_xlfn.XLOOKUP(tblRequirementMeasureXref[[#This Row],[msr_id]],tblMeasure[msr_id],tblMeasure[src_name])</f>
        <v>Improved Better Care Fund (iBCF): Quarterly and year-end reporting</v>
      </c>
    </row>
    <row r="1379" spans="1:12" x14ac:dyDescent="0.15">
      <c r="A1379" s="1" t="str">
        <f>_xlfn.XLOOKUP(tblRequirementMeasureXref[[#This Row],[dm_id]],tblDataRequirement[dm_id],tblDataRequirement[domain_sub_requirement])</f>
        <v>Service:Support setting:Residential care home</v>
      </c>
      <c r="B1379" s="1" t="str">
        <f>_xlfn.XLOOKUP(tblRequirementMeasureXref[[#This Row],[dm_id]],tblDataRequirement[dm_id],tblDataRequirement[dm_phase])</f>
        <v>operate</v>
      </c>
      <c r="C1379" s="1">
        <v>41</v>
      </c>
      <c r="D1379" s="1">
        <v>384</v>
      </c>
      <c r="G1379" s="1"/>
      <c r="H1379" s="62" t="str">
        <f>_xlfn.XLOOKUP(tblRequirementMeasureXref[[#This Row],[msr_id]],tblMeasure[msr_id],tblMeasure[msr_table])</f>
        <v>Table B</v>
      </c>
      <c r="I1379" s="22" t="str">
        <f>_xlfn.XLOOKUP(tblRequirementMeasureXref[[#This Row],[msr_id]],tblMeasure[msr_id],tblMeasure[msr_name])</f>
        <v>Planned impact on fees paid to external care providers, Health and Wellbeing Board returns (Quarter 2 2018-19)</v>
      </c>
      <c r="J1379" s="22" t="str">
        <f>_xlfn.XLOOKUP(tblRequirementMeasureXref[[#This Row],[msr_id]],tblMeasure[msr_id],tblMeasure[primary_dimensions])</f>
        <v>unit cost, home care, care homes, nurisng homes</v>
      </c>
      <c r="K1379" s="22" t="str">
        <f>_xlfn.XLOOKUP(tblRequirementMeasureXref[[#This Row],[msr_id]],tblMeasure[msr_id],tblMeasure[msr_min_geo_resolution])</f>
        <v>LA/HWB</v>
      </c>
      <c r="L1379" s="22" t="str">
        <f>_xlfn.XLOOKUP(tblRequirementMeasureXref[[#This Row],[msr_id]],tblMeasure[msr_id],tblMeasure[src_name])</f>
        <v>Improved Better Care Fund (iBCF): Quarterly and year-end reporting</v>
      </c>
    </row>
    <row r="1380" spans="1:12" x14ac:dyDescent="0.15">
      <c r="A1380" s="1" t="str">
        <f>_xlfn.XLOOKUP(tblRequirementMeasureXref[[#This Row],[dm_id]],tblDataRequirement[dm_id],tblDataRequirement[domain_sub_requirement])</f>
        <v>Service:Support setting:Nursing home</v>
      </c>
      <c r="B1380" s="1" t="str">
        <f>_xlfn.XLOOKUP(tblRequirementMeasureXref[[#This Row],[dm_id]],tblDataRequirement[dm_id],tblDataRequirement[dm_phase])</f>
        <v>operate</v>
      </c>
      <c r="C1380" s="1">
        <v>42</v>
      </c>
      <c r="D1380" s="1">
        <v>384</v>
      </c>
      <c r="G1380" s="1"/>
      <c r="H1380" s="62" t="str">
        <f>_xlfn.XLOOKUP(tblRequirementMeasureXref[[#This Row],[msr_id]],tblMeasure[msr_id],tblMeasure[msr_table])</f>
        <v>Table B</v>
      </c>
      <c r="I1380" s="22" t="str">
        <f>_xlfn.XLOOKUP(tblRequirementMeasureXref[[#This Row],[msr_id]],tblMeasure[msr_id],tblMeasure[msr_name])</f>
        <v>Planned impact on fees paid to external care providers, Health and Wellbeing Board returns (Quarter 2 2018-19)</v>
      </c>
      <c r="J1380" s="22" t="str">
        <f>_xlfn.XLOOKUP(tblRequirementMeasureXref[[#This Row],[msr_id]],tblMeasure[msr_id],tblMeasure[primary_dimensions])</f>
        <v>unit cost, home care, care homes, nurisng homes</v>
      </c>
      <c r="K1380" s="22" t="str">
        <f>_xlfn.XLOOKUP(tblRequirementMeasureXref[[#This Row],[msr_id]],tblMeasure[msr_id],tblMeasure[msr_min_geo_resolution])</f>
        <v>LA/HWB</v>
      </c>
      <c r="L1380" s="22" t="str">
        <f>_xlfn.XLOOKUP(tblRequirementMeasureXref[[#This Row],[msr_id]],tblMeasure[msr_id],tblMeasure[src_name])</f>
        <v>Improved Better Care Fund (iBCF): Quarterly and year-end reporting</v>
      </c>
    </row>
    <row r="1381" spans="1:12" x14ac:dyDescent="0.15">
      <c r="A1381" s="1" t="str">
        <f>_xlfn.XLOOKUP(tblRequirementMeasureXref[[#This Row],[dm_id]],tblDataRequirement[dm_id],tblDataRequirement[domain_sub_requirement])</f>
        <v>Service:Support setting:Home</v>
      </c>
      <c r="B1381" s="1" t="str">
        <f>_xlfn.XLOOKUP(tblRequirementMeasureXref[[#This Row],[dm_id]],tblDataRequirement[dm_id],tblDataRequirement[dm_phase])</f>
        <v>operate</v>
      </c>
      <c r="C1381" s="1">
        <v>40</v>
      </c>
      <c r="D1381" s="1">
        <v>385</v>
      </c>
      <c r="G1381" s="1"/>
      <c r="H1381" s="62" t="str">
        <f>_xlfn.XLOOKUP(tblRequirementMeasureXref[[#This Row],[msr_id]],tblMeasure[msr_id],tblMeasure[msr_table])</f>
        <v>Table C</v>
      </c>
      <c r="I1381" s="22" t="str">
        <f>_xlfn.XLOOKUP(tblRequirementMeasureXref[[#This Row],[msr_id]],tblMeasure[msr_id],tblMeasure[msr_name])</f>
        <v>Additional home care packages, hours of home care and care home placements provided as a direct result of the additional iBCF funding allocation for 2018-19, Health and Wellbeing Board returns (Quarter 4/Year-End 2018-19)</v>
      </c>
      <c r="J1381" s="22" t="str">
        <f>_xlfn.XLOOKUP(tblRequirementMeasureXref[[#This Row],[msr_id]],tblMeasure[msr_id],tblMeasure[primary_dimensions])</f>
        <v>care packages, hours of care, care home placements</v>
      </c>
      <c r="K1381" s="22" t="str">
        <f>_xlfn.XLOOKUP(tblRequirementMeasureXref[[#This Row],[msr_id]],tblMeasure[msr_id],tblMeasure[msr_min_geo_resolution])</f>
        <v>LA/HWB</v>
      </c>
      <c r="L1381" s="22" t="str">
        <f>_xlfn.XLOOKUP(tblRequirementMeasureXref[[#This Row],[msr_id]],tblMeasure[msr_id],tblMeasure[src_name])</f>
        <v>Improved Better Care Fund (iBCF): Quarterly and year-end reporting</v>
      </c>
    </row>
    <row r="1382" spans="1:12" x14ac:dyDescent="0.15">
      <c r="A1382" s="1" t="str">
        <f>_xlfn.XLOOKUP(tblRequirementMeasureXref[[#This Row],[dm_id]],tblDataRequirement[dm_id],tblDataRequirement[domain_sub_requirement])</f>
        <v>Service:Support setting:Residential care home</v>
      </c>
      <c r="B1382" s="1" t="str">
        <f>_xlfn.XLOOKUP(tblRequirementMeasureXref[[#This Row],[dm_id]],tblDataRequirement[dm_id],tblDataRequirement[dm_phase])</f>
        <v>operate</v>
      </c>
      <c r="C1382" s="1">
        <v>41</v>
      </c>
      <c r="D1382" s="1">
        <v>385</v>
      </c>
      <c r="G1382" s="1"/>
      <c r="H1382" s="62" t="str">
        <f>_xlfn.XLOOKUP(tblRequirementMeasureXref[[#This Row],[msr_id]],tblMeasure[msr_id],tblMeasure[msr_table])</f>
        <v>Table C</v>
      </c>
      <c r="I1382" s="22" t="str">
        <f>_xlfn.XLOOKUP(tblRequirementMeasureXref[[#This Row],[msr_id]],tblMeasure[msr_id],tblMeasure[msr_name])</f>
        <v>Additional home care packages, hours of home care and care home placements provided as a direct result of the additional iBCF funding allocation for 2018-19, Health and Wellbeing Board returns (Quarter 4/Year-End 2018-19)</v>
      </c>
      <c r="J1382" s="22" t="str">
        <f>_xlfn.XLOOKUP(tblRequirementMeasureXref[[#This Row],[msr_id]],tblMeasure[msr_id],tblMeasure[primary_dimensions])</f>
        <v>care packages, hours of care, care home placements</v>
      </c>
      <c r="K1382" s="22" t="str">
        <f>_xlfn.XLOOKUP(tblRequirementMeasureXref[[#This Row],[msr_id]],tblMeasure[msr_id],tblMeasure[msr_min_geo_resolution])</f>
        <v>LA/HWB</v>
      </c>
      <c r="L1382" s="22" t="str">
        <f>_xlfn.XLOOKUP(tblRequirementMeasureXref[[#This Row],[msr_id]],tblMeasure[msr_id],tblMeasure[src_name])</f>
        <v>Improved Better Care Fund (iBCF): Quarterly and year-end reporting</v>
      </c>
    </row>
    <row r="1383" spans="1:12" x14ac:dyDescent="0.15">
      <c r="A1383" s="1" t="str">
        <f>_xlfn.XLOOKUP(tblRequirementMeasureXref[[#This Row],[dm_id]],tblDataRequirement[dm_id],tblDataRequirement[domain_sub_requirement])</f>
        <v xml:space="preserve">Service:Care models:Care packages </v>
      </c>
      <c r="B1383" s="1" t="str">
        <f>_xlfn.XLOOKUP(tblRequirementMeasureXref[[#This Row],[dm_id]],tblDataRequirement[dm_id],tblDataRequirement[dm_phase])</f>
        <v>operate</v>
      </c>
      <c r="C1383" s="1">
        <v>26</v>
      </c>
      <c r="D1383" s="1">
        <v>385</v>
      </c>
      <c r="G1383" s="1"/>
      <c r="H1383" s="62" t="str">
        <f>_xlfn.XLOOKUP(tblRequirementMeasureXref[[#This Row],[msr_id]],tblMeasure[msr_id],tblMeasure[msr_table])</f>
        <v>Table C</v>
      </c>
      <c r="I1383" s="22" t="str">
        <f>_xlfn.XLOOKUP(tblRequirementMeasureXref[[#This Row],[msr_id]],tblMeasure[msr_id],tblMeasure[msr_name])</f>
        <v>Additional home care packages, hours of home care and care home placements provided as a direct result of the additional iBCF funding allocation for 2018-19, Health and Wellbeing Board returns (Quarter 4/Year-End 2018-19)</v>
      </c>
      <c r="J1383" s="22" t="str">
        <f>_xlfn.XLOOKUP(tblRequirementMeasureXref[[#This Row],[msr_id]],tblMeasure[msr_id],tblMeasure[primary_dimensions])</f>
        <v>care packages, hours of care, care home placements</v>
      </c>
      <c r="K1383" s="22" t="str">
        <f>_xlfn.XLOOKUP(tblRequirementMeasureXref[[#This Row],[msr_id]],tblMeasure[msr_id],tblMeasure[msr_min_geo_resolution])</f>
        <v>LA/HWB</v>
      </c>
      <c r="L1383" s="22" t="str">
        <f>_xlfn.XLOOKUP(tblRequirementMeasureXref[[#This Row],[msr_id]],tblMeasure[msr_id],tblMeasure[src_name])</f>
        <v>Improved Better Care Fund (iBCF): Quarterly and year-end reporting</v>
      </c>
    </row>
    <row r="1384" spans="1:12" x14ac:dyDescent="0.15">
      <c r="A1384" s="1" t="str">
        <f>_xlfn.XLOOKUP(tblRequirementMeasureXref[[#This Row],[dm_id]],tblDataRequirement[dm_id],tblDataRequirement[domain_sub_requirement])</f>
        <v>Funders:Expenditure:Local authorities</v>
      </c>
      <c r="B1384" s="1" t="str">
        <f>_xlfn.XLOOKUP(tblRequirementMeasureXref[[#This Row],[dm_id]],tblDataRequirement[dm_id],tblDataRequirement[dm_phase])</f>
        <v>supply</v>
      </c>
      <c r="C1384" s="1">
        <v>3</v>
      </c>
      <c r="D1384" s="1">
        <v>389</v>
      </c>
      <c r="G1384" s="1"/>
      <c r="H1384" s="62" t="str">
        <f>_xlfn.XLOOKUP(tblRequirementMeasureXref[[#This Row],[msr_id]],tblMeasure[msr_id],tblMeasure[msr_table])</f>
        <v>Table 1</v>
      </c>
      <c r="I1384" s="22" t="str">
        <f>_xlfn.XLOOKUP(tblRequirementMeasureXref[[#This Row],[msr_id]],tblMeasure[msr_id],tblMeasure[msr_name])</f>
        <v>Number of deferred payment agreements (DPAs), 2018-19</v>
      </c>
      <c r="J1384" s="22" t="str">
        <f>_xlfn.XLOOKUP(tblRequirementMeasureXref[[#This Row],[msr_id]],tblMeasure[msr_id],tblMeasure[primary_dimensions])</f>
        <v>DPAs, status</v>
      </c>
      <c r="K1384" s="22" t="str">
        <f>_xlfn.XLOOKUP(tblRequirementMeasureXref[[#This Row],[msr_id]],tblMeasure[msr_id],tblMeasure[msr_min_geo_resolution])</f>
        <v>LA</v>
      </c>
      <c r="L1384" s="22" t="str">
        <f>_xlfn.XLOOKUP(tblRequirementMeasureXref[[#This Row],[msr_id]],tblMeasure[msr_id],tblMeasure[src_name])</f>
        <v>Deferred Payment Agreements</v>
      </c>
    </row>
    <row r="1385" spans="1:12" x14ac:dyDescent="0.15">
      <c r="A1385" s="1" t="str">
        <f>_xlfn.XLOOKUP(tblRequirementMeasureXref[[#This Row],[dm_id]],tblDataRequirement[dm_id],tblDataRequirement[domain_sub_requirement])</f>
        <v>Funders:Expenditure:Local authority clients</v>
      </c>
      <c r="B1385" s="1" t="str">
        <f>_xlfn.XLOOKUP(tblRequirementMeasureXref[[#This Row],[dm_id]],tblDataRequirement[dm_id],tblDataRequirement[dm_phase])</f>
        <v>supply</v>
      </c>
      <c r="C1385" s="1">
        <v>7</v>
      </c>
      <c r="D1385" s="1">
        <v>389</v>
      </c>
      <c r="G1385" s="1"/>
      <c r="H1385" s="62" t="str">
        <f>_xlfn.XLOOKUP(tblRequirementMeasureXref[[#This Row],[msr_id]],tblMeasure[msr_id],tblMeasure[msr_table])</f>
        <v>Table 1</v>
      </c>
      <c r="I1385" s="22" t="str">
        <f>_xlfn.XLOOKUP(tblRequirementMeasureXref[[#This Row],[msr_id]],tblMeasure[msr_id],tblMeasure[msr_name])</f>
        <v>Number of deferred payment agreements (DPAs), 2018-19</v>
      </c>
      <c r="J1385" s="22" t="str">
        <f>_xlfn.XLOOKUP(tblRequirementMeasureXref[[#This Row],[msr_id]],tblMeasure[msr_id],tblMeasure[primary_dimensions])</f>
        <v>DPAs, status</v>
      </c>
      <c r="K1385" s="22" t="str">
        <f>_xlfn.XLOOKUP(tblRequirementMeasureXref[[#This Row],[msr_id]],tblMeasure[msr_id],tblMeasure[msr_min_geo_resolution])</f>
        <v>LA</v>
      </c>
      <c r="L1385" s="22" t="str">
        <f>_xlfn.XLOOKUP(tblRequirementMeasureXref[[#This Row],[msr_id]],tblMeasure[msr_id],tblMeasure[src_name])</f>
        <v>Deferred Payment Agreements</v>
      </c>
    </row>
    <row r="1386" spans="1:12" x14ac:dyDescent="0.15">
      <c r="A1386" s="1" t="str">
        <f>_xlfn.XLOOKUP(tblRequirementMeasureXref[[#This Row],[dm_id]],tblDataRequirement[dm_id],tblDataRequirement[domain_sub_requirement])</f>
        <v>Funders:Income:Local authority</v>
      </c>
      <c r="B1386" s="1" t="str">
        <f>_xlfn.XLOOKUP(tblRequirementMeasureXref[[#This Row],[dm_id]],tblDataRequirement[dm_id],tblDataRequirement[dm_phase])</f>
        <v>supply</v>
      </c>
      <c r="C1386" s="1">
        <v>8</v>
      </c>
      <c r="D1386" s="1">
        <v>389</v>
      </c>
      <c r="G1386" s="1"/>
      <c r="H1386" s="62" t="str">
        <f>_xlfn.XLOOKUP(tblRequirementMeasureXref[[#This Row],[msr_id]],tblMeasure[msr_id],tblMeasure[msr_table])</f>
        <v>Table 1</v>
      </c>
      <c r="I1386" s="22" t="str">
        <f>_xlfn.XLOOKUP(tblRequirementMeasureXref[[#This Row],[msr_id]],tblMeasure[msr_id],tblMeasure[msr_name])</f>
        <v>Number of deferred payment agreements (DPAs), 2018-19</v>
      </c>
      <c r="J1386" s="22" t="str">
        <f>_xlfn.XLOOKUP(tblRequirementMeasureXref[[#This Row],[msr_id]],tblMeasure[msr_id],tblMeasure[primary_dimensions])</f>
        <v>DPAs, status</v>
      </c>
      <c r="K1386" s="22" t="str">
        <f>_xlfn.XLOOKUP(tblRequirementMeasureXref[[#This Row],[msr_id]],tblMeasure[msr_id],tblMeasure[msr_min_geo_resolution])</f>
        <v>LA</v>
      </c>
      <c r="L1386" s="22" t="str">
        <f>_xlfn.XLOOKUP(tblRequirementMeasureXref[[#This Row],[msr_id]],tblMeasure[msr_id],tblMeasure[src_name])</f>
        <v>Deferred Payment Agreements</v>
      </c>
    </row>
    <row r="1387" spans="1:12" x14ac:dyDescent="0.15">
      <c r="A1387" s="1" t="str">
        <f>_xlfn.XLOOKUP(tblRequirementMeasureXref[[#This Row],[dm_id]],tblDataRequirement[dm_id],tblDataRequirement[domain_sub_requirement])</f>
        <v>Users:Expenditure:Self-funders</v>
      </c>
      <c r="B1387" s="1" t="str">
        <f>_xlfn.XLOOKUP(tblRequirementMeasureXref[[#This Row],[dm_id]],tblDataRequirement[dm_id],tblDataRequirement[dm_phase])</f>
        <v>supply</v>
      </c>
      <c r="C1387" s="1">
        <v>5</v>
      </c>
      <c r="D1387" s="1">
        <v>389</v>
      </c>
      <c r="G1387" s="1"/>
      <c r="H1387" s="62" t="str">
        <f>_xlfn.XLOOKUP(tblRequirementMeasureXref[[#This Row],[msr_id]],tblMeasure[msr_id],tblMeasure[msr_table])</f>
        <v>Table 1</v>
      </c>
      <c r="I1387" s="22" t="str">
        <f>_xlfn.XLOOKUP(tblRequirementMeasureXref[[#This Row],[msr_id]],tblMeasure[msr_id],tblMeasure[msr_name])</f>
        <v>Number of deferred payment agreements (DPAs), 2018-19</v>
      </c>
      <c r="J1387" s="22" t="str">
        <f>_xlfn.XLOOKUP(tblRequirementMeasureXref[[#This Row],[msr_id]],tblMeasure[msr_id],tblMeasure[primary_dimensions])</f>
        <v>DPAs, status</v>
      </c>
      <c r="K1387" s="22" t="str">
        <f>_xlfn.XLOOKUP(tblRequirementMeasureXref[[#This Row],[msr_id]],tblMeasure[msr_id],tblMeasure[msr_min_geo_resolution])</f>
        <v>LA</v>
      </c>
      <c r="L1387" s="22" t="str">
        <f>_xlfn.XLOOKUP(tblRequirementMeasureXref[[#This Row],[msr_id]],tblMeasure[msr_id],tblMeasure[src_name])</f>
        <v>Deferred Payment Agreements</v>
      </c>
    </row>
    <row r="1388" spans="1:12" x14ac:dyDescent="0.15">
      <c r="A1388" s="1" t="str">
        <f>_xlfn.XLOOKUP(tblRequirementMeasureXref[[#This Row],[dm_id]],tblDataRequirement[dm_id],tblDataRequirement[domain_sub_requirement])</f>
        <v>Funders:Expenditure:Local authorities</v>
      </c>
      <c r="B1388" s="1" t="str">
        <f>_xlfn.XLOOKUP(tblRequirementMeasureXref[[#This Row],[dm_id]],tblDataRequirement[dm_id],tblDataRequirement[dm_phase])</f>
        <v>supply</v>
      </c>
      <c r="C1388" s="1">
        <v>3</v>
      </c>
      <c r="D1388" s="1">
        <v>390</v>
      </c>
      <c r="G1388" s="1"/>
      <c r="H1388" s="62" t="str">
        <f>_xlfn.XLOOKUP(tblRequirementMeasureXref[[#This Row],[msr_id]],tblMeasure[msr_id],tblMeasure[msr_table])</f>
        <v>Table 2</v>
      </c>
      <c r="I1388" s="22" t="str">
        <f>_xlfn.XLOOKUP(tblRequirementMeasureXref[[#This Row],[msr_id]],tblMeasure[msr_id],tblMeasure[msr_name])</f>
        <v>Value of deferred payment agreements (DPAs), 2018-19</v>
      </c>
      <c r="J1388" s="22" t="str">
        <f>_xlfn.XLOOKUP(tblRequirementMeasureXref[[#This Row],[msr_id]],tblMeasure[msr_id],tblMeasure[primary_dimensions])</f>
        <v>DPA value</v>
      </c>
      <c r="K1388" s="22" t="str">
        <f>_xlfn.XLOOKUP(tblRequirementMeasureXref[[#This Row],[msr_id]],tblMeasure[msr_id],tblMeasure[msr_min_geo_resolution])</f>
        <v>LA</v>
      </c>
      <c r="L1388" s="22" t="str">
        <f>_xlfn.XLOOKUP(tblRequirementMeasureXref[[#This Row],[msr_id]],tblMeasure[msr_id],tblMeasure[src_name])</f>
        <v>Deferred Payment Agreements</v>
      </c>
    </row>
    <row r="1389" spans="1:12" x14ac:dyDescent="0.15">
      <c r="A1389" s="1" t="str">
        <f>_xlfn.XLOOKUP(tblRequirementMeasureXref[[#This Row],[dm_id]],tblDataRequirement[dm_id],tblDataRequirement[domain_sub_requirement])</f>
        <v>Funders:Expenditure:Local authority clients</v>
      </c>
      <c r="B1389" s="1" t="str">
        <f>_xlfn.XLOOKUP(tblRequirementMeasureXref[[#This Row],[dm_id]],tblDataRequirement[dm_id],tblDataRequirement[dm_phase])</f>
        <v>supply</v>
      </c>
      <c r="C1389" s="1">
        <v>7</v>
      </c>
      <c r="D1389" s="1">
        <v>390</v>
      </c>
      <c r="G1389" s="1"/>
      <c r="H1389" s="62" t="str">
        <f>_xlfn.XLOOKUP(tblRequirementMeasureXref[[#This Row],[msr_id]],tblMeasure[msr_id],tblMeasure[msr_table])</f>
        <v>Table 2</v>
      </c>
      <c r="I1389" s="22" t="str">
        <f>_xlfn.XLOOKUP(tblRequirementMeasureXref[[#This Row],[msr_id]],tblMeasure[msr_id],tblMeasure[msr_name])</f>
        <v>Value of deferred payment agreements (DPAs), 2018-19</v>
      </c>
      <c r="J1389" s="22" t="str">
        <f>_xlfn.XLOOKUP(tblRequirementMeasureXref[[#This Row],[msr_id]],tblMeasure[msr_id],tblMeasure[primary_dimensions])</f>
        <v>DPA value</v>
      </c>
      <c r="K1389" s="22" t="str">
        <f>_xlfn.XLOOKUP(tblRequirementMeasureXref[[#This Row],[msr_id]],tblMeasure[msr_id],tblMeasure[msr_min_geo_resolution])</f>
        <v>LA</v>
      </c>
      <c r="L1389" s="22" t="str">
        <f>_xlfn.XLOOKUP(tblRequirementMeasureXref[[#This Row],[msr_id]],tblMeasure[msr_id],tblMeasure[src_name])</f>
        <v>Deferred Payment Agreements</v>
      </c>
    </row>
    <row r="1390" spans="1:12" x14ac:dyDescent="0.15">
      <c r="A1390" s="1" t="str">
        <f>_xlfn.XLOOKUP(tblRequirementMeasureXref[[#This Row],[dm_id]],tblDataRequirement[dm_id],tblDataRequirement[domain_sub_requirement])</f>
        <v>Funders:Income:Local authority</v>
      </c>
      <c r="B1390" s="1" t="str">
        <f>_xlfn.XLOOKUP(tblRequirementMeasureXref[[#This Row],[dm_id]],tblDataRequirement[dm_id],tblDataRequirement[dm_phase])</f>
        <v>supply</v>
      </c>
      <c r="C1390" s="1">
        <v>8</v>
      </c>
      <c r="D1390" s="1">
        <v>390</v>
      </c>
      <c r="G1390" s="1"/>
      <c r="H1390" s="62" t="str">
        <f>_xlfn.XLOOKUP(tblRequirementMeasureXref[[#This Row],[msr_id]],tblMeasure[msr_id],tblMeasure[msr_table])</f>
        <v>Table 2</v>
      </c>
      <c r="I1390" s="22" t="str">
        <f>_xlfn.XLOOKUP(tblRequirementMeasureXref[[#This Row],[msr_id]],tblMeasure[msr_id],tblMeasure[msr_name])</f>
        <v>Value of deferred payment agreements (DPAs), 2018-19</v>
      </c>
      <c r="J1390" s="22" t="str">
        <f>_xlfn.XLOOKUP(tblRequirementMeasureXref[[#This Row],[msr_id]],tblMeasure[msr_id],tblMeasure[primary_dimensions])</f>
        <v>DPA value</v>
      </c>
      <c r="K1390" s="22" t="str">
        <f>_xlfn.XLOOKUP(tblRequirementMeasureXref[[#This Row],[msr_id]],tblMeasure[msr_id],tblMeasure[msr_min_geo_resolution])</f>
        <v>LA</v>
      </c>
      <c r="L1390" s="22" t="str">
        <f>_xlfn.XLOOKUP(tblRequirementMeasureXref[[#This Row],[msr_id]],tblMeasure[msr_id],tblMeasure[src_name])</f>
        <v>Deferred Payment Agreements</v>
      </c>
    </row>
    <row r="1391" spans="1:12" x14ac:dyDescent="0.15">
      <c r="A1391" s="1" t="str">
        <f>_xlfn.XLOOKUP(tblRequirementMeasureXref[[#This Row],[dm_id]],tblDataRequirement[dm_id],tblDataRequirement[domain_sub_requirement])</f>
        <v>Users:Expenditure:Self-funders</v>
      </c>
      <c r="B1391" s="1" t="str">
        <f>_xlfn.XLOOKUP(tblRequirementMeasureXref[[#This Row],[dm_id]],tblDataRequirement[dm_id],tblDataRequirement[dm_phase])</f>
        <v>supply</v>
      </c>
      <c r="C1391" s="1">
        <v>5</v>
      </c>
      <c r="D1391" s="1">
        <v>390</v>
      </c>
      <c r="G1391" s="1"/>
      <c r="H1391" s="62" t="str">
        <f>_xlfn.XLOOKUP(tblRequirementMeasureXref[[#This Row],[msr_id]],tblMeasure[msr_id],tblMeasure[msr_table])</f>
        <v>Table 2</v>
      </c>
      <c r="I1391" s="22" t="str">
        <f>_xlfn.XLOOKUP(tblRequirementMeasureXref[[#This Row],[msr_id]],tblMeasure[msr_id],tblMeasure[msr_name])</f>
        <v>Value of deferred payment agreements (DPAs), 2018-19</v>
      </c>
      <c r="J1391" s="22" t="str">
        <f>_xlfn.XLOOKUP(tblRequirementMeasureXref[[#This Row],[msr_id]],tblMeasure[msr_id],tblMeasure[primary_dimensions])</f>
        <v>DPA value</v>
      </c>
      <c r="K1391" s="22" t="str">
        <f>_xlfn.XLOOKUP(tblRequirementMeasureXref[[#This Row],[msr_id]],tblMeasure[msr_id],tblMeasure[msr_min_geo_resolution])</f>
        <v>LA</v>
      </c>
      <c r="L1391" s="22" t="str">
        <f>_xlfn.XLOOKUP(tblRequirementMeasureXref[[#This Row],[msr_id]],tblMeasure[msr_id],tblMeasure[src_name])</f>
        <v>Deferred Payment Agreements</v>
      </c>
    </row>
    <row r="1392" spans="1:12" x14ac:dyDescent="0.15">
      <c r="A1392" s="1" t="str">
        <f>_xlfn.XLOOKUP(tblRequirementMeasureXref[[#This Row],[dm_id]],tblDataRequirement[dm_id],tblDataRequirement[domain_sub_requirement])</f>
        <v>Funders:Expenditure:Local authorities</v>
      </c>
      <c r="B1392" s="1" t="str">
        <f>_xlfn.XLOOKUP(tblRequirementMeasureXref[[#This Row],[dm_id]],tblDataRequirement[dm_id],tblDataRequirement[dm_phase])</f>
        <v>supply</v>
      </c>
      <c r="C1392" s="1">
        <v>3</v>
      </c>
      <c r="D1392" s="1">
        <v>391</v>
      </c>
      <c r="G1392" s="1"/>
      <c r="H1392" s="62" t="str">
        <f>_xlfn.XLOOKUP(tblRequirementMeasureXref[[#This Row],[msr_id]],tblMeasure[msr_id],tblMeasure[msr_table])</f>
        <v>Table 3</v>
      </c>
      <c r="I1392" s="22" t="str">
        <f>_xlfn.XLOOKUP(tblRequirementMeasureXref[[#This Row],[msr_id]],tblMeasure[msr_id],tblMeasure[msr_name])</f>
        <v>Number of new DPA requests, by the sequel to that request, 2018-19</v>
      </c>
      <c r="J1392" s="22" t="str">
        <f>_xlfn.XLOOKUP(tblRequirementMeasureXref[[#This Row],[msr_id]],tblMeasure[msr_id],tblMeasure[primary_dimensions])</f>
        <v>DPA requests, sequel</v>
      </c>
      <c r="K1392" s="22" t="str">
        <f>_xlfn.XLOOKUP(tblRequirementMeasureXref[[#This Row],[msr_id]],tblMeasure[msr_id],tblMeasure[msr_min_geo_resolution])</f>
        <v>LA</v>
      </c>
      <c r="L1392" s="22" t="str">
        <f>_xlfn.XLOOKUP(tblRequirementMeasureXref[[#This Row],[msr_id]],tblMeasure[msr_id],tblMeasure[src_name])</f>
        <v>Deferred Payment Agreements</v>
      </c>
    </row>
    <row r="1393" spans="1:12" x14ac:dyDescent="0.15">
      <c r="A1393" s="1" t="str">
        <f>_xlfn.XLOOKUP(tblRequirementMeasureXref[[#This Row],[dm_id]],tblDataRequirement[dm_id],tblDataRequirement[domain_sub_requirement])</f>
        <v>Funders:Expenditure:Local authority clients</v>
      </c>
      <c r="B1393" s="1" t="str">
        <f>_xlfn.XLOOKUP(tblRequirementMeasureXref[[#This Row],[dm_id]],tblDataRequirement[dm_id],tblDataRequirement[dm_phase])</f>
        <v>supply</v>
      </c>
      <c r="C1393" s="1">
        <v>7</v>
      </c>
      <c r="D1393" s="1">
        <v>391</v>
      </c>
      <c r="G1393" s="1"/>
      <c r="H1393" s="62" t="str">
        <f>_xlfn.XLOOKUP(tblRequirementMeasureXref[[#This Row],[msr_id]],tblMeasure[msr_id],tblMeasure[msr_table])</f>
        <v>Table 3</v>
      </c>
      <c r="I1393" s="22" t="str">
        <f>_xlfn.XLOOKUP(tblRequirementMeasureXref[[#This Row],[msr_id]],tblMeasure[msr_id],tblMeasure[msr_name])</f>
        <v>Number of new DPA requests, by the sequel to that request, 2018-19</v>
      </c>
      <c r="J1393" s="22" t="str">
        <f>_xlfn.XLOOKUP(tblRequirementMeasureXref[[#This Row],[msr_id]],tblMeasure[msr_id],tblMeasure[primary_dimensions])</f>
        <v>DPA requests, sequel</v>
      </c>
      <c r="K1393" s="22" t="str">
        <f>_xlfn.XLOOKUP(tblRequirementMeasureXref[[#This Row],[msr_id]],tblMeasure[msr_id],tblMeasure[msr_min_geo_resolution])</f>
        <v>LA</v>
      </c>
      <c r="L1393" s="22" t="str">
        <f>_xlfn.XLOOKUP(tblRequirementMeasureXref[[#This Row],[msr_id]],tblMeasure[msr_id],tblMeasure[src_name])</f>
        <v>Deferred Payment Agreements</v>
      </c>
    </row>
    <row r="1394" spans="1:12" x14ac:dyDescent="0.15">
      <c r="A1394" s="1" t="str">
        <f>_xlfn.XLOOKUP(tblRequirementMeasureXref[[#This Row],[dm_id]],tblDataRequirement[dm_id],tblDataRequirement[domain_sub_requirement])</f>
        <v>Funders:Income:Local authority</v>
      </c>
      <c r="B1394" s="1" t="str">
        <f>_xlfn.XLOOKUP(tblRequirementMeasureXref[[#This Row],[dm_id]],tblDataRequirement[dm_id],tblDataRequirement[dm_phase])</f>
        <v>supply</v>
      </c>
      <c r="C1394" s="1">
        <v>8</v>
      </c>
      <c r="D1394" s="1">
        <v>391</v>
      </c>
      <c r="G1394" s="1"/>
      <c r="H1394" s="62" t="str">
        <f>_xlfn.XLOOKUP(tblRequirementMeasureXref[[#This Row],[msr_id]],tblMeasure[msr_id],tblMeasure[msr_table])</f>
        <v>Table 3</v>
      </c>
      <c r="I1394" s="22" t="str">
        <f>_xlfn.XLOOKUP(tblRequirementMeasureXref[[#This Row],[msr_id]],tblMeasure[msr_id],tblMeasure[msr_name])</f>
        <v>Number of new DPA requests, by the sequel to that request, 2018-19</v>
      </c>
      <c r="J1394" s="22" t="str">
        <f>_xlfn.XLOOKUP(tblRequirementMeasureXref[[#This Row],[msr_id]],tblMeasure[msr_id],tblMeasure[primary_dimensions])</f>
        <v>DPA requests, sequel</v>
      </c>
      <c r="K1394" s="22" t="str">
        <f>_xlfn.XLOOKUP(tblRequirementMeasureXref[[#This Row],[msr_id]],tblMeasure[msr_id],tblMeasure[msr_min_geo_resolution])</f>
        <v>LA</v>
      </c>
      <c r="L1394" s="22" t="str">
        <f>_xlfn.XLOOKUP(tblRequirementMeasureXref[[#This Row],[msr_id]],tblMeasure[msr_id],tblMeasure[src_name])</f>
        <v>Deferred Payment Agreements</v>
      </c>
    </row>
    <row r="1395" spans="1:12" x14ac:dyDescent="0.15">
      <c r="A1395" s="1" t="str">
        <f>_xlfn.XLOOKUP(tblRequirementMeasureXref[[#This Row],[dm_id]],tblDataRequirement[dm_id],tblDataRequirement[domain_sub_requirement])</f>
        <v>Users:Expenditure:Self-funders</v>
      </c>
      <c r="B1395" s="1" t="str">
        <f>_xlfn.XLOOKUP(tblRequirementMeasureXref[[#This Row],[dm_id]],tblDataRequirement[dm_id],tblDataRequirement[dm_phase])</f>
        <v>supply</v>
      </c>
      <c r="C1395" s="1">
        <v>5</v>
      </c>
      <c r="D1395" s="1">
        <v>391</v>
      </c>
      <c r="G1395" s="1"/>
      <c r="H1395" s="62" t="str">
        <f>_xlfn.XLOOKUP(tblRequirementMeasureXref[[#This Row],[msr_id]],tblMeasure[msr_id],tblMeasure[msr_table])</f>
        <v>Table 3</v>
      </c>
      <c r="I1395" s="22" t="str">
        <f>_xlfn.XLOOKUP(tblRequirementMeasureXref[[#This Row],[msr_id]],tblMeasure[msr_id],tblMeasure[msr_name])</f>
        <v>Number of new DPA requests, by the sequel to that request, 2018-19</v>
      </c>
      <c r="J1395" s="22" t="str">
        <f>_xlfn.XLOOKUP(tblRequirementMeasureXref[[#This Row],[msr_id]],tblMeasure[msr_id],tblMeasure[primary_dimensions])</f>
        <v>DPA requests, sequel</v>
      </c>
      <c r="K1395" s="22" t="str">
        <f>_xlfn.XLOOKUP(tblRequirementMeasureXref[[#This Row],[msr_id]],tblMeasure[msr_id],tblMeasure[msr_min_geo_resolution])</f>
        <v>LA</v>
      </c>
      <c r="L1395" s="22" t="str">
        <f>_xlfn.XLOOKUP(tblRequirementMeasureXref[[#This Row],[msr_id]],tblMeasure[msr_id],tblMeasure[src_name])</f>
        <v>Deferred Payment Agreements</v>
      </c>
    </row>
    <row r="1396" spans="1:12" x14ac:dyDescent="0.15">
      <c r="A1396" s="1" t="str">
        <f>_xlfn.XLOOKUP(tblRequirementMeasureXref[[#This Row],[dm_id]],tblDataRequirement[dm_id],tblDataRequirement[domain_sub_requirement])</f>
        <v>Funders:Expenditure:Local authorities</v>
      </c>
      <c r="B1396" s="1" t="str">
        <f>_xlfn.XLOOKUP(tblRequirementMeasureXref[[#This Row],[dm_id]],tblDataRequirement[dm_id],tblDataRequirement[dm_phase])</f>
        <v>supply</v>
      </c>
      <c r="C1396" s="1">
        <v>3</v>
      </c>
      <c r="D1396" s="1">
        <v>392</v>
      </c>
      <c r="G1396" s="1"/>
      <c r="H1396" s="62" t="str">
        <f>_xlfn.XLOOKUP(tblRequirementMeasureXref[[#This Row],[msr_id]],tblMeasure[msr_id],tblMeasure[msr_table])</f>
        <v>Table 4</v>
      </c>
      <c r="I1396" s="22" t="str">
        <f>_xlfn.XLOOKUP(tblRequirementMeasureXref[[#This Row],[msr_id]],tblMeasure[msr_id],tblMeasure[msr_name])</f>
        <v>Number of new DPAs agreed during the year, by reason for the request, planned use of the property during the DPA and security provided for the DPA, 2018-19</v>
      </c>
      <c r="J1396" s="22" t="str">
        <f>_xlfn.XLOOKUP(tblRequirementMeasureXref[[#This Row],[msr_id]],tblMeasure[msr_id],tblMeasure[primary_dimensions])</f>
        <v>DPA requests, reason, property use, security</v>
      </c>
      <c r="K1396" s="22" t="str">
        <f>_xlfn.XLOOKUP(tblRequirementMeasureXref[[#This Row],[msr_id]],tblMeasure[msr_id],tblMeasure[msr_min_geo_resolution])</f>
        <v>LA</v>
      </c>
      <c r="L1396" s="22" t="str">
        <f>_xlfn.XLOOKUP(tblRequirementMeasureXref[[#This Row],[msr_id]],tblMeasure[msr_id],tblMeasure[src_name])</f>
        <v>Deferred Payment Agreements</v>
      </c>
    </row>
    <row r="1397" spans="1:12" x14ac:dyDescent="0.15">
      <c r="A1397" s="1" t="str">
        <f>_xlfn.XLOOKUP(tblRequirementMeasureXref[[#This Row],[dm_id]],tblDataRequirement[dm_id],tblDataRequirement[domain_sub_requirement])</f>
        <v>Funders:Expenditure:Local authority clients</v>
      </c>
      <c r="B1397" s="1" t="str">
        <f>_xlfn.XLOOKUP(tblRequirementMeasureXref[[#This Row],[dm_id]],tblDataRequirement[dm_id],tblDataRequirement[dm_phase])</f>
        <v>supply</v>
      </c>
      <c r="C1397" s="1">
        <v>7</v>
      </c>
      <c r="D1397" s="1">
        <v>392</v>
      </c>
      <c r="G1397" s="1"/>
      <c r="H1397" s="62" t="str">
        <f>_xlfn.XLOOKUP(tblRequirementMeasureXref[[#This Row],[msr_id]],tblMeasure[msr_id],tblMeasure[msr_table])</f>
        <v>Table 4</v>
      </c>
      <c r="I1397" s="22" t="str">
        <f>_xlfn.XLOOKUP(tblRequirementMeasureXref[[#This Row],[msr_id]],tblMeasure[msr_id],tblMeasure[msr_name])</f>
        <v>Number of new DPAs agreed during the year, by reason for the request, planned use of the property during the DPA and security provided for the DPA, 2018-19</v>
      </c>
      <c r="J1397" s="22" t="str">
        <f>_xlfn.XLOOKUP(tblRequirementMeasureXref[[#This Row],[msr_id]],tblMeasure[msr_id],tblMeasure[primary_dimensions])</f>
        <v>DPA requests, reason, property use, security</v>
      </c>
      <c r="K1397" s="22" t="str">
        <f>_xlfn.XLOOKUP(tblRequirementMeasureXref[[#This Row],[msr_id]],tblMeasure[msr_id],tblMeasure[msr_min_geo_resolution])</f>
        <v>LA</v>
      </c>
      <c r="L1397" s="22" t="str">
        <f>_xlfn.XLOOKUP(tblRequirementMeasureXref[[#This Row],[msr_id]],tblMeasure[msr_id],tblMeasure[src_name])</f>
        <v>Deferred Payment Agreements</v>
      </c>
    </row>
    <row r="1398" spans="1:12" x14ac:dyDescent="0.15">
      <c r="A1398" s="1" t="str">
        <f>_xlfn.XLOOKUP(tblRequirementMeasureXref[[#This Row],[dm_id]],tblDataRequirement[dm_id],tblDataRequirement[domain_sub_requirement])</f>
        <v>Funders:Income:Local authority</v>
      </c>
      <c r="B1398" s="1" t="str">
        <f>_xlfn.XLOOKUP(tblRequirementMeasureXref[[#This Row],[dm_id]],tblDataRequirement[dm_id],tblDataRequirement[dm_phase])</f>
        <v>supply</v>
      </c>
      <c r="C1398" s="1">
        <v>8</v>
      </c>
      <c r="D1398" s="1">
        <v>392</v>
      </c>
      <c r="G1398" s="1"/>
      <c r="H1398" s="62" t="str">
        <f>_xlfn.XLOOKUP(tblRequirementMeasureXref[[#This Row],[msr_id]],tblMeasure[msr_id],tblMeasure[msr_table])</f>
        <v>Table 4</v>
      </c>
      <c r="I1398" s="22" t="str">
        <f>_xlfn.XLOOKUP(tblRequirementMeasureXref[[#This Row],[msr_id]],tblMeasure[msr_id],tblMeasure[msr_name])</f>
        <v>Number of new DPAs agreed during the year, by reason for the request, planned use of the property during the DPA and security provided for the DPA, 2018-19</v>
      </c>
      <c r="J1398" s="22" t="str">
        <f>_xlfn.XLOOKUP(tblRequirementMeasureXref[[#This Row],[msr_id]],tblMeasure[msr_id],tblMeasure[primary_dimensions])</f>
        <v>DPA requests, reason, property use, security</v>
      </c>
      <c r="K1398" s="22" t="str">
        <f>_xlfn.XLOOKUP(tblRequirementMeasureXref[[#This Row],[msr_id]],tblMeasure[msr_id],tblMeasure[msr_min_geo_resolution])</f>
        <v>LA</v>
      </c>
      <c r="L1398" s="22" t="str">
        <f>_xlfn.XLOOKUP(tblRequirementMeasureXref[[#This Row],[msr_id]],tblMeasure[msr_id],tblMeasure[src_name])</f>
        <v>Deferred Payment Agreements</v>
      </c>
    </row>
    <row r="1399" spans="1:12" x14ac:dyDescent="0.15">
      <c r="A1399" s="1" t="str">
        <f>_xlfn.XLOOKUP(tblRequirementMeasureXref[[#This Row],[dm_id]],tblDataRequirement[dm_id],tblDataRequirement[domain_sub_requirement])</f>
        <v>Users:Expenditure:Self-funders</v>
      </c>
      <c r="B1399" s="1" t="str">
        <f>_xlfn.XLOOKUP(tblRequirementMeasureXref[[#This Row],[dm_id]],tblDataRequirement[dm_id],tblDataRequirement[dm_phase])</f>
        <v>supply</v>
      </c>
      <c r="C1399" s="1">
        <v>5</v>
      </c>
      <c r="D1399" s="1">
        <v>392</v>
      </c>
      <c r="G1399" s="1"/>
      <c r="H1399" s="62" t="str">
        <f>_xlfn.XLOOKUP(tblRequirementMeasureXref[[#This Row],[msr_id]],tblMeasure[msr_id],tblMeasure[msr_table])</f>
        <v>Table 4</v>
      </c>
      <c r="I1399" s="22" t="str">
        <f>_xlfn.XLOOKUP(tblRequirementMeasureXref[[#This Row],[msr_id]],tblMeasure[msr_id],tblMeasure[msr_name])</f>
        <v>Number of new DPAs agreed during the year, by reason for the request, planned use of the property during the DPA and security provided for the DPA, 2018-19</v>
      </c>
      <c r="J1399" s="22" t="str">
        <f>_xlfn.XLOOKUP(tblRequirementMeasureXref[[#This Row],[msr_id]],tblMeasure[msr_id],tblMeasure[primary_dimensions])</f>
        <v>DPA requests, reason, property use, security</v>
      </c>
      <c r="K1399" s="22" t="str">
        <f>_xlfn.XLOOKUP(tblRequirementMeasureXref[[#This Row],[msr_id]],tblMeasure[msr_id],tblMeasure[msr_min_geo_resolution])</f>
        <v>LA</v>
      </c>
      <c r="L1399" s="22" t="str">
        <f>_xlfn.XLOOKUP(tblRequirementMeasureXref[[#This Row],[msr_id]],tblMeasure[msr_id],tblMeasure[src_name])</f>
        <v>Deferred Payment Agreements</v>
      </c>
    </row>
    <row r="1400" spans="1:12" x14ac:dyDescent="0.15">
      <c r="A1400" s="1" t="str">
        <f>_xlfn.XLOOKUP(tblRequirementMeasureXref[[#This Row],[dm_id]],tblDataRequirement[dm_id],tblDataRequirement[domain_sub_requirement])</f>
        <v>Funders:Expenditure:Local authorities</v>
      </c>
      <c r="B1400" s="1" t="str">
        <f>_xlfn.XLOOKUP(tblRequirementMeasureXref[[#This Row],[dm_id]],tblDataRequirement[dm_id],tblDataRequirement[dm_phase])</f>
        <v>supply</v>
      </c>
      <c r="C1400" s="1">
        <v>3</v>
      </c>
      <c r="D1400" s="1">
        <v>393</v>
      </c>
      <c r="G1400" s="1"/>
      <c r="H1400" s="62" t="str">
        <f>_xlfn.XLOOKUP(tblRequirementMeasureXref[[#This Row],[msr_id]],tblMeasure[msr_id],tblMeasure[msr_table])</f>
        <v>Table 5</v>
      </c>
      <c r="I1400" s="22" t="str">
        <f>_xlfn.XLOOKUP(tblRequirementMeasureXref[[#This Row],[msr_id]],tblMeasure[msr_id],tblMeasure[msr_name])</f>
        <v>Number of outstanding DPAs at 31 March 2018, by contributions to DPA, 2018-19</v>
      </c>
      <c r="J1400" s="22" t="str">
        <f>_xlfn.XLOOKUP(tblRequirementMeasureXref[[#This Row],[msr_id]],tblMeasure[msr_id],tblMeasure[primary_dimensions])</f>
        <v>DPA outstanding, contribution status, weekly value</v>
      </c>
      <c r="K1400" s="22" t="str">
        <f>_xlfn.XLOOKUP(tblRequirementMeasureXref[[#This Row],[msr_id]],tblMeasure[msr_id],tblMeasure[msr_min_geo_resolution])</f>
        <v>LA</v>
      </c>
      <c r="L1400" s="22" t="str">
        <f>_xlfn.XLOOKUP(tblRequirementMeasureXref[[#This Row],[msr_id]],tblMeasure[msr_id],tblMeasure[src_name])</f>
        <v>Deferred Payment Agreements</v>
      </c>
    </row>
    <row r="1401" spans="1:12" x14ac:dyDescent="0.15">
      <c r="A1401" s="1" t="str">
        <f>_xlfn.XLOOKUP(tblRequirementMeasureXref[[#This Row],[dm_id]],tblDataRequirement[dm_id],tblDataRequirement[domain_sub_requirement])</f>
        <v>Funders:Expenditure:Local authority clients</v>
      </c>
      <c r="B1401" s="1" t="str">
        <f>_xlfn.XLOOKUP(tblRequirementMeasureXref[[#This Row],[dm_id]],tblDataRequirement[dm_id],tblDataRequirement[dm_phase])</f>
        <v>supply</v>
      </c>
      <c r="C1401" s="1">
        <v>7</v>
      </c>
      <c r="D1401" s="1">
        <v>393</v>
      </c>
      <c r="G1401" s="1"/>
      <c r="H1401" s="62" t="str">
        <f>_xlfn.XLOOKUP(tblRequirementMeasureXref[[#This Row],[msr_id]],tblMeasure[msr_id],tblMeasure[msr_table])</f>
        <v>Table 5</v>
      </c>
      <c r="I1401" s="22" t="str">
        <f>_xlfn.XLOOKUP(tblRequirementMeasureXref[[#This Row],[msr_id]],tblMeasure[msr_id],tblMeasure[msr_name])</f>
        <v>Number of outstanding DPAs at 31 March 2018, by contributions to DPA, 2018-19</v>
      </c>
      <c r="J1401" s="22" t="str">
        <f>_xlfn.XLOOKUP(tblRequirementMeasureXref[[#This Row],[msr_id]],tblMeasure[msr_id],tblMeasure[primary_dimensions])</f>
        <v>DPA outstanding, contribution status, weekly value</v>
      </c>
      <c r="K1401" s="22" t="str">
        <f>_xlfn.XLOOKUP(tblRequirementMeasureXref[[#This Row],[msr_id]],tblMeasure[msr_id],tblMeasure[msr_min_geo_resolution])</f>
        <v>LA</v>
      </c>
      <c r="L1401" s="22" t="str">
        <f>_xlfn.XLOOKUP(tblRequirementMeasureXref[[#This Row],[msr_id]],tblMeasure[msr_id],tblMeasure[src_name])</f>
        <v>Deferred Payment Agreements</v>
      </c>
    </row>
    <row r="1402" spans="1:12" x14ac:dyDescent="0.15">
      <c r="A1402" s="1" t="str">
        <f>_xlfn.XLOOKUP(tblRequirementMeasureXref[[#This Row],[dm_id]],tblDataRequirement[dm_id],tblDataRequirement[domain_sub_requirement])</f>
        <v>Funders:Income:Local authority</v>
      </c>
      <c r="B1402" s="1" t="str">
        <f>_xlfn.XLOOKUP(tblRequirementMeasureXref[[#This Row],[dm_id]],tblDataRequirement[dm_id],tblDataRequirement[dm_phase])</f>
        <v>supply</v>
      </c>
      <c r="C1402" s="1">
        <v>8</v>
      </c>
      <c r="D1402" s="1">
        <v>393</v>
      </c>
      <c r="G1402" s="1"/>
      <c r="H1402" s="62" t="str">
        <f>_xlfn.XLOOKUP(tblRequirementMeasureXref[[#This Row],[msr_id]],tblMeasure[msr_id],tblMeasure[msr_table])</f>
        <v>Table 5</v>
      </c>
      <c r="I1402" s="22" t="str">
        <f>_xlfn.XLOOKUP(tblRequirementMeasureXref[[#This Row],[msr_id]],tblMeasure[msr_id],tblMeasure[msr_name])</f>
        <v>Number of outstanding DPAs at 31 March 2018, by contributions to DPA, 2018-19</v>
      </c>
      <c r="J1402" s="22" t="str">
        <f>_xlfn.XLOOKUP(tblRequirementMeasureXref[[#This Row],[msr_id]],tblMeasure[msr_id],tblMeasure[primary_dimensions])</f>
        <v>DPA outstanding, contribution status, weekly value</v>
      </c>
      <c r="K1402" s="22" t="str">
        <f>_xlfn.XLOOKUP(tblRequirementMeasureXref[[#This Row],[msr_id]],tblMeasure[msr_id],tblMeasure[msr_min_geo_resolution])</f>
        <v>LA</v>
      </c>
      <c r="L1402" s="22" t="str">
        <f>_xlfn.XLOOKUP(tblRequirementMeasureXref[[#This Row],[msr_id]],tblMeasure[msr_id],tblMeasure[src_name])</f>
        <v>Deferred Payment Agreements</v>
      </c>
    </row>
    <row r="1403" spans="1:12" x14ac:dyDescent="0.15">
      <c r="A1403" s="1" t="str">
        <f>_xlfn.XLOOKUP(tblRequirementMeasureXref[[#This Row],[dm_id]],tblDataRequirement[dm_id],tblDataRequirement[domain_sub_requirement])</f>
        <v>Users:Expenditure:Self-funders</v>
      </c>
      <c r="B1403" s="1" t="str">
        <f>_xlfn.XLOOKUP(tblRequirementMeasureXref[[#This Row],[dm_id]],tblDataRequirement[dm_id],tblDataRequirement[dm_phase])</f>
        <v>supply</v>
      </c>
      <c r="C1403" s="1">
        <v>5</v>
      </c>
      <c r="D1403" s="1">
        <v>393</v>
      </c>
      <c r="G1403" s="1"/>
      <c r="H1403" s="62" t="str">
        <f>_xlfn.XLOOKUP(tblRequirementMeasureXref[[#This Row],[msr_id]],tblMeasure[msr_id],tblMeasure[msr_table])</f>
        <v>Table 5</v>
      </c>
      <c r="I1403" s="22" t="str">
        <f>_xlfn.XLOOKUP(tblRequirementMeasureXref[[#This Row],[msr_id]],tblMeasure[msr_id],tblMeasure[msr_name])</f>
        <v>Number of outstanding DPAs at 31 March 2018, by contributions to DPA, 2018-19</v>
      </c>
      <c r="J1403" s="22" t="str">
        <f>_xlfn.XLOOKUP(tblRequirementMeasureXref[[#This Row],[msr_id]],tblMeasure[msr_id],tblMeasure[primary_dimensions])</f>
        <v>DPA outstanding, contribution status, weekly value</v>
      </c>
      <c r="K1403" s="22" t="str">
        <f>_xlfn.XLOOKUP(tblRequirementMeasureXref[[#This Row],[msr_id]],tblMeasure[msr_id],tblMeasure[msr_min_geo_resolution])</f>
        <v>LA</v>
      </c>
      <c r="L1403" s="22" t="str">
        <f>_xlfn.XLOOKUP(tblRequirementMeasureXref[[#This Row],[msr_id]],tblMeasure[msr_id],tblMeasure[src_name])</f>
        <v>Deferred Payment Agreements</v>
      </c>
    </row>
    <row r="1404" spans="1:12" x14ac:dyDescent="0.15">
      <c r="A1404" s="1" t="str">
        <f>_xlfn.XLOOKUP(tblRequirementMeasureXref[[#This Row],[dm_id]],tblDataRequirement[dm_id],tblDataRequirement[domain_sub_requirement])</f>
        <v>Funders:Expenditure:Local authorities</v>
      </c>
      <c r="B1404" s="1" t="str">
        <f>_xlfn.XLOOKUP(tblRequirementMeasureXref[[#This Row],[dm_id]],tblDataRequirement[dm_id],tblDataRequirement[dm_phase])</f>
        <v>supply</v>
      </c>
      <c r="C1404" s="1">
        <v>3</v>
      </c>
      <c r="D1404" s="1">
        <v>394</v>
      </c>
      <c r="G1404" s="1"/>
      <c r="H1404" s="62" t="str">
        <f>_xlfn.XLOOKUP(tblRequirementMeasureXref[[#This Row],[msr_id]],tblMeasure[msr_id],tblMeasure[msr_table])</f>
        <v>Table 6</v>
      </c>
      <c r="I1404" s="22" t="str">
        <f>_xlfn.XLOOKUP(tblRequirementMeasureXref[[#This Row],[msr_id]],tblMeasure[msr_id],tblMeasure[msr_name])</f>
        <v>Number of recovered DPAs during the year, by the reason for the end of the DPA, 2018-19</v>
      </c>
      <c r="J1404" s="22" t="str">
        <f>_xlfn.XLOOKUP(tblRequirementMeasureXref[[#This Row],[msr_id]],tblMeasure[msr_id],tblMeasure[primary_dimensions])</f>
        <v>DPAs concluded, reason</v>
      </c>
      <c r="K1404" s="22" t="str">
        <f>_xlfn.XLOOKUP(tblRequirementMeasureXref[[#This Row],[msr_id]],tblMeasure[msr_id],tblMeasure[msr_min_geo_resolution])</f>
        <v>LA</v>
      </c>
      <c r="L1404" s="22" t="str">
        <f>_xlfn.XLOOKUP(tblRequirementMeasureXref[[#This Row],[msr_id]],tblMeasure[msr_id],tblMeasure[src_name])</f>
        <v>Deferred Payment Agreements</v>
      </c>
    </row>
    <row r="1405" spans="1:12" x14ac:dyDescent="0.15">
      <c r="A1405" s="1" t="str">
        <f>_xlfn.XLOOKUP(tblRequirementMeasureXref[[#This Row],[dm_id]],tblDataRequirement[dm_id],tblDataRequirement[domain_sub_requirement])</f>
        <v>Funders:Expenditure:Local authority clients</v>
      </c>
      <c r="B1405" s="1" t="str">
        <f>_xlfn.XLOOKUP(tblRequirementMeasureXref[[#This Row],[dm_id]],tblDataRequirement[dm_id],tblDataRequirement[dm_phase])</f>
        <v>supply</v>
      </c>
      <c r="C1405" s="1">
        <v>7</v>
      </c>
      <c r="D1405" s="1">
        <v>394</v>
      </c>
      <c r="G1405" s="1"/>
      <c r="H1405" s="62" t="str">
        <f>_xlfn.XLOOKUP(tblRequirementMeasureXref[[#This Row],[msr_id]],tblMeasure[msr_id],tblMeasure[msr_table])</f>
        <v>Table 6</v>
      </c>
      <c r="I1405" s="22" t="str">
        <f>_xlfn.XLOOKUP(tblRequirementMeasureXref[[#This Row],[msr_id]],tblMeasure[msr_id],tblMeasure[msr_name])</f>
        <v>Number of recovered DPAs during the year, by the reason for the end of the DPA, 2018-19</v>
      </c>
      <c r="J1405" s="22" t="str">
        <f>_xlfn.XLOOKUP(tblRequirementMeasureXref[[#This Row],[msr_id]],tblMeasure[msr_id],tblMeasure[primary_dimensions])</f>
        <v>DPAs concluded, reason</v>
      </c>
      <c r="K1405" s="22" t="str">
        <f>_xlfn.XLOOKUP(tblRequirementMeasureXref[[#This Row],[msr_id]],tblMeasure[msr_id],tblMeasure[msr_min_geo_resolution])</f>
        <v>LA</v>
      </c>
      <c r="L1405" s="22" t="str">
        <f>_xlfn.XLOOKUP(tblRequirementMeasureXref[[#This Row],[msr_id]],tblMeasure[msr_id],tblMeasure[src_name])</f>
        <v>Deferred Payment Agreements</v>
      </c>
    </row>
    <row r="1406" spans="1:12" x14ac:dyDescent="0.15">
      <c r="A1406" s="1" t="str">
        <f>_xlfn.XLOOKUP(tblRequirementMeasureXref[[#This Row],[dm_id]],tblDataRequirement[dm_id],tblDataRequirement[domain_sub_requirement])</f>
        <v>Funders:Income:Local authority</v>
      </c>
      <c r="B1406" s="1" t="str">
        <f>_xlfn.XLOOKUP(tblRequirementMeasureXref[[#This Row],[dm_id]],tblDataRequirement[dm_id],tblDataRequirement[dm_phase])</f>
        <v>supply</v>
      </c>
      <c r="C1406" s="1">
        <v>8</v>
      </c>
      <c r="D1406" s="1">
        <v>394</v>
      </c>
      <c r="G1406" s="1"/>
      <c r="H1406" s="62" t="str">
        <f>_xlfn.XLOOKUP(tblRequirementMeasureXref[[#This Row],[msr_id]],tblMeasure[msr_id],tblMeasure[msr_table])</f>
        <v>Table 6</v>
      </c>
      <c r="I1406" s="22" t="str">
        <f>_xlfn.XLOOKUP(tblRequirementMeasureXref[[#This Row],[msr_id]],tblMeasure[msr_id],tblMeasure[msr_name])</f>
        <v>Number of recovered DPAs during the year, by the reason for the end of the DPA, 2018-19</v>
      </c>
      <c r="J1406" s="22" t="str">
        <f>_xlfn.XLOOKUP(tblRequirementMeasureXref[[#This Row],[msr_id]],tblMeasure[msr_id],tblMeasure[primary_dimensions])</f>
        <v>DPAs concluded, reason</v>
      </c>
      <c r="K1406" s="22" t="str">
        <f>_xlfn.XLOOKUP(tblRequirementMeasureXref[[#This Row],[msr_id]],tblMeasure[msr_id],tblMeasure[msr_min_geo_resolution])</f>
        <v>LA</v>
      </c>
      <c r="L1406" s="22" t="str">
        <f>_xlfn.XLOOKUP(tblRequirementMeasureXref[[#This Row],[msr_id]],tblMeasure[msr_id],tblMeasure[src_name])</f>
        <v>Deferred Payment Agreements</v>
      </c>
    </row>
    <row r="1407" spans="1:12" x14ac:dyDescent="0.15">
      <c r="A1407" s="1" t="str">
        <f>_xlfn.XLOOKUP(tblRequirementMeasureXref[[#This Row],[dm_id]],tblDataRequirement[dm_id],tblDataRequirement[domain_sub_requirement])</f>
        <v>Users:Expenditure:Self-funders</v>
      </c>
      <c r="B1407" s="1" t="str">
        <f>_xlfn.XLOOKUP(tblRequirementMeasureXref[[#This Row],[dm_id]],tblDataRequirement[dm_id],tblDataRequirement[dm_phase])</f>
        <v>supply</v>
      </c>
      <c r="C1407" s="1">
        <v>5</v>
      </c>
      <c r="D1407" s="1">
        <v>394</v>
      </c>
      <c r="G1407" s="1"/>
      <c r="H1407" s="62" t="str">
        <f>_xlfn.XLOOKUP(tblRequirementMeasureXref[[#This Row],[msr_id]],tblMeasure[msr_id],tblMeasure[msr_table])</f>
        <v>Table 6</v>
      </c>
      <c r="I1407" s="22" t="str">
        <f>_xlfn.XLOOKUP(tblRequirementMeasureXref[[#This Row],[msr_id]],tblMeasure[msr_id],tblMeasure[msr_name])</f>
        <v>Number of recovered DPAs during the year, by the reason for the end of the DPA, 2018-19</v>
      </c>
      <c r="J1407" s="22" t="str">
        <f>_xlfn.XLOOKUP(tblRequirementMeasureXref[[#This Row],[msr_id]],tblMeasure[msr_id],tblMeasure[primary_dimensions])</f>
        <v>DPAs concluded, reason</v>
      </c>
      <c r="K1407" s="22" t="str">
        <f>_xlfn.XLOOKUP(tblRequirementMeasureXref[[#This Row],[msr_id]],tblMeasure[msr_id],tblMeasure[msr_min_geo_resolution])</f>
        <v>LA</v>
      </c>
      <c r="L1407" s="22" t="str">
        <f>_xlfn.XLOOKUP(tblRequirementMeasureXref[[#This Row],[msr_id]],tblMeasure[msr_id],tblMeasure[src_name])</f>
        <v>Deferred Payment Agreements</v>
      </c>
    </row>
    <row r="1408" spans="1:12" x14ac:dyDescent="0.15">
      <c r="A1408" s="1" t="str">
        <f>_xlfn.XLOOKUP(tblRequirementMeasureXref[[#This Row],[dm_id]],tblDataRequirement[dm_id],tblDataRequirement[domain_sub_requirement])</f>
        <v>Funders:Expenditure:Local authorities</v>
      </c>
      <c r="B1408" s="1" t="str">
        <f>_xlfn.XLOOKUP(tblRequirementMeasureXref[[#This Row],[dm_id]],tblDataRequirement[dm_id],tblDataRequirement[dm_phase])</f>
        <v>supply</v>
      </c>
      <c r="C1408" s="1">
        <v>3</v>
      </c>
      <c r="D1408" s="1">
        <v>395</v>
      </c>
      <c r="G1408" s="1"/>
      <c r="H1408" s="62" t="str">
        <f>_xlfn.XLOOKUP(tblRequirementMeasureXref[[#This Row],[msr_id]],tblMeasure[msr_id],tblMeasure[msr_table])</f>
        <v>Table 7</v>
      </c>
      <c r="I1408" s="22" t="str">
        <f>_xlfn.XLOOKUP(tblRequirementMeasureXref[[#This Row],[msr_id]],tblMeasure[msr_id],tblMeasure[msr_name])</f>
        <v>Number of recovered DPAs during the year, by the reason for the end of the DPA and the length of time the DPA was in place, 2018-19</v>
      </c>
      <c r="J1408" s="22" t="str">
        <f>_xlfn.XLOOKUP(tblRequirementMeasureXref[[#This Row],[msr_id]],tblMeasure[msr_id],tblMeasure[primary_dimensions])</f>
        <v>DPAs recovered, reason, duration</v>
      </c>
      <c r="K1408" s="22" t="str">
        <f>_xlfn.XLOOKUP(tblRequirementMeasureXref[[#This Row],[msr_id]],tblMeasure[msr_id],tblMeasure[msr_min_geo_resolution])</f>
        <v>Region</v>
      </c>
      <c r="L1408" s="22" t="str">
        <f>_xlfn.XLOOKUP(tblRequirementMeasureXref[[#This Row],[msr_id]],tblMeasure[msr_id],tblMeasure[src_name])</f>
        <v>Deferred Payment Agreements</v>
      </c>
    </row>
    <row r="1409" spans="1:12" x14ac:dyDescent="0.15">
      <c r="A1409" s="1" t="str">
        <f>_xlfn.XLOOKUP(tblRequirementMeasureXref[[#This Row],[dm_id]],tblDataRequirement[dm_id],tblDataRequirement[domain_sub_requirement])</f>
        <v>Funders:Expenditure:Local authority clients</v>
      </c>
      <c r="B1409" s="1" t="str">
        <f>_xlfn.XLOOKUP(tblRequirementMeasureXref[[#This Row],[dm_id]],tblDataRequirement[dm_id],tblDataRequirement[dm_phase])</f>
        <v>supply</v>
      </c>
      <c r="C1409" s="1">
        <v>7</v>
      </c>
      <c r="D1409" s="1">
        <v>395</v>
      </c>
      <c r="G1409" s="1"/>
      <c r="H1409" s="62" t="str">
        <f>_xlfn.XLOOKUP(tblRequirementMeasureXref[[#This Row],[msr_id]],tblMeasure[msr_id],tblMeasure[msr_table])</f>
        <v>Table 7</v>
      </c>
      <c r="I1409" s="22" t="str">
        <f>_xlfn.XLOOKUP(tblRequirementMeasureXref[[#This Row],[msr_id]],tblMeasure[msr_id],tblMeasure[msr_name])</f>
        <v>Number of recovered DPAs during the year, by the reason for the end of the DPA and the length of time the DPA was in place, 2018-19</v>
      </c>
      <c r="J1409" s="22" t="str">
        <f>_xlfn.XLOOKUP(tblRequirementMeasureXref[[#This Row],[msr_id]],tblMeasure[msr_id],tblMeasure[primary_dimensions])</f>
        <v>DPAs recovered, reason, duration</v>
      </c>
      <c r="K1409" s="22" t="str">
        <f>_xlfn.XLOOKUP(tblRequirementMeasureXref[[#This Row],[msr_id]],tblMeasure[msr_id],tblMeasure[msr_min_geo_resolution])</f>
        <v>Region</v>
      </c>
      <c r="L1409" s="22" t="str">
        <f>_xlfn.XLOOKUP(tblRequirementMeasureXref[[#This Row],[msr_id]],tblMeasure[msr_id],tblMeasure[src_name])</f>
        <v>Deferred Payment Agreements</v>
      </c>
    </row>
    <row r="1410" spans="1:12" x14ac:dyDescent="0.15">
      <c r="A1410" s="1" t="str">
        <f>_xlfn.XLOOKUP(tblRequirementMeasureXref[[#This Row],[dm_id]],tblDataRequirement[dm_id],tblDataRequirement[domain_sub_requirement])</f>
        <v>Funders:Income:Local authority</v>
      </c>
      <c r="B1410" s="1" t="str">
        <f>_xlfn.XLOOKUP(tblRequirementMeasureXref[[#This Row],[dm_id]],tblDataRequirement[dm_id],tblDataRequirement[dm_phase])</f>
        <v>supply</v>
      </c>
      <c r="C1410" s="1">
        <v>8</v>
      </c>
      <c r="D1410" s="1">
        <v>395</v>
      </c>
      <c r="G1410" s="1"/>
      <c r="H1410" s="62" t="str">
        <f>_xlfn.XLOOKUP(tblRequirementMeasureXref[[#This Row],[msr_id]],tblMeasure[msr_id],tblMeasure[msr_table])</f>
        <v>Table 7</v>
      </c>
      <c r="I1410" s="22" t="str">
        <f>_xlfn.XLOOKUP(tblRequirementMeasureXref[[#This Row],[msr_id]],tblMeasure[msr_id],tblMeasure[msr_name])</f>
        <v>Number of recovered DPAs during the year, by the reason for the end of the DPA and the length of time the DPA was in place, 2018-19</v>
      </c>
      <c r="J1410" s="22" t="str">
        <f>_xlfn.XLOOKUP(tblRequirementMeasureXref[[#This Row],[msr_id]],tblMeasure[msr_id],tblMeasure[primary_dimensions])</f>
        <v>DPAs recovered, reason, duration</v>
      </c>
      <c r="K1410" s="22" t="str">
        <f>_xlfn.XLOOKUP(tblRequirementMeasureXref[[#This Row],[msr_id]],tblMeasure[msr_id],tblMeasure[msr_min_geo_resolution])</f>
        <v>Region</v>
      </c>
      <c r="L1410" s="22" t="str">
        <f>_xlfn.XLOOKUP(tblRequirementMeasureXref[[#This Row],[msr_id]],tblMeasure[msr_id],tblMeasure[src_name])</f>
        <v>Deferred Payment Agreements</v>
      </c>
    </row>
    <row r="1411" spans="1:12" x14ac:dyDescent="0.15">
      <c r="A1411" s="1" t="str">
        <f>_xlfn.XLOOKUP(tblRequirementMeasureXref[[#This Row],[dm_id]],tblDataRequirement[dm_id],tblDataRequirement[domain_sub_requirement])</f>
        <v>Users:Expenditure:Self-funders</v>
      </c>
      <c r="B1411" s="1" t="str">
        <f>_xlfn.XLOOKUP(tblRequirementMeasureXref[[#This Row],[dm_id]],tblDataRequirement[dm_id],tblDataRequirement[dm_phase])</f>
        <v>supply</v>
      </c>
      <c r="C1411" s="1">
        <v>5</v>
      </c>
      <c r="D1411" s="1">
        <v>395</v>
      </c>
      <c r="G1411" s="1"/>
      <c r="H1411" s="62" t="str">
        <f>_xlfn.XLOOKUP(tblRequirementMeasureXref[[#This Row],[msr_id]],tblMeasure[msr_id],tblMeasure[msr_table])</f>
        <v>Table 7</v>
      </c>
      <c r="I1411" s="22" t="str">
        <f>_xlfn.XLOOKUP(tblRequirementMeasureXref[[#This Row],[msr_id]],tblMeasure[msr_id],tblMeasure[msr_name])</f>
        <v>Number of recovered DPAs during the year, by the reason for the end of the DPA and the length of time the DPA was in place, 2018-19</v>
      </c>
      <c r="J1411" s="22" t="str">
        <f>_xlfn.XLOOKUP(tblRequirementMeasureXref[[#This Row],[msr_id]],tblMeasure[msr_id],tblMeasure[primary_dimensions])</f>
        <v>DPAs recovered, reason, duration</v>
      </c>
      <c r="K1411" s="22" t="str">
        <f>_xlfn.XLOOKUP(tblRequirementMeasureXref[[#This Row],[msr_id]],tblMeasure[msr_id],tblMeasure[msr_min_geo_resolution])</f>
        <v>Region</v>
      </c>
      <c r="L1411" s="22" t="str">
        <f>_xlfn.XLOOKUP(tblRequirementMeasureXref[[#This Row],[msr_id]],tblMeasure[msr_id],tblMeasure[src_name])</f>
        <v>Deferred Payment Agreements</v>
      </c>
    </row>
    <row r="1412" spans="1:12" x14ac:dyDescent="0.15">
      <c r="A1412" s="1" t="str">
        <f>_xlfn.XLOOKUP(tblRequirementMeasureXref[[#This Row],[dm_id]],tblDataRequirement[dm_id],tblDataRequirement[domain_sub_requirement])</f>
        <v>Funders:Expenditure:Central government</v>
      </c>
      <c r="B1412" s="1" t="str">
        <f>_xlfn.XLOOKUP(tblRequirementMeasureXref[[#This Row],[dm_id]],tblDataRequirement[dm_id],tblDataRequirement[dm_phase])</f>
        <v>supply</v>
      </c>
      <c r="C1412" s="1">
        <v>4</v>
      </c>
      <c r="D1412" s="1">
        <v>397</v>
      </c>
      <c r="G1412" s="1"/>
      <c r="H1412" s="62" t="str">
        <f>_xlfn.XLOOKUP(tblRequirementMeasureXref[[#This Row],[msr_id]],tblMeasure[msr_id],tblMeasure[msr_table])</f>
        <v>Table 2.2</v>
      </c>
      <c r="I1412" s="22" t="str">
        <f>_xlfn.XLOOKUP(tblRequirementMeasureXref[[#This Row],[msr_id]],tblMeasure[msr_id],tblMeasure[msr_name])</f>
        <v>Sources of total gross household income by region/country, 2017/18, United Kingdom</v>
      </c>
      <c r="J1412" s="22" t="str">
        <f>_xlfn.XLOOKUP(tblRequirementMeasureXref[[#This Row],[msr_id]],tblMeasure[msr_id],tblMeasure[primary_dimensions])</f>
        <v>income, source</v>
      </c>
      <c r="K1412" s="22" t="str">
        <f>_xlfn.XLOOKUP(tblRequirementMeasureXref[[#This Row],[msr_id]],tblMeasure[msr_id],tblMeasure[msr_min_geo_resolution])</f>
        <v>Region</v>
      </c>
      <c r="L1412" s="22" t="str">
        <f>_xlfn.XLOOKUP(tblRequirementMeasureXref[[#This Row],[msr_id]],tblMeasure[msr_id],tblMeasure[src_name])</f>
        <v>Family Resources Survey</v>
      </c>
    </row>
    <row r="1413" spans="1:12" x14ac:dyDescent="0.15">
      <c r="A1413" s="1" t="str">
        <f>_xlfn.XLOOKUP(tblRequirementMeasureXref[[#This Row],[dm_id]],tblDataRequirement[dm_id],tblDataRequirement[domain_sub_requirement])</f>
        <v>Users:Income:State support / benefits</v>
      </c>
      <c r="B1413" s="1" t="str">
        <f>_xlfn.XLOOKUP(tblRequirementMeasureXref[[#This Row],[dm_id]],tblDataRequirement[dm_id],tblDataRequirement[dm_phase])</f>
        <v>supply</v>
      </c>
      <c r="C1413" s="1">
        <v>64</v>
      </c>
      <c r="D1413" s="1">
        <v>397</v>
      </c>
      <c r="G1413" s="1"/>
      <c r="H1413" s="62" t="str">
        <f>_xlfn.XLOOKUP(tblRequirementMeasureXref[[#This Row],[msr_id]],tblMeasure[msr_id],tblMeasure[msr_table])</f>
        <v>Table 2.2</v>
      </c>
      <c r="I1413" s="22" t="str">
        <f>_xlfn.XLOOKUP(tblRequirementMeasureXref[[#This Row],[msr_id]],tblMeasure[msr_id],tblMeasure[msr_name])</f>
        <v>Sources of total gross household income by region/country, 2017/18, United Kingdom</v>
      </c>
      <c r="J1413" s="22" t="str">
        <f>_xlfn.XLOOKUP(tblRequirementMeasureXref[[#This Row],[msr_id]],tblMeasure[msr_id],tblMeasure[primary_dimensions])</f>
        <v>income, source</v>
      </c>
      <c r="K1413" s="22" t="str">
        <f>_xlfn.XLOOKUP(tblRequirementMeasureXref[[#This Row],[msr_id]],tblMeasure[msr_id],tblMeasure[msr_min_geo_resolution])</f>
        <v>Region</v>
      </c>
      <c r="L1413" s="22" t="str">
        <f>_xlfn.XLOOKUP(tblRequirementMeasureXref[[#This Row],[msr_id]],tblMeasure[msr_id],tblMeasure[src_name])</f>
        <v>Family Resources Survey</v>
      </c>
    </row>
    <row r="1414" spans="1:12" x14ac:dyDescent="0.15">
      <c r="A1414" s="1" t="str">
        <f>_xlfn.XLOOKUP(tblRequirementMeasureXref[[#This Row],[dm_id]],tblDataRequirement[dm_id],tblDataRequirement[domain_sub_requirement])</f>
        <v>Funders:Expenditure:Central government</v>
      </c>
      <c r="B1414" s="1" t="str">
        <f>_xlfn.XLOOKUP(tblRequirementMeasureXref[[#This Row],[dm_id]],tblDataRequirement[dm_id],tblDataRequirement[dm_phase])</f>
        <v>supply</v>
      </c>
      <c r="C1414" s="1">
        <v>4</v>
      </c>
      <c r="D1414" s="1">
        <v>398</v>
      </c>
      <c r="G1414" s="1"/>
      <c r="H1414" s="62" t="str">
        <f>_xlfn.XLOOKUP(tblRequirementMeasureXref[[#This Row],[msr_id]],tblMeasure[msr_id],tblMeasure[msr_table])</f>
        <v>Table 2.3</v>
      </c>
      <c r="I1414" s="22" t="str">
        <f>_xlfn.XLOOKUP(tblRequirementMeasureXref[[#This Row],[msr_id]],tblMeasure[msr_id],tblMeasure[msr_name])</f>
        <v>Sources of total gross household income by ethnic group of head, average of 2015/16, 2016/17 and 2017/18, United Kingdom</v>
      </c>
      <c r="J1414" s="22" t="str">
        <f>_xlfn.XLOOKUP(tblRequirementMeasureXref[[#This Row],[msr_id]],tblMeasure[msr_id],tblMeasure[primary_dimensions])</f>
        <v>income, source</v>
      </c>
      <c r="K1414" s="22" t="str">
        <f>_xlfn.XLOOKUP(tblRequirementMeasureXref[[#This Row],[msr_id]],tblMeasure[msr_id],tblMeasure[msr_min_geo_resolution])</f>
        <v>UK</v>
      </c>
      <c r="L1414" s="22" t="str">
        <f>_xlfn.XLOOKUP(tblRequirementMeasureXref[[#This Row],[msr_id]],tblMeasure[msr_id],tblMeasure[src_name])</f>
        <v>Family Resources Survey</v>
      </c>
    </row>
    <row r="1415" spans="1:12" x14ac:dyDescent="0.15">
      <c r="A1415" s="1" t="str">
        <f>_xlfn.XLOOKUP(tblRequirementMeasureXref[[#This Row],[dm_id]],tblDataRequirement[dm_id],tblDataRequirement[domain_sub_requirement])</f>
        <v>Users:Income:State support / benefits</v>
      </c>
      <c r="B1415" s="1" t="str">
        <f>_xlfn.XLOOKUP(tblRequirementMeasureXref[[#This Row],[dm_id]],tblDataRequirement[dm_id],tblDataRequirement[dm_phase])</f>
        <v>supply</v>
      </c>
      <c r="C1415" s="1">
        <v>64</v>
      </c>
      <c r="D1415" s="1">
        <v>398</v>
      </c>
      <c r="G1415" s="1"/>
      <c r="H1415" s="62" t="str">
        <f>_xlfn.XLOOKUP(tblRequirementMeasureXref[[#This Row],[msr_id]],tblMeasure[msr_id],tblMeasure[msr_table])</f>
        <v>Table 2.3</v>
      </c>
      <c r="I1415" s="22" t="str">
        <f>_xlfn.XLOOKUP(tblRequirementMeasureXref[[#This Row],[msr_id]],tblMeasure[msr_id],tblMeasure[msr_name])</f>
        <v>Sources of total gross household income by ethnic group of head, average of 2015/16, 2016/17 and 2017/18, United Kingdom</v>
      </c>
      <c r="J1415" s="22" t="str">
        <f>_xlfn.XLOOKUP(tblRequirementMeasureXref[[#This Row],[msr_id]],tblMeasure[msr_id],tblMeasure[primary_dimensions])</f>
        <v>income, source</v>
      </c>
      <c r="K1415" s="22" t="str">
        <f>_xlfn.XLOOKUP(tblRequirementMeasureXref[[#This Row],[msr_id]],tblMeasure[msr_id],tblMeasure[msr_min_geo_resolution])</f>
        <v>UK</v>
      </c>
      <c r="L1415" s="22" t="str">
        <f>_xlfn.XLOOKUP(tblRequirementMeasureXref[[#This Row],[msr_id]],tblMeasure[msr_id],tblMeasure[src_name])</f>
        <v>Family Resources Survey</v>
      </c>
    </row>
    <row r="1416" spans="1:12" x14ac:dyDescent="0.15">
      <c r="A1416" s="1" t="str">
        <f>_xlfn.XLOOKUP(tblRequirementMeasureXref[[#This Row],[dm_id]],tblDataRequirement[dm_id],tblDataRequirement[domain_sub_requirement])</f>
        <v>Users:Demographics:Ethnicity</v>
      </c>
      <c r="B1416" s="1" t="str">
        <f>_xlfn.XLOOKUP(tblRequirementMeasureXref[[#This Row],[dm_id]],tblDataRequirement[dm_id],tblDataRequirement[dm_phase])</f>
        <v>demand</v>
      </c>
      <c r="C1416" s="1">
        <v>73</v>
      </c>
      <c r="D1416" s="1">
        <v>398</v>
      </c>
      <c r="G1416" s="1"/>
      <c r="H1416" s="62" t="str">
        <f>_xlfn.XLOOKUP(tblRequirementMeasureXref[[#This Row],[msr_id]],tblMeasure[msr_id],tblMeasure[msr_table])</f>
        <v>Table 2.3</v>
      </c>
      <c r="I1416" s="22" t="str">
        <f>_xlfn.XLOOKUP(tblRequirementMeasureXref[[#This Row],[msr_id]],tblMeasure[msr_id],tblMeasure[msr_name])</f>
        <v>Sources of total gross household income by ethnic group of head, average of 2015/16, 2016/17 and 2017/18, United Kingdom</v>
      </c>
      <c r="J1416" s="22" t="str">
        <f>_xlfn.XLOOKUP(tblRequirementMeasureXref[[#This Row],[msr_id]],tblMeasure[msr_id],tblMeasure[primary_dimensions])</f>
        <v>income, source</v>
      </c>
      <c r="K1416" s="22" t="str">
        <f>_xlfn.XLOOKUP(tblRequirementMeasureXref[[#This Row],[msr_id]],tblMeasure[msr_id],tblMeasure[msr_min_geo_resolution])</f>
        <v>UK</v>
      </c>
      <c r="L1416" s="22" t="str">
        <f>_xlfn.XLOOKUP(tblRequirementMeasureXref[[#This Row],[msr_id]],tblMeasure[msr_id],tblMeasure[src_name])</f>
        <v>Family Resources Survey</v>
      </c>
    </row>
    <row r="1417" spans="1:12" x14ac:dyDescent="0.15">
      <c r="A1417" s="1" t="str">
        <f>_xlfn.XLOOKUP(tblRequirementMeasureXref[[#This Row],[dm_id]],tblDataRequirement[dm_id],tblDataRequirement[domain_sub_requirement])</f>
        <v>Funders:Expenditure:Central government</v>
      </c>
      <c r="B1417" s="1" t="str">
        <f>_xlfn.XLOOKUP(tblRequirementMeasureXref[[#This Row],[dm_id]],tblDataRequirement[dm_id],tblDataRequirement[dm_phase])</f>
        <v>supply</v>
      </c>
      <c r="C1417" s="1">
        <v>4</v>
      </c>
      <c r="D1417" s="1">
        <v>399</v>
      </c>
      <c r="G1417" s="1"/>
      <c r="H1417" s="62" t="str">
        <f>_xlfn.XLOOKUP(tblRequirementMeasureXref[[#This Row],[msr_id]],tblMeasure[msr_id],tblMeasure[msr_table])</f>
        <v>Table 2.4</v>
      </c>
      <c r="I1417" s="22" t="str">
        <f>_xlfn.XLOOKUP(tblRequirementMeasureXref[[#This Row],[msr_id]],tblMeasure[msr_id],tblMeasure[msr_name])</f>
        <v>Sources of total gross household income by age of head, 2017/18, United Kingdom</v>
      </c>
      <c r="J1417" s="22" t="str">
        <f>_xlfn.XLOOKUP(tblRequirementMeasureXref[[#This Row],[msr_id]],tblMeasure[msr_id],tblMeasure[primary_dimensions])</f>
        <v>income, age</v>
      </c>
      <c r="K1417" s="22" t="str">
        <f>_xlfn.XLOOKUP(tblRequirementMeasureXref[[#This Row],[msr_id]],tblMeasure[msr_id],tblMeasure[msr_min_geo_resolution])</f>
        <v>UK</v>
      </c>
      <c r="L1417" s="22" t="str">
        <f>_xlfn.XLOOKUP(tblRequirementMeasureXref[[#This Row],[msr_id]],tblMeasure[msr_id],tblMeasure[src_name])</f>
        <v>Family Resources Survey</v>
      </c>
    </row>
    <row r="1418" spans="1:12" x14ac:dyDescent="0.15">
      <c r="A1418" s="1" t="str">
        <f>_xlfn.XLOOKUP(tblRequirementMeasureXref[[#This Row],[dm_id]],tblDataRequirement[dm_id],tblDataRequirement[domain_sub_requirement])</f>
        <v>Users:Income:State support / benefits</v>
      </c>
      <c r="B1418" s="1" t="str">
        <f>_xlfn.XLOOKUP(tblRequirementMeasureXref[[#This Row],[dm_id]],tblDataRequirement[dm_id],tblDataRequirement[dm_phase])</f>
        <v>supply</v>
      </c>
      <c r="C1418" s="1">
        <v>64</v>
      </c>
      <c r="D1418" s="1">
        <v>399</v>
      </c>
      <c r="G1418" s="1"/>
      <c r="H1418" s="62" t="str">
        <f>_xlfn.XLOOKUP(tblRequirementMeasureXref[[#This Row],[msr_id]],tblMeasure[msr_id],tblMeasure[msr_table])</f>
        <v>Table 2.4</v>
      </c>
      <c r="I1418" s="22" t="str">
        <f>_xlfn.XLOOKUP(tblRequirementMeasureXref[[#This Row],[msr_id]],tblMeasure[msr_id],tblMeasure[msr_name])</f>
        <v>Sources of total gross household income by age of head, 2017/18, United Kingdom</v>
      </c>
      <c r="J1418" s="22" t="str">
        <f>_xlfn.XLOOKUP(tblRequirementMeasureXref[[#This Row],[msr_id]],tblMeasure[msr_id],tblMeasure[primary_dimensions])</f>
        <v>income, age</v>
      </c>
      <c r="K1418" s="22" t="str">
        <f>_xlfn.XLOOKUP(tblRequirementMeasureXref[[#This Row],[msr_id]],tblMeasure[msr_id],tblMeasure[msr_min_geo_resolution])</f>
        <v>UK</v>
      </c>
      <c r="L1418" s="22" t="str">
        <f>_xlfn.XLOOKUP(tblRequirementMeasureXref[[#This Row],[msr_id]],tblMeasure[msr_id],tblMeasure[src_name])</f>
        <v>Family Resources Survey</v>
      </c>
    </row>
    <row r="1419" spans="1:12" x14ac:dyDescent="0.15">
      <c r="A1419" s="1" t="str">
        <f>_xlfn.XLOOKUP(tblRequirementMeasureXref[[#This Row],[dm_id]],tblDataRequirement[dm_id],tblDataRequirement[domain_sub_requirement])</f>
        <v>Users:Demographics:Age</v>
      </c>
      <c r="B1419" s="1" t="str">
        <f>_xlfn.XLOOKUP(tblRequirementMeasureXref[[#This Row],[dm_id]],tblDataRequirement[dm_id],tblDataRequirement[dm_phase])</f>
        <v>demand</v>
      </c>
      <c r="C1419" s="1">
        <v>51</v>
      </c>
      <c r="D1419" s="1">
        <v>399</v>
      </c>
      <c r="G1419" s="1"/>
      <c r="H1419" s="62" t="str">
        <f>_xlfn.XLOOKUP(tblRequirementMeasureXref[[#This Row],[msr_id]],tblMeasure[msr_id],tblMeasure[msr_table])</f>
        <v>Table 2.4</v>
      </c>
      <c r="I1419" s="22" t="str">
        <f>_xlfn.XLOOKUP(tblRequirementMeasureXref[[#This Row],[msr_id]],tblMeasure[msr_id],tblMeasure[msr_name])</f>
        <v>Sources of total gross household income by age of head, 2017/18, United Kingdom</v>
      </c>
      <c r="J1419" s="22" t="str">
        <f>_xlfn.XLOOKUP(tblRequirementMeasureXref[[#This Row],[msr_id]],tblMeasure[msr_id],tblMeasure[primary_dimensions])</f>
        <v>income, age</v>
      </c>
      <c r="K1419" s="22" t="str">
        <f>_xlfn.XLOOKUP(tblRequirementMeasureXref[[#This Row],[msr_id]],tblMeasure[msr_id],tblMeasure[msr_min_geo_resolution])</f>
        <v>UK</v>
      </c>
      <c r="L1419" s="22" t="str">
        <f>_xlfn.XLOOKUP(tblRequirementMeasureXref[[#This Row],[msr_id]],tblMeasure[msr_id],tblMeasure[src_name])</f>
        <v>Family Resources Survey</v>
      </c>
    </row>
    <row r="1420" spans="1:12" x14ac:dyDescent="0.15">
      <c r="A1420" s="1" t="str">
        <f>_xlfn.XLOOKUP(tblRequirementMeasureXref[[#This Row],[dm_id]],tblDataRequirement[dm_id],tblDataRequirement[domain_sub_requirement])</f>
        <v>Users:Context:Family/Household structure</v>
      </c>
      <c r="B1420" s="1" t="str">
        <f>_xlfn.XLOOKUP(tblRequirementMeasureXref[[#This Row],[dm_id]],tblDataRequirement[dm_id],tblDataRequirement[dm_phase])</f>
        <v>demand</v>
      </c>
      <c r="C1420" s="1">
        <v>63</v>
      </c>
      <c r="D1420" s="1">
        <v>400</v>
      </c>
      <c r="G1420" s="1"/>
      <c r="H1420" s="62" t="str">
        <f>_xlfn.XLOOKUP(tblRequirementMeasureXref[[#This Row],[msr_id]],tblMeasure[msr_id],tblMeasure[msr_table])</f>
        <v>Table 2.5</v>
      </c>
      <c r="I1420" s="22" t="str">
        <f>_xlfn.XLOOKUP(tblRequirementMeasureXref[[#This Row],[msr_id]],tblMeasure[msr_id],tblMeasure[msr_name])</f>
        <v>Households by composition and total gross weekly household income, 2017/18, United Kingdom</v>
      </c>
      <c r="J1420" s="22" t="str">
        <f>_xlfn.XLOOKUP(tblRequirementMeasureXref[[#This Row],[msr_id]],tblMeasure[msr_id],tblMeasure[primary_dimensions])</f>
        <v>households, income</v>
      </c>
      <c r="K1420" s="22" t="str">
        <f>_xlfn.XLOOKUP(tblRequirementMeasureXref[[#This Row],[msr_id]],tblMeasure[msr_id],tblMeasure[msr_min_geo_resolution])</f>
        <v>UK</v>
      </c>
      <c r="L1420" s="22" t="str">
        <f>_xlfn.XLOOKUP(tblRequirementMeasureXref[[#This Row],[msr_id]],tblMeasure[msr_id],tblMeasure[src_name])</f>
        <v>Family Resources Survey</v>
      </c>
    </row>
    <row r="1421" spans="1:12" x14ac:dyDescent="0.15">
      <c r="A1421" s="1" t="str">
        <f>_xlfn.XLOOKUP(tblRequirementMeasureXref[[#This Row],[dm_id]],tblDataRequirement[dm_id],tblDataRequirement[domain_sub_requirement])</f>
        <v>Users:Demographics:Socioeconomic status / employment / income</v>
      </c>
      <c r="B1421" s="1" t="str">
        <f>_xlfn.XLOOKUP(tblRequirementMeasureXref[[#This Row],[dm_id]],tblDataRequirement[dm_id],tblDataRequirement[dm_phase])</f>
        <v>outcome</v>
      </c>
      <c r="C1421" s="1">
        <v>105</v>
      </c>
      <c r="D1421" s="1">
        <v>400</v>
      </c>
      <c r="G1421" s="1"/>
      <c r="H1421" s="62" t="str">
        <f>_xlfn.XLOOKUP(tblRequirementMeasureXref[[#This Row],[msr_id]],tblMeasure[msr_id],tblMeasure[msr_table])</f>
        <v>Table 2.5</v>
      </c>
      <c r="I1421" s="22" t="str">
        <f>_xlfn.XLOOKUP(tblRequirementMeasureXref[[#This Row],[msr_id]],tblMeasure[msr_id],tblMeasure[msr_name])</f>
        <v>Households by composition and total gross weekly household income, 2017/18, United Kingdom</v>
      </c>
      <c r="J1421" s="22" t="str">
        <f>_xlfn.XLOOKUP(tblRequirementMeasureXref[[#This Row],[msr_id]],tblMeasure[msr_id],tblMeasure[primary_dimensions])</f>
        <v>households, income</v>
      </c>
      <c r="K1421" s="22" t="str">
        <f>_xlfn.XLOOKUP(tblRequirementMeasureXref[[#This Row],[msr_id]],tblMeasure[msr_id],tblMeasure[msr_min_geo_resolution])</f>
        <v>UK</v>
      </c>
      <c r="L1421" s="22" t="str">
        <f>_xlfn.XLOOKUP(tblRequirementMeasureXref[[#This Row],[msr_id]],tblMeasure[msr_id],tblMeasure[src_name])</f>
        <v>Family Resources Survey</v>
      </c>
    </row>
    <row r="1422" spans="1:12" x14ac:dyDescent="0.15">
      <c r="A1422" s="1" t="str">
        <f>_xlfn.XLOOKUP(tblRequirementMeasureXref[[#This Row],[dm_id]],tblDataRequirement[dm_id],tblDataRequirement[domain_sub_requirement])</f>
        <v>Funders:Expenditure:Central government</v>
      </c>
      <c r="B1422" s="1" t="str">
        <f>_xlfn.XLOOKUP(tblRequirementMeasureXref[[#This Row],[dm_id]],tblDataRequirement[dm_id],tblDataRequirement[dm_phase])</f>
        <v>supply</v>
      </c>
      <c r="C1422" s="1">
        <v>4</v>
      </c>
      <c r="D1422" s="1">
        <v>403</v>
      </c>
      <c r="G1422" s="1"/>
      <c r="H1422" s="62" t="str">
        <f>_xlfn.XLOOKUP(tblRequirementMeasureXref[[#This Row],[msr_id]],tblMeasure[msr_id],tblMeasure[msr_table])</f>
        <v>Table 2.8</v>
      </c>
      <c r="I1422" s="22" t="str">
        <f>_xlfn.XLOOKUP(tblRequirementMeasureXref[[#This Row],[msr_id]],tblMeasure[msr_id],tblMeasure[msr_name])</f>
        <v>Benefit units by state support receipt and region/country, 2017/18, United Kingdom</v>
      </c>
      <c r="J1422" s="22" t="str">
        <f>_xlfn.XLOOKUP(tblRequirementMeasureXref[[#This Row],[msr_id]],tblMeasure[msr_id],tblMeasure[primary_dimensions])</f>
        <v>benefit units</v>
      </c>
      <c r="K1422" s="22" t="str">
        <f>_xlfn.XLOOKUP(tblRequirementMeasureXref[[#This Row],[msr_id]],tblMeasure[msr_id],tblMeasure[msr_min_geo_resolution])</f>
        <v>Region</v>
      </c>
      <c r="L1422" s="22" t="str">
        <f>_xlfn.XLOOKUP(tblRequirementMeasureXref[[#This Row],[msr_id]],tblMeasure[msr_id],tblMeasure[src_name])</f>
        <v>Family Resources Survey</v>
      </c>
    </row>
    <row r="1423" spans="1:12" x14ac:dyDescent="0.15">
      <c r="A1423" s="1" t="str">
        <f>_xlfn.XLOOKUP(tblRequirementMeasureXref[[#This Row],[dm_id]],tblDataRequirement[dm_id],tblDataRequirement[domain_sub_requirement])</f>
        <v>Users:Income:State support / benefits</v>
      </c>
      <c r="B1423" s="1" t="str">
        <f>_xlfn.XLOOKUP(tblRequirementMeasureXref[[#This Row],[dm_id]],tblDataRequirement[dm_id],tblDataRequirement[dm_phase])</f>
        <v>supply</v>
      </c>
      <c r="C1423" s="1">
        <v>64</v>
      </c>
      <c r="D1423" s="1">
        <v>403</v>
      </c>
      <c r="G1423" s="1"/>
      <c r="H1423" s="62" t="str">
        <f>_xlfn.XLOOKUP(tblRequirementMeasureXref[[#This Row],[msr_id]],tblMeasure[msr_id],tblMeasure[msr_table])</f>
        <v>Table 2.8</v>
      </c>
      <c r="I1423" s="22" t="str">
        <f>_xlfn.XLOOKUP(tblRequirementMeasureXref[[#This Row],[msr_id]],tblMeasure[msr_id],tblMeasure[msr_name])</f>
        <v>Benefit units by state support receipt and region/country, 2017/18, United Kingdom</v>
      </c>
      <c r="J1423" s="22" t="str">
        <f>_xlfn.XLOOKUP(tblRequirementMeasureXref[[#This Row],[msr_id]],tblMeasure[msr_id],tblMeasure[primary_dimensions])</f>
        <v>benefit units</v>
      </c>
      <c r="K1423" s="22" t="str">
        <f>_xlfn.XLOOKUP(tblRequirementMeasureXref[[#This Row],[msr_id]],tblMeasure[msr_id],tblMeasure[msr_min_geo_resolution])</f>
        <v>Region</v>
      </c>
      <c r="L1423" s="22" t="str">
        <f>_xlfn.XLOOKUP(tblRequirementMeasureXref[[#This Row],[msr_id]],tblMeasure[msr_id],tblMeasure[src_name])</f>
        <v>Family Resources Survey</v>
      </c>
    </row>
    <row r="1424" spans="1:12" x14ac:dyDescent="0.15">
      <c r="A1424" s="1" t="str">
        <f>_xlfn.XLOOKUP(tblRequirementMeasureXref[[#This Row],[dm_id]],tblDataRequirement[dm_id],tblDataRequirement[domain_sub_requirement])</f>
        <v>Unpaid Carers:Income:State support / benefits</v>
      </c>
      <c r="B1424" s="1" t="str">
        <f>_xlfn.XLOOKUP(tblRequirementMeasureXref[[#This Row],[dm_id]],tblDataRequirement[dm_id],tblDataRequirement[dm_phase])</f>
        <v>supply</v>
      </c>
      <c r="C1424" s="1">
        <v>94</v>
      </c>
      <c r="D1424" s="1">
        <v>403</v>
      </c>
      <c r="G1424" s="1"/>
      <c r="H1424" s="62" t="str">
        <f>_xlfn.XLOOKUP(tblRequirementMeasureXref[[#This Row],[msr_id]],tblMeasure[msr_id],tblMeasure[msr_table])</f>
        <v>Table 2.8</v>
      </c>
      <c r="I1424" s="22" t="str">
        <f>_xlfn.XLOOKUP(tblRequirementMeasureXref[[#This Row],[msr_id]],tblMeasure[msr_id],tblMeasure[msr_name])</f>
        <v>Benefit units by state support receipt and region/country, 2017/18, United Kingdom</v>
      </c>
      <c r="J1424" s="22" t="str">
        <f>_xlfn.XLOOKUP(tblRequirementMeasureXref[[#This Row],[msr_id]],tblMeasure[msr_id],tblMeasure[primary_dimensions])</f>
        <v>benefit units</v>
      </c>
      <c r="K1424" s="22" t="str">
        <f>_xlfn.XLOOKUP(tblRequirementMeasureXref[[#This Row],[msr_id]],tblMeasure[msr_id],tblMeasure[msr_min_geo_resolution])</f>
        <v>Region</v>
      </c>
      <c r="L1424" s="22" t="str">
        <f>_xlfn.XLOOKUP(tblRequirementMeasureXref[[#This Row],[msr_id]],tblMeasure[msr_id],tblMeasure[src_name])</f>
        <v>Family Resources Survey</v>
      </c>
    </row>
    <row r="1425" spans="1:12" x14ac:dyDescent="0.15">
      <c r="A1425" s="1" t="str">
        <f>_xlfn.XLOOKUP(tblRequirementMeasureXref[[#This Row],[dm_id]],tblDataRequirement[dm_id],tblDataRequirement[domain_sub_requirement])</f>
        <v>Funders:Expenditure:Central government</v>
      </c>
      <c r="B1425" s="1" t="str">
        <f>_xlfn.XLOOKUP(tblRequirementMeasureXref[[#This Row],[dm_id]],tblDataRequirement[dm_id],tblDataRequirement[dm_phase])</f>
        <v>supply</v>
      </c>
      <c r="C1425" s="1">
        <v>4</v>
      </c>
      <c r="D1425" s="1">
        <v>404</v>
      </c>
      <c r="G1425" s="1"/>
      <c r="H1425" s="62" t="str">
        <f>_xlfn.XLOOKUP(tblRequirementMeasureXref[[#This Row],[msr_id]],tblMeasure[msr_id],tblMeasure[msr_table])</f>
        <v>Table 2.9</v>
      </c>
      <c r="I1425" s="22" t="str">
        <f>_xlfn.XLOOKUP(tblRequirementMeasureXref[[#This Row],[msr_id]],tblMeasure[msr_id],tblMeasure[msr_name])</f>
        <v>Benefit units by state support receipt and benefit unit type, 2017/18, United Kingdom</v>
      </c>
      <c r="J1425" s="22" t="str">
        <f>_xlfn.XLOOKUP(tblRequirementMeasureXref[[#This Row],[msr_id]],tblMeasure[msr_id],tblMeasure[primary_dimensions])</f>
        <v>benefit units, type</v>
      </c>
      <c r="K1425" s="22" t="str">
        <f>_xlfn.XLOOKUP(tblRequirementMeasureXref[[#This Row],[msr_id]],tblMeasure[msr_id],tblMeasure[msr_min_geo_resolution])</f>
        <v>UK</v>
      </c>
      <c r="L1425" s="22" t="str">
        <f>_xlfn.XLOOKUP(tblRequirementMeasureXref[[#This Row],[msr_id]],tblMeasure[msr_id],tblMeasure[src_name])</f>
        <v>Family Resources Survey</v>
      </c>
    </row>
    <row r="1426" spans="1:12" x14ac:dyDescent="0.15">
      <c r="A1426" s="1" t="str">
        <f>_xlfn.XLOOKUP(tblRequirementMeasureXref[[#This Row],[dm_id]],tblDataRequirement[dm_id],tblDataRequirement[domain_sub_requirement])</f>
        <v>Users:Income:State support / benefits</v>
      </c>
      <c r="B1426" s="1" t="str">
        <f>_xlfn.XLOOKUP(tblRequirementMeasureXref[[#This Row],[dm_id]],tblDataRequirement[dm_id],tblDataRequirement[dm_phase])</f>
        <v>supply</v>
      </c>
      <c r="C1426" s="1">
        <v>64</v>
      </c>
      <c r="D1426" s="1">
        <v>404</v>
      </c>
      <c r="G1426" s="1"/>
      <c r="H1426" s="62" t="str">
        <f>_xlfn.XLOOKUP(tblRequirementMeasureXref[[#This Row],[msr_id]],tblMeasure[msr_id],tblMeasure[msr_table])</f>
        <v>Table 2.9</v>
      </c>
      <c r="I1426" s="22" t="str">
        <f>_xlfn.XLOOKUP(tblRequirementMeasureXref[[#This Row],[msr_id]],tblMeasure[msr_id],tblMeasure[msr_name])</f>
        <v>Benefit units by state support receipt and benefit unit type, 2017/18, United Kingdom</v>
      </c>
      <c r="J1426" s="22" t="str">
        <f>_xlfn.XLOOKUP(tblRequirementMeasureXref[[#This Row],[msr_id]],tblMeasure[msr_id],tblMeasure[primary_dimensions])</f>
        <v>benefit units, type</v>
      </c>
      <c r="K1426" s="22" t="str">
        <f>_xlfn.XLOOKUP(tblRequirementMeasureXref[[#This Row],[msr_id]],tblMeasure[msr_id],tblMeasure[msr_min_geo_resolution])</f>
        <v>UK</v>
      </c>
      <c r="L1426" s="22" t="str">
        <f>_xlfn.XLOOKUP(tblRequirementMeasureXref[[#This Row],[msr_id]],tblMeasure[msr_id],tblMeasure[src_name])</f>
        <v>Family Resources Survey</v>
      </c>
    </row>
    <row r="1427" spans="1:12" x14ac:dyDescent="0.15">
      <c r="A1427" s="1" t="str">
        <f>_xlfn.XLOOKUP(tblRequirementMeasureXref[[#This Row],[dm_id]],tblDataRequirement[dm_id],tblDataRequirement[domain_sub_requirement])</f>
        <v>Unpaid Carers:Income:State support / benefits</v>
      </c>
      <c r="B1427" s="1" t="str">
        <f>_xlfn.XLOOKUP(tblRequirementMeasureXref[[#This Row],[dm_id]],tblDataRequirement[dm_id],tblDataRequirement[dm_phase])</f>
        <v>supply</v>
      </c>
      <c r="C1427" s="1">
        <v>94</v>
      </c>
      <c r="D1427" s="1">
        <v>404</v>
      </c>
      <c r="G1427" s="1"/>
      <c r="H1427" s="62" t="str">
        <f>_xlfn.XLOOKUP(tblRequirementMeasureXref[[#This Row],[msr_id]],tblMeasure[msr_id],tblMeasure[msr_table])</f>
        <v>Table 2.9</v>
      </c>
      <c r="I1427" s="22" t="str">
        <f>_xlfn.XLOOKUP(tblRequirementMeasureXref[[#This Row],[msr_id]],tblMeasure[msr_id],tblMeasure[msr_name])</f>
        <v>Benefit units by state support receipt and benefit unit type, 2017/18, United Kingdom</v>
      </c>
      <c r="J1427" s="22" t="str">
        <f>_xlfn.XLOOKUP(tblRequirementMeasureXref[[#This Row],[msr_id]],tblMeasure[msr_id],tblMeasure[primary_dimensions])</f>
        <v>benefit units, type</v>
      </c>
      <c r="K1427" s="22" t="str">
        <f>_xlfn.XLOOKUP(tblRequirementMeasureXref[[#This Row],[msr_id]],tblMeasure[msr_id],tblMeasure[msr_min_geo_resolution])</f>
        <v>UK</v>
      </c>
      <c r="L1427" s="22" t="str">
        <f>_xlfn.XLOOKUP(tblRequirementMeasureXref[[#This Row],[msr_id]],tblMeasure[msr_id],tblMeasure[src_name])</f>
        <v>Family Resources Survey</v>
      </c>
    </row>
    <row r="1428" spans="1:12" x14ac:dyDescent="0.15">
      <c r="A1428" s="1" t="str">
        <f>_xlfn.XLOOKUP(tblRequirementMeasureXref[[#This Row],[dm_id]],tblDataRequirement[dm_id],tblDataRequirement[domain_sub_requirement])</f>
        <v>Users:Context:Family/Household structure</v>
      </c>
      <c r="B1428" s="1" t="str">
        <f>_xlfn.XLOOKUP(tblRequirementMeasureXref[[#This Row],[dm_id]],tblDataRequirement[dm_id],tblDataRequirement[dm_phase])</f>
        <v>demand</v>
      </c>
      <c r="C1428" s="1">
        <v>63</v>
      </c>
      <c r="D1428" s="1">
        <v>404</v>
      </c>
      <c r="G1428" s="1"/>
      <c r="H1428" s="62" t="str">
        <f>_xlfn.XLOOKUP(tblRequirementMeasureXref[[#This Row],[msr_id]],tblMeasure[msr_id],tblMeasure[msr_table])</f>
        <v>Table 2.9</v>
      </c>
      <c r="I1428" s="22" t="str">
        <f>_xlfn.XLOOKUP(tblRequirementMeasureXref[[#This Row],[msr_id]],tblMeasure[msr_id],tblMeasure[msr_name])</f>
        <v>Benefit units by state support receipt and benefit unit type, 2017/18, United Kingdom</v>
      </c>
      <c r="J1428" s="22" t="str">
        <f>_xlfn.XLOOKUP(tblRequirementMeasureXref[[#This Row],[msr_id]],tblMeasure[msr_id],tblMeasure[primary_dimensions])</f>
        <v>benefit units, type</v>
      </c>
      <c r="K1428" s="22" t="str">
        <f>_xlfn.XLOOKUP(tblRequirementMeasureXref[[#This Row],[msr_id]],tblMeasure[msr_id],tblMeasure[msr_min_geo_resolution])</f>
        <v>UK</v>
      </c>
      <c r="L1428" s="22" t="str">
        <f>_xlfn.XLOOKUP(tblRequirementMeasureXref[[#This Row],[msr_id]],tblMeasure[msr_id],tblMeasure[src_name])</f>
        <v>Family Resources Survey</v>
      </c>
    </row>
    <row r="1429" spans="1:12" x14ac:dyDescent="0.15">
      <c r="A1429" s="1" t="str">
        <f>_xlfn.XLOOKUP(tblRequirementMeasureXref[[#This Row],[dm_id]],tblDataRequirement[dm_id],tblDataRequirement[domain_sub_requirement])</f>
        <v>Funders:Expenditure:Central government</v>
      </c>
      <c r="B1429" s="1" t="str">
        <f>_xlfn.XLOOKUP(tblRequirementMeasureXref[[#This Row],[dm_id]],tblDataRequirement[dm_id],tblDataRequirement[dm_phase])</f>
        <v>supply</v>
      </c>
      <c r="C1429" s="1">
        <v>4</v>
      </c>
      <c r="D1429" s="1">
        <v>405</v>
      </c>
      <c r="G1429" s="1"/>
      <c r="H1429" s="62" t="str">
        <f>_xlfn.XLOOKUP(tblRequirementMeasureXref[[#This Row],[msr_id]],tblMeasure[msr_id],tblMeasure[msr_table])</f>
        <v>Table 2.10</v>
      </c>
      <c r="I1429" s="22" t="str">
        <f>_xlfn.XLOOKUP(tblRequirementMeasureXref[[#This Row],[msr_id]],tblMeasure[msr_id],tblMeasure[msr_name])</f>
        <v>Benefit units by state support receipt and ethnic group of head, average of 2015/16, 2016/17 and 2017/18, United Kingdom</v>
      </c>
      <c r="J1429" s="22" t="str">
        <f>_xlfn.XLOOKUP(tblRequirementMeasureXref[[#This Row],[msr_id]],tblMeasure[msr_id],tblMeasure[primary_dimensions])</f>
        <v>benefit units</v>
      </c>
      <c r="K1429" s="22" t="str">
        <f>_xlfn.XLOOKUP(tblRequirementMeasureXref[[#This Row],[msr_id]],tblMeasure[msr_id],tblMeasure[msr_min_geo_resolution])</f>
        <v>UK</v>
      </c>
      <c r="L1429" s="22" t="str">
        <f>_xlfn.XLOOKUP(tblRequirementMeasureXref[[#This Row],[msr_id]],tblMeasure[msr_id],tblMeasure[src_name])</f>
        <v>Family Resources Survey</v>
      </c>
    </row>
    <row r="1430" spans="1:12" x14ac:dyDescent="0.15">
      <c r="A1430" s="1" t="str">
        <f>_xlfn.XLOOKUP(tblRequirementMeasureXref[[#This Row],[dm_id]],tblDataRequirement[dm_id],tblDataRequirement[domain_sub_requirement])</f>
        <v>Users:Income:State support / benefits</v>
      </c>
      <c r="B1430" s="1" t="str">
        <f>_xlfn.XLOOKUP(tblRequirementMeasureXref[[#This Row],[dm_id]],tblDataRequirement[dm_id],tblDataRequirement[dm_phase])</f>
        <v>supply</v>
      </c>
      <c r="C1430" s="1">
        <v>64</v>
      </c>
      <c r="D1430" s="1">
        <v>405</v>
      </c>
      <c r="G1430" s="1"/>
      <c r="H1430" s="62" t="str">
        <f>_xlfn.XLOOKUP(tblRequirementMeasureXref[[#This Row],[msr_id]],tblMeasure[msr_id],tblMeasure[msr_table])</f>
        <v>Table 2.10</v>
      </c>
      <c r="I1430" s="22" t="str">
        <f>_xlfn.XLOOKUP(tblRequirementMeasureXref[[#This Row],[msr_id]],tblMeasure[msr_id],tblMeasure[msr_name])</f>
        <v>Benefit units by state support receipt and ethnic group of head, average of 2015/16, 2016/17 and 2017/18, United Kingdom</v>
      </c>
      <c r="J1430" s="22" t="str">
        <f>_xlfn.XLOOKUP(tblRequirementMeasureXref[[#This Row],[msr_id]],tblMeasure[msr_id],tblMeasure[primary_dimensions])</f>
        <v>benefit units</v>
      </c>
      <c r="K1430" s="22" t="str">
        <f>_xlfn.XLOOKUP(tblRequirementMeasureXref[[#This Row],[msr_id]],tblMeasure[msr_id],tblMeasure[msr_min_geo_resolution])</f>
        <v>UK</v>
      </c>
      <c r="L1430" s="22" t="str">
        <f>_xlfn.XLOOKUP(tblRequirementMeasureXref[[#This Row],[msr_id]],tblMeasure[msr_id],tblMeasure[src_name])</f>
        <v>Family Resources Survey</v>
      </c>
    </row>
    <row r="1431" spans="1:12" x14ac:dyDescent="0.15">
      <c r="A1431" s="1" t="str">
        <f>_xlfn.XLOOKUP(tblRequirementMeasureXref[[#This Row],[dm_id]],tblDataRequirement[dm_id],tblDataRequirement[domain_sub_requirement])</f>
        <v>Unpaid Carers:Income:State support / benefits</v>
      </c>
      <c r="B1431" s="1" t="str">
        <f>_xlfn.XLOOKUP(tblRequirementMeasureXref[[#This Row],[dm_id]],tblDataRequirement[dm_id],tblDataRequirement[dm_phase])</f>
        <v>supply</v>
      </c>
      <c r="C1431" s="1">
        <v>94</v>
      </c>
      <c r="D1431" s="1">
        <v>405</v>
      </c>
      <c r="G1431" s="1"/>
      <c r="H1431" s="62" t="str">
        <f>_xlfn.XLOOKUP(tblRequirementMeasureXref[[#This Row],[msr_id]],tblMeasure[msr_id],tblMeasure[msr_table])</f>
        <v>Table 2.10</v>
      </c>
      <c r="I1431" s="22" t="str">
        <f>_xlfn.XLOOKUP(tblRequirementMeasureXref[[#This Row],[msr_id]],tblMeasure[msr_id],tblMeasure[msr_name])</f>
        <v>Benefit units by state support receipt and ethnic group of head, average of 2015/16, 2016/17 and 2017/18, United Kingdom</v>
      </c>
      <c r="J1431" s="22" t="str">
        <f>_xlfn.XLOOKUP(tblRequirementMeasureXref[[#This Row],[msr_id]],tblMeasure[msr_id],tblMeasure[primary_dimensions])</f>
        <v>benefit units</v>
      </c>
      <c r="K1431" s="22" t="str">
        <f>_xlfn.XLOOKUP(tblRequirementMeasureXref[[#This Row],[msr_id]],tblMeasure[msr_id],tblMeasure[msr_min_geo_resolution])</f>
        <v>UK</v>
      </c>
      <c r="L1431" s="22" t="str">
        <f>_xlfn.XLOOKUP(tblRequirementMeasureXref[[#This Row],[msr_id]],tblMeasure[msr_id],tblMeasure[src_name])</f>
        <v>Family Resources Survey</v>
      </c>
    </row>
    <row r="1432" spans="1:12" x14ac:dyDescent="0.15">
      <c r="A1432" s="1" t="str">
        <f>_xlfn.XLOOKUP(tblRequirementMeasureXref[[#This Row],[dm_id]],tblDataRequirement[dm_id],tblDataRequirement[domain_sub_requirement])</f>
        <v>Users:Demographics:Ethnicity</v>
      </c>
      <c r="B1432" s="1" t="str">
        <f>_xlfn.XLOOKUP(tblRequirementMeasureXref[[#This Row],[dm_id]],tblDataRequirement[dm_id],tblDataRequirement[dm_phase])</f>
        <v>demand</v>
      </c>
      <c r="C1432" s="1">
        <v>73</v>
      </c>
      <c r="D1432" s="1">
        <v>405</v>
      </c>
      <c r="G1432" s="1"/>
      <c r="H1432" s="62" t="str">
        <f>_xlfn.XLOOKUP(tblRequirementMeasureXref[[#This Row],[msr_id]],tblMeasure[msr_id],tblMeasure[msr_table])</f>
        <v>Table 2.10</v>
      </c>
      <c r="I1432" s="22" t="str">
        <f>_xlfn.XLOOKUP(tblRequirementMeasureXref[[#This Row],[msr_id]],tblMeasure[msr_id],tblMeasure[msr_name])</f>
        <v>Benefit units by state support receipt and ethnic group of head, average of 2015/16, 2016/17 and 2017/18, United Kingdom</v>
      </c>
      <c r="J1432" s="22" t="str">
        <f>_xlfn.XLOOKUP(tblRequirementMeasureXref[[#This Row],[msr_id]],tblMeasure[msr_id],tblMeasure[primary_dimensions])</f>
        <v>benefit units</v>
      </c>
      <c r="K1432" s="22" t="str">
        <f>_xlfn.XLOOKUP(tblRequirementMeasureXref[[#This Row],[msr_id]],tblMeasure[msr_id],tblMeasure[msr_min_geo_resolution])</f>
        <v>UK</v>
      </c>
      <c r="L1432" s="22" t="str">
        <f>_xlfn.XLOOKUP(tblRequirementMeasureXref[[#This Row],[msr_id]],tblMeasure[msr_id],tblMeasure[src_name])</f>
        <v>Family Resources Survey</v>
      </c>
    </row>
    <row r="1433" spans="1:12" x14ac:dyDescent="0.15">
      <c r="A1433" s="1" t="str">
        <f>_xlfn.XLOOKUP(tblRequirementMeasureXref[[#This Row],[dm_id]],tblDataRequirement[dm_id],tblDataRequirement[domain_sub_requirement])</f>
        <v>Funders:Expenditure:Central government</v>
      </c>
      <c r="B1433" s="1" t="str">
        <f>_xlfn.XLOOKUP(tblRequirementMeasureXref[[#This Row],[dm_id]],tblDataRequirement[dm_id],tblDataRequirement[dm_phase])</f>
        <v>supply</v>
      </c>
      <c r="C1433" s="1">
        <v>4</v>
      </c>
      <c r="D1433" s="1">
        <v>406</v>
      </c>
      <c r="G1433" s="1"/>
      <c r="H1433" s="62" t="str">
        <f>_xlfn.XLOOKUP(tblRequirementMeasureXref[[#This Row],[msr_id]],tblMeasure[msr_id],tblMeasure[msr_table])</f>
        <v>Table 2.11</v>
      </c>
      <c r="I1433" s="22" t="str">
        <f>_xlfn.XLOOKUP(tblRequirementMeasureXref[[#This Row],[msr_id]],tblMeasure[msr_id],tblMeasure[msr_name])</f>
        <v>Benefit units by state support receipt and age of head, 2017/18, United Kingdom</v>
      </c>
      <c r="J1433" s="22" t="str">
        <f>_xlfn.XLOOKUP(tblRequirementMeasureXref[[#This Row],[msr_id]],tblMeasure[msr_id],tblMeasure[primary_dimensions])</f>
        <v>benefit units</v>
      </c>
      <c r="K1433" s="22" t="str">
        <f>_xlfn.XLOOKUP(tblRequirementMeasureXref[[#This Row],[msr_id]],tblMeasure[msr_id],tblMeasure[msr_min_geo_resolution])</f>
        <v>UK</v>
      </c>
      <c r="L1433" s="22" t="str">
        <f>_xlfn.XLOOKUP(tblRequirementMeasureXref[[#This Row],[msr_id]],tblMeasure[msr_id],tblMeasure[src_name])</f>
        <v>Family Resources Survey</v>
      </c>
    </row>
    <row r="1434" spans="1:12" x14ac:dyDescent="0.15">
      <c r="A1434" s="1" t="str">
        <f>_xlfn.XLOOKUP(tblRequirementMeasureXref[[#This Row],[dm_id]],tblDataRequirement[dm_id],tblDataRequirement[domain_sub_requirement])</f>
        <v>Users:Income:State support / benefits</v>
      </c>
      <c r="B1434" s="1" t="str">
        <f>_xlfn.XLOOKUP(tblRequirementMeasureXref[[#This Row],[dm_id]],tblDataRequirement[dm_id],tblDataRequirement[dm_phase])</f>
        <v>supply</v>
      </c>
      <c r="C1434" s="1">
        <v>64</v>
      </c>
      <c r="D1434" s="1">
        <v>406</v>
      </c>
      <c r="G1434" s="1"/>
      <c r="H1434" s="62" t="str">
        <f>_xlfn.XLOOKUP(tblRequirementMeasureXref[[#This Row],[msr_id]],tblMeasure[msr_id],tblMeasure[msr_table])</f>
        <v>Table 2.11</v>
      </c>
      <c r="I1434" s="22" t="str">
        <f>_xlfn.XLOOKUP(tblRequirementMeasureXref[[#This Row],[msr_id]],tblMeasure[msr_id],tblMeasure[msr_name])</f>
        <v>Benefit units by state support receipt and age of head, 2017/18, United Kingdom</v>
      </c>
      <c r="J1434" s="22" t="str">
        <f>_xlfn.XLOOKUP(tblRequirementMeasureXref[[#This Row],[msr_id]],tblMeasure[msr_id],tblMeasure[primary_dimensions])</f>
        <v>benefit units</v>
      </c>
      <c r="K1434" s="22" t="str">
        <f>_xlfn.XLOOKUP(tblRequirementMeasureXref[[#This Row],[msr_id]],tblMeasure[msr_id],tblMeasure[msr_min_geo_resolution])</f>
        <v>UK</v>
      </c>
      <c r="L1434" s="22" t="str">
        <f>_xlfn.XLOOKUP(tblRequirementMeasureXref[[#This Row],[msr_id]],tblMeasure[msr_id],tblMeasure[src_name])</f>
        <v>Family Resources Survey</v>
      </c>
    </row>
    <row r="1435" spans="1:12" x14ac:dyDescent="0.15">
      <c r="A1435" s="1" t="str">
        <f>_xlfn.XLOOKUP(tblRequirementMeasureXref[[#This Row],[dm_id]],tblDataRequirement[dm_id],tblDataRequirement[domain_sub_requirement])</f>
        <v>Unpaid Carers:Income:State support / benefits</v>
      </c>
      <c r="B1435" s="1" t="str">
        <f>_xlfn.XLOOKUP(tblRequirementMeasureXref[[#This Row],[dm_id]],tblDataRequirement[dm_id],tblDataRequirement[dm_phase])</f>
        <v>supply</v>
      </c>
      <c r="C1435" s="1">
        <v>94</v>
      </c>
      <c r="D1435" s="1">
        <v>406</v>
      </c>
      <c r="G1435" s="1"/>
      <c r="H1435" s="62" t="str">
        <f>_xlfn.XLOOKUP(tblRequirementMeasureXref[[#This Row],[msr_id]],tblMeasure[msr_id],tblMeasure[msr_table])</f>
        <v>Table 2.11</v>
      </c>
      <c r="I1435" s="22" t="str">
        <f>_xlfn.XLOOKUP(tblRequirementMeasureXref[[#This Row],[msr_id]],tblMeasure[msr_id],tblMeasure[msr_name])</f>
        <v>Benefit units by state support receipt and age of head, 2017/18, United Kingdom</v>
      </c>
      <c r="J1435" s="22" t="str">
        <f>_xlfn.XLOOKUP(tblRequirementMeasureXref[[#This Row],[msr_id]],tblMeasure[msr_id],tblMeasure[primary_dimensions])</f>
        <v>benefit units</v>
      </c>
      <c r="K1435" s="22" t="str">
        <f>_xlfn.XLOOKUP(tblRequirementMeasureXref[[#This Row],[msr_id]],tblMeasure[msr_id],tblMeasure[msr_min_geo_resolution])</f>
        <v>UK</v>
      </c>
      <c r="L1435" s="22" t="str">
        <f>_xlfn.XLOOKUP(tblRequirementMeasureXref[[#This Row],[msr_id]],tblMeasure[msr_id],tblMeasure[src_name])</f>
        <v>Family Resources Survey</v>
      </c>
    </row>
    <row r="1436" spans="1:12" x14ac:dyDescent="0.15">
      <c r="A1436" s="1" t="str">
        <f>_xlfn.XLOOKUP(tblRequirementMeasureXref[[#This Row],[dm_id]],tblDataRequirement[dm_id],tblDataRequirement[domain_sub_requirement])</f>
        <v>Users:Demographics:Age</v>
      </c>
      <c r="B1436" s="1" t="str">
        <f>_xlfn.XLOOKUP(tblRequirementMeasureXref[[#This Row],[dm_id]],tblDataRequirement[dm_id],tblDataRequirement[dm_phase])</f>
        <v>demand</v>
      </c>
      <c r="C1436" s="1">
        <v>51</v>
      </c>
      <c r="D1436" s="1">
        <v>406</v>
      </c>
      <c r="G1436" s="1"/>
      <c r="H1436" s="62" t="str">
        <f>_xlfn.XLOOKUP(tblRequirementMeasureXref[[#This Row],[msr_id]],tblMeasure[msr_id],tblMeasure[msr_table])</f>
        <v>Table 2.11</v>
      </c>
      <c r="I1436" s="22" t="str">
        <f>_xlfn.XLOOKUP(tblRequirementMeasureXref[[#This Row],[msr_id]],tblMeasure[msr_id],tblMeasure[msr_name])</f>
        <v>Benefit units by state support receipt and age of head, 2017/18, United Kingdom</v>
      </c>
      <c r="J1436" s="22" t="str">
        <f>_xlfn.XLOOKUP(tblRequirementMeasureXref[[#This Row],[msr_id]],tblMeasure[msr_id],tblMeasure[primary_dimensions])</f>
        <v>benefit units</v>
      </c>
      <c r="K1436" s="22" t="str">
        <f>_xlfn.XLOOKUP(tblRequirementMeasureXref[[#This Row],[msr_id]],tblMeasure[msr_id],tblMeasure[msr_min_geo_resolution])</f>
        <v>UK</v>
      </c>
      <c r="L1436" s="22" t="str">
        <f>_xlfn.XLOOKUP(tblRequirementMeasureXref[[#This Row],[msr_id]],tblMeasure[msr_id],tblMeasure[src_name])</f>
        <v>Family Resources Survey</v>
      </c>
    </row>
    <row r="1437" spans="1:12" x14ac:dyDescent="0.15">
      <c r="A1437" s="1" t="str">
        <f>_xlfn.XLOOKUP(tblRequirementMeasureXref[[#This Row],[dm_id]],tblDataRequirement[dm_id],tblDataRequirement[domain_sub_requirement])</f>
        <v>Funders:Expenditure:Central government</v>
      </c>
      <c r="B1437" s="1" t="str">
        <f>_xlfn.XLOOKUP(tblRequirementMeasureXref[[#This Row],[dm_id]],tblDataRequirement[dm_id],tblDataRequirement[dm_phase])</f>
        <v>supply</v>
      </c>
      <c r="C1437" s="1">
        <v>4</v>
      </c>
      <c r="D1437" s="1">
        <v>407</v>
      </c>
      <c r="G1437" s="1"/>
      <c r="H1437" s="62" t="str">
        <f>_xlfn.XLOOKUP(tblRequirementMeasureXref[[#This Row],[msr_id]],tblMeasure[msr_id],tblMeasure[msr_table])</f>
        <v>Table 2.12</v>
      </c>
      <c r="I1437" s="22" t="str">
        <f>_xlfn.XLOOKUP(tblRequirementMeasureXref[[#This Row],[msr_id]],tblMeasure[msr_id],tblMeasure[msr_name])</f>
        <v>Benefit units by state support receipt and tenure, 2017/18, United Kingdom</v>
      </c>
      <c r="J1437" s="22" t="str">
        <f>_xlfn.XLOOKUP(tblRequirementMeasureXref[[#This Row],[msr_id]],tblMeasure[msr_id],tblMeasure[primary_dimensions])</f>
        <v>benefit units, tenure</v>
      </c>
      <c r="K1437" s="22" t="str">
        <f>_xlfn.XLOOKUP(tblRequirementMeasureXref[[#This Row],[msr_id]],tblMeasure[msr_id],tblMeasure[msr_min_geo_resolution])</f>
        <v>UK</v>
      </c>
      <c r="L1437" s="22" t="str">
        <f>_xlfn.XLOOKUP(tblRequirementMeasureXref[[#This Row],[msr_id]],tblMeasure[msr_id],tblMeasure[src_name])</f>
        <v>Family Resources Survey</v>
      </c>
    </row>
    <row r="1438" spans="1:12" x14ac:dyDescent="0.15">
      <c r="A1438" s="1" t="str">
        <f>_xlfn.XLOOKUP(tblRequirementMeasureXref[[#This Row],[dm_id]],tblDataRequirement[dm_id],tblDataRequirement[domain_sub_requirement])</f>
        <v>Users:Income:State support / benefits</v>
      </c>
      <c r="B1438" s="1" t="str">
        <f>_xlfn.XLOOKUP(tblRequirementMeasureXref[[#This Row],[dm_id]],tblDataRequirement[dm_id],tblDataRequirement[dm_phase])</f>
        <v>supply</v>
      </c>
      <c r="C1438" s="1">
        <v>64</v>
      </c>
      <c r="D1438" s="1">
        <v>407</v>
      </c>
      <c r="G1438" s="1"/>
      <c r="H1438" s="62" t="str">
        <f>_xlfn.XLOOKUP(tblRequirementMeasureXref[[#This Row],[msr_id]],tblMeasure[msr_id],tblMeasure[msr_table])</f>
        <v>Table 2.12</v>
      </c>
      <c r="I1438" s="22" t="str">
        <f>_xlfn.XLOOKUP(tblRequirementMeasureXref[[#This Row],[msr_id]],tblMeasure[msr_id],tblMeasure[msr_name])</f>
        <v>Benefit units by state support receipt and tenure, 2017/18, United Kingdom</v>
      </c>
      <c r="J1438" s="22" t="str">
        <f>_xlfn.XLOOKUP(tblRequirementMeasureXref[[#This Row],[msr_id]],tblMeasure[msr_id],tblMeasure[primary_dimensions])</f>
        <v>benefit units, tenure</v>
      </c>
      <c r="K1438" s="22" t="str">
        <f>_xlfn.XLOOKUP(tblRequirementMeasureXref[[#This Row],[msr_id]],tblMeasure[msr_id],tblMeasure[msr_min_geo_resolution])</f>
        <v>UK</v>
      </c>
      <c r="L1438" s="22" t="str">
        <f>_xlfn.XLOOKUP(tblRequirementMeasureXref[[#This Row],[msr_id]],tblMeasure[msr_id],tblMeasure[src_name])</f>
        <v>Family Resources Survey</v>
      </c>
    </row>
    <row r="1439" spans="1:12" x14ac:dyDescent="0.15">
      <c r="A1439" s="1" t="str">
        <f>_xlfn.XLOOKUP(tblRequirementMeasureXref[[#This Row],[dm_id]],tblDataRequirement[dm_id],tblDataRequirement[domain_sub_requirement])</f>
        <v>Unpaid Carers:Income:State support / benefits</v>
      </c>
      <c r="B1439" s="1" t="str">
        <f>_xlfn.XLOOKUP(tblRequirementMeasureXref[[#This Row],[dm_id]],tblDataRequirement[dm_id],tblDataRequirement[dm_phase])</f>
        <v>supply</v>
      </c>
      <c r="C1439" s="1">
        <v>94</v>
      </c>
      <c r="D1439" s="1">
        <v>407</v>
      </c>
      <c r="G1439" s="1"/>
      <c r="H1439" s="62" t="str">
        <f>_xlfn.XLOOKUP(tblRequirementMeasureXref[[#This Row],[msr_id]],tblMeasure[msr_id],tblMeasure[msr_table])</f>
        <v>Table 2.12</v>
      </c>
      <c r="I1439" s="22" t="str">
        <f>_xlfn.XLOOKUP(tblRequirementMeasureXref[[#This Row],[msr_id]],tblMeasure[msr_id],tblMeasure[msr_name])</f>
        <v>Benefit units by state support receipt and tenure, 2017/18, United Kingdom</v>
      </c>
      <c r="J1439" s="22" t="str">
        <f>_xlfn.XLOOKUP(tblRequirementMeasureXref[[#This Row],[msr_id]],tblMeasure[msr_id],tblMeasure[primary_dimensions])</f>
        <v>benefit units, tenure</v>
      </c>
      <c r="K1439" s="22" t="str">
        <f>_xlfn.XLOOKUP(tblRequirementMeasureXref[[#This Row],[msr_id]],tblMeasure[msr_id],tblMeasure[msr_min_geo_resolution])</f>
        <v>UK</v>
      </c>
      <c r="L1439" s="22" t="str">
        <f>_xlfn.XLOOKUP(tblRequirementMeasureXref[[#This Row],[msr_id]],tblMeasure[msr_id],tblMeasure[src_name])</f>
        <v>Family Resources Survey</v>
      </c>
    </row>
    <row r="1440" spans="1:12" x14ac:dyDescent="0.15">
      <c r="A1440" s="1" t="str">
        <f>_xlfn.XLOOKUP(tblRequirementMeasureXref[[#This Row],[dm_id]],tblDataRequirement[dm_id],tblDataRequirement[domain_sub_requirement])</f>
        <v>Users:Context:Accommodation type</v>
      </c>
      <c r="B1440" s="1" t="str">
        <f>_xlfn.XLOOKUP(tblRequirementMeasureXref[[#This Row],[dm_id]],tblDataRequirement[dm_id],tblDataRequirement[dm_phase])</f>
        <v>demand</v>
      </c>
      <c r="C1440" s="1">
        <v>75</v>
      </c>
      <c r="D1440" s="1">
        <v>407</v>
      </c>
      <c r="G1440" s="1"/>
      <c r="H1440" s="62" t="str">
        <f>_xlfn.XLOOKUP(tblRequirementMeasureXref[[#This Row],[msr_id]],tblMeasure[msr_id],tblMeasure[msr_table])</f>
        <v>Table 2.12</v>
      </c>
      <c r="I1440" s="22" t="str">
        <f>_xlfn.XLOOKUP(tblRequirementMeasureXref[[#This Row],[msr_id]],tblMeasure[msr_id],tblMeasure[msr_name])</f>
        <v>Benefit units by state support receipt and tenure, 2017/18, United Kingdom</v>
      </c>
      <c r="J1440" s="22" t="str">
        <f>_xlfn.XLOOKUP(tblRequirementMeasureXref[[#This Row],[msr_id]],tblMeasure[msr_id],tblMeasure[primary_dimensions])</f>
        <v>benefit units, tenure</v>
      </c>
      <c r="K1440" s="22" t="str">
        <f>_xlfn.XLOOKUP(tblRequirementMeasureXref[[#This Row],[msr_id]],tblMeasure[msr_id],tblMeasure[msr_min_geo_resolution])</f>
        <v>UK</v>
      </c>
      <c r="L1440" s="22" t="str">
        <f>_xlfn.XLOOKUP(tblRequirementMeasureXref[[#This Row],[msr_id]],tblMeasure[msr_id],tblMeasure[src_name])</f>
        <v>Family Resources Survey</v>
      </c>
    </row>
    <row r="1441" spans="1:12" x14ac:dyDescent="0.15">
      <c r="A1441" s="1" t="str">
        <f>_xlfn.XLOOKUP(tblRequirementMeasureXref[[#This Row],[dm_id]],tblDataRequirement[dm_id],tblDataRequirement[domain_sub_requirement])</f>
        <v>Funders:Expenditure:Central government</v>
      </c>
      <c r="B1441" s="1" t="str">
        <f>_xlfn.XLOOKUP(tblRequirementMeasureXref[[#This Row],[dm_id]],tblDataRequirement[dm_id],tblDataRequirement[dm_phase])</f>
        <v>supply</v>
      </c>
      <c r="C1441" s="1">
        <v>4</v>
      </c>
      <c r="D1441" s="1">
        <v>408</v>
      </c>
      <c r="G1441" s="1"/>
      <c r="H1441" s="62" t="str">
        <f>_xlfn.XLOOKUP(tblRequirementMeasureXref[[#This Row],[msr_id]],tblMeasure[msr_id],tblMeasure[msr_table])</f>
        <v>Table 2.13</v>
      </c>
      <c r="I1441" s="22" t="str">
        <f>_xlfn.XLOOKUP(tblRequirementMeasureXref[[#This Row],[msr_id]],tblMeasure[msr_id],tblMeasure[msr_name])</f>
        <v>Benefit units by state support receipt and economic status, 2017/18, United Kingdom</v>
      </c>
      <c r="J1441" s="22" t="str">
        <f>_xlfn.XLOOKUP(tblRequirementMeasureXref[[#This Row],[msr_id]],tblMeasure[msr_id],tblMeasure[primary_dimensions])</f>
        <v>benefit units, economic status</v>
      </c>
      <c r="K1441" s="22" t="str">
        <f>_xlfn.XLOOKUP(tblRequirementMeasureXref[[#This Row],[msr_id]],tblMeasure[msr_id],tblMeasure[msr_min_geo_resolution])</f>
        <v>UK</v>
      </c>
      <c r="L1441" s="22" t="str">
        <f>_xlfn.XLOOKUP(tblRequirementMeasureXref[[#This Row],[msr_id]],tblMeasure[msr_id],tblMeasure[src_name])</f>
        <v>Family Resources Survey</v>
      </c>
    </row>
    <row r="1442" spans="1:12" x14ac:dyDescent="0.15">
      <c r="A1442" s="1" t="str">
        <f>_xlfn.XLOOKUP(tblRequirementMeasureXref[[#This Row],[dm_id]],tblDataRequirement[dm_id],tblDataRequirement[domain_sub_requirement])</f>
        <v>Users:Income:State support / benefits</v>
      </c>
      <c r="B1442" s="1" t="str">
        <f>_xlfn.XLOOKUP(tblRequirementMeasureXref[[#This Row],[dm_id]],tblDataRequirement[dm_id],tblDataRequirement[dm_phase])</f>
        <v>supply</v>
      </c>
      <c r="C1442" s="1">
        <v>64</v>
      </c>
      <c r="D1442" s="1">
        <v>408</v>
      </c>
      <c r="G1442" s="1"/>
      <c r="H1442" s="62" t="str">
        <f>_xlfn.XLOOKUP(tblRequirementMeasureXref[[#This Row],[msr_id]],tblMeasure[msr_id],tblMeasure[msr_table])</f>
        <v>Table 2.13</v>
      </c>
      <c r="I1442" s="22" t="str">
        <f>_xlfn.XLOOKUP(tblRequirementMeasureXref[[#This Row],[msr_id]],tblMeasure[msr_id],tblMeasure[msr_name])</f>
        <v>Benefit units by state support receipt and economic status, 2017/18, United Kingdom</v>
      </c>
      <c r="J1442" s="22" t="str">
        <f>_xlfn.XLOOKUP(tblRequirementMeasureXref[[#This Row],[msr_id]],tblMeasure[msr_id],tblMeasure[primary_dimensions])</f>
        <v>benefit units, economic status</v>
      </c>
      <c r="K1442" s="22" t="str">
        <f>_xlfn.XLOOKUP(tblRequirementMeasureXref[[#This Row],[msr_id]],tblMeasure[msr_id],tblMeasure[msr_min_geo_resolution])</f>
        <v>UK</v>
      </c>
      <c r="L1442" s="22" t="str">
        <f>_xlfn.XLOOKUP(tblRequirementMeasureXref[[#This Row],[msr_id]],tblMeasure[msr_id],tblMeasure[src_name])</f>
        <v>Family Resources Survey</v>
      </c>
    </row>
    <row r="1443" spans="1:12" x14ac:dyDescent="0.15">
      <c r="A1443" s="1" t="str">
        <f>_xlfn.XLOOKUP(tblRequirementMeasureXref[[#This Row],[dm_id]],tblDataRequirement[dm_id],tblDataRequirement[domain_sub_requirement])</f>
        <v>Unpaid Carers:Income:State support / benefits</v>
      </c>
      <c r="B1443" s="1" t="str">
        <f>_xlfn.XLOOKUP(tblRequirementMeasureXref[[#This Row],[dm_id]],tblDataRequirement[dm_id],tblDataRequirement[dm_phase])</f>
        <v>supply</v>
      </c>
      <c r="C1443" s="1">
        <v>94</v>
      </c>
      <c r="D1443" s="1">
        <v>408</v>
      </c>
      <c r="G1443" s="1"/>
      <c r="H1443" s="62" t="str">
        <f>_xlfn.XLOOKUP(tblRequirementMeasureXref[[#This Row],[msr_id]],tblMeasure[msr_id],tblMeasure[msr_table])</f>
        <v>Table 2.13</v>
      </c>
      <c r="I1443" s="22" t="str">
        <f>_xlfn.XLOOKUP(tblRequirementMeasureXref[[#This Row],[msr_id]],tblMeasure[msr_id],tblMeasure[msr_name])</f>
        <v>Benefit units by state support receipt and economic status, 2017/18, United Kingdom</v>
      </c>
      <c r="J1443" s="22" t="str">
        <f>_xlfn.XLOOKUP(tblRequirementMeasureXref[[#This Row],[msr_id]],tblMeasure[msr_id],tblMeasure[primary_dimensions])</f>
        <v>benefit units, economic status</v>
      </c>
      <c r="K1443" s="22" t="str">
        <f>_xlfn.XLOOKUP(tblRequirementMeasureXref[[#This Row],[msr_id]],tblMeasure[msr_id],tblMeasure[msr_min_geo_resolution])</f>
        <v>UK</v>
      </c>
      <c r="L1443" s="22" t="str">
        <f>_xlfn.XLOOKUP(tblRequirementMeasureXref[[#This Row],[msr_id]],tblMeasure[msr_id],tblMeasure[src_name])</f>
        <v>Family Resources Survey</v>
      </c>
    </row>
    <row r="1444" spans="1:12" x14ac:dyDescent="0.15">
      <c r="A1444" s="1" t="str">
        <f>_xlfn.XLOOKUP(tblRequirementMeasureXref[[#This Row],[dm_id]],tblDataRequirement[dm_id],tblDataRequirement[domain_sub_requirement])</f>
        <v>Users:Context:Family/Household structure</v>
      </c>
      <c r="B1444" s="1" t="str">
        <f>_xlfn.XLOOKUP(tblRequirementMeasureXref[[#This Row],[dm_id]],tblDataRequirement[dm_id],tblDataRequirement[dm_phase])</f>
        <v>demand</v>
      </c>
      <c r="C1444" s="1">
        <v>63</v>
      </c>
      <c r="D1444" s="1">
        <v>408</v>
      </c>
      <c r="G1444" s="1"/>
      <c r="H1444" s="62" t="str">
        <f>_xlfn.XLOOKUP(tblRequirementMeasureXref[[#This Row],[msr_id]],tblMeasure[msr_id],tblMeasure[msr_table])</f>
        <v>Table 2.13</v>
      </c>
      <c r="I1444" s="22" t="str">
        <f>_xlfn.XLOOKUP(tblRequirementMeasureXref[[#This Row],[msr_id]],tblMeasure[msr_id],tblMeasure[msr_name])</f>
        <v>Benefit units by state support receipt and economic status, 2017/18, United Kingdom</v>
      </c>
      <c r="J1444" s="22" t="str">
        <f>_xlfn.XLOOKUP(tblRequirementMeasureXref[[#This Row],[msr_id]],tblMeasure[msr_id],tblMeasure[primary_dimensions])</f>
        <v>benefit units, economic status</v>
      </c>
      <c r="K1444" s="22" t="str">
        <f>_xlfn.XLOOKUP(tblRequirementMeasureXref[[#This Row],[msr_id]],tblMeasure[msr_id],tblMeasure[msr_min_geo_resolution])</f>
        <v>UK</v>
      </c>
      <c r="L1444" s="22" t="str">
        <f>_xlfn.XLOOKUP(tblRequirementMeasureXref[[#This Row],[msr_id]],tblMeasure[msr_id],tblMeasure[src_name])</f>
        <v>Family Resources Survey</v>
      </c>
    </row>
    <row r="1445" spans="1:12" x14ac:dyDescent="0.15">
      <c r="A1445" s="1" t="str">
        <f>_xlfn.XLOOKUP(tblRequirementMeasureXref[[#This Row],[dm_id]],tblDataRequirement[dm_id],tblDataRequirement[domain_sub_requirement])</f>
        <v>Funders:Expenditure:Central government</v>
      </c>
      <c r="B1445" s="1" t="str">
        <f>_xlfn.XLOOKUP(tblRequirementMeasureXref[[#This Row],[dm_id]],tblDataRequirement[dm_id],tblDataRequirement[dm_phase])</f>
        <v>supply</v>
      </c>
      <c r="C1445" s="1">
        <v>4</v>
      </c>
      <c r="D1445" s="1">
        <v>409</v>
      </c>
      <c r="G1445" s="1"/>
      <c r="H1445" s="62" t="str">
        <f>_xlfn.XLOOKUP(tblRequirementMeasureXref[[#This Row],[msr_id]],tblMeasure[msr_id],tblMeasure[msr_table])</f>
        <v>Table 2.14</v>
      </c>
      <c r="I1445" s="22" t="str">
        <f>_xlfn.XLOOKUP(tblRequirementMeasureXref[[#This Row],[msr_id]],tblMeasure[msr_id],tblMeasure[msr_name])</f>
        <v>Benefit units by amount of annual state support received, 2015/16 to 2017/18, United Kingdom</v>
      </c>
      <c r="J1445" s="22" t="str">
        <f>_xlfn.XLOOKUP(tblRequirementMeasureXref[[#This Row],[msr_id]],tblMeasure[msr_id],tblMeasure[primary_dimensions])</f>
        <v>benefit units, support received</v>
      </c>
      <c r="K1445" s="22" t="str">
        <f>_xlfn.XLOOKUP(tblRequirementMeasureXref[[#This Row],[msr_id]],tblMeasure[msr_id],tblMeasure[msr_min_geo_resolution])</f>
        <v>UK</v>
      </c>
      <c r="L1445" s="22" t="str">
        <f>_xlfn.XLOOKUP(tblRequirementMeasureXref[[#This Row],[msr_id]],tblMeasure[msr_id],tblMeasure[src_name])</f>
        <v>Family Resources Survey</v>
      </c>
    </row>
    <row r="1446" spans="1:12" x14ac:dyDescent="0.15">
      <c r="A1446" s="1" t="str">
        <f>_xlfn.XLOOKUP(tblRequirementMeasureXref[[#This Row],[dm_id]],tblDataRequirement[dm_id],tblDataRequirement[domain_sub_requirement])</f>
        <v>Users:Income:State support / benefits</v>
      </c>
      <c r="B1446" s="1" t="str">
        <f>_xlfn.XLOOKUP(tblRequirementMeasureXref[[#This Row],[dm_id]],tblDataRequirement[dm_id],tblDataRequirement[dm_phase])</f>
        <v>supply</v>
      </c>
      <c r="C1446" s="1">
        <v>64</v>
      </c>
      <c r="D1446" s="1">
        <v>409</v>
      </c>
      <c r="G1446" s="1"/>
      <c r="H1446" s="62" t="str">
        <f>_xlfn.XLOOKUP(tblRequirementMeasureXref[[#This Row],[msr_id]],tblMeasure[msr_id],tblMeasure[msr_table])</f>
        <v>Table 2.14</v>
      </c>
      <c r="I1446" s="22" t="str">
        <f>_xlfn.XLOOKUP(tblRequirementMeasureXref[[#This Row],[msr_id]],tblMeasure[msr_id],tblMeasure[msr_name])</f>
        <v>Benefit units by amount of annual state support received, 2015/16 to 2017/18, United Kingdom</v>
      </c>
      <c r="J1446" s="22" t="str">
        <f>_xlfn.XLOOKUP(tblRequirementMeasureXref[[#This Row],[msr_id]],tblMeasure[msr_id],tblMeasure[primary_dimensions])</f>
        <v>benefit units, support received</v>
      </c>
      <c r="K1446" s="22" t="str">
        <f>_xlfn.XLOOKUP(tblRequirementMeasureXref[[#This Row],[msr_id]],tblMeasure[msr_id],tblMeasure[msr_min_geo_resolution])</f>
        <v>UK</v>
      </c>
      <c r="L1446" s="22" t="str">
        <f>_xlfn.XLOOKUP(tblRequirementMeasureXref[[#This Row],[msr_id]],tblMeasure[msr_id],tblMeasure[src_name])</f>
        <v>Family Resources Survey</v>
      </c>
    </row>
    <row r="1447" spans="1:12" x14ac:dyDescent="0.15">
      <c r="A1447" s="1" t="str">
        <f>_xlfn.XLOOKUP(tblRequirementMeasureXref[[#This Row],[dm_id]],tblDataRequirement[dm_id],tblDataRequirement[domain_sub_requirement])</f>
        <v>Users:Demographics:Age</v>
      </c>
      <c r="B1447" s="1" t="str">
        <f>_xlfn.XLOOKUP(tblRequirementMeasureXref[[#This Row],[dm_id]],tblDataRequirement[dm_id],tblDataRequirement[dm_phase])</f>
        <v>demand</v>
      </c>
      <c r="C1447" s="1">
        <v>51</v>
      </c>
      <c r="D1447" s="1">
        <v>424</v>
      </c>
      <c r="G1447" s="1"/>
      <c r="H1447" s="62" t="str">
        <f>_xlfn.XLOOKUP(tblRequirementMeasureXref[[#This Row],[msr_id]],tblMeasure[msr_id],tblMeasure[msr_table])</f>
        <v>Table E10</v>
      </c>
      <c r="I1447" s="22" t="str">
        <f>_xlfn.XLOOKUP(tblRequirementMeasureXref[[#This Row],[msr_id]],tblMeasure[msr_id],tblMeasure[msr_name])</f>
        <v>Whether health limits kind or amount of work, by age, gender and wealth: wave 8</v>
      </c>
      <c r="J1447" s="22" t="str">
        <f>_xlfn.XLOOKUP(tblRequirementMeasureXref[[#This Row],[msr_id]],tblMeasure[msr_id],tblMeasure[primary_dimensions])</f>
        <v>health limiting work</v>
      </c>
      <c r="K1447" s="22" t="str">
        <f>_xlfn.XLOOKUP(tblRequirementMeasureXref[[#This Row],[msr_id]],tblMeasure[msr_id],tblMeasure[msr_min_geo_resolution])</f>
        <v>England</v>
      </c>
      <c r="L1447" s="22" t="str">
        <f>_xlfn.XLOOKUP(tblRequirementMeasureXref[[#This Row],[msr_id]],tblMeasure[msr_id],tblMeasure[src_name])</f>
        <v>English Longitudinal Study of Ageing</v>
      </c>
    </row>
    <row r="1448" spans="1:12" x14ac:dyDescent="0.15">
      <c r="A1448" s="1" t="str">
        <f>_xlfn.XLOOKUP(tblRequirementMeasureXref[[#This Row],[dm_id]],tblDataRequirement[dm_id],tblDataRequirement[domain_sub_requirement])</f>
        <v>Users:Demographics:Gender</v>
      </c>
      <c r="B1448" s="1" t="str">
        <f>_xlfn.XLOOKUP(tblRequirementMeasureXref[[#This Row],[dm_id]],tblDataRequirement[dm_id],tblDataRequirement[dm_phase])</f>
        <v>demand</v>
      </c>
      <c r="C1448" s="1">
        <v>62</v>
      </c>
      <c r="D1448" s="1">
        <v>424</v>
      </c>
      <c r="G1448" s="1"/>
      <c r="H1448" s="62" t="str">
        <f>_xlfn.XLOOKUP(tblRequirementMeasureXref[[#This Row],[msr_id]],tblMeasure[msr_id],tblMeasure[msr_table])</f>
        <v>Table E10</v>
      </c>
      <c r="I1448" s="22" t="str">
        <f>_xlfn.XLOOKUP(tblRequirementMeasureXref[[#This Row],[msr_id]],tblMeasure[msr_id],tblMeasure[msr_name])</f>
        <v>Whether health limits kind or amount of work, by age, gender and wealth: wave 8</v>
      </c>
      <c r="J1448" s="22" t="str">
        <f>_xlfn.XLOOKUP(tblRequirementMeasureXref[[#This Row],[msr_id]],tblMeasure[msr_id],tblMeasure[primary_dimensions])</f>
        <v>health limiting work</v>
      </c>
      <c r="K1448" s="22" t="str">
        <f>_xlfn.XLOOKUP(tblRequirementMeasureXref[[#This Row],[msr_id]],tblMeasure[msr_id],tblMeasure[msr_min_geo_resolution])</f>
        <v>England</v>
      </c>
      <c r="L1448" s="22" t="str">
        <f>_xlfn.XLOOKUP(tblRequirementMeasureXref[[#This Row],[msr_id]],tblMeasure[msr_id],tblMeasure[src_name])</f>
        <v>English Longitudinal Study of Ageing</v>
      </c>
    </row>
    <row r="1449" spans="1:12" x14ac:dyDescent="0.15">
      <c r="A1449" s="1" t="str">
        <f>_xlfn.XLOOKUP(tblRequirementMeasureXref[[#This Row],[dm_id]],tblDataRequirement[dm_id],tblDataRequirement[domain_sub_requirement])</f>
        <v>Users:Demographics:Socioeconomic status / employment / income</v>
      </c>
      <c r="B1449" s="1" t="str">
        <f>_xlfn.XLOOKUP(tblRequirementMeasureXref[[#This Row],[dm_id]],tblDataRequirement[dm_id],tblDataRequirement[dm_phase])</f>
        <v>outcome</v>
      </c>
      <c r="C1449" s="1">
        <v>105</v>
      </c>
      <c r="D1449" s="1">
        <v>424</v>
      </c>
      <c r="G1449" s="1"/>
      <c r="H1449" s="62" t="str">
        <f>_xlfn.XLOOKUP(tblRequirementMeasureXref[[#This Row],[msr_id]],tblMeasure[msr_id],tblMeasure[msr_table])</f>
        <v>Table E10</v>
      </c>
      <c r="I1449" s="22" t="str">
        <f>_xlfn.XLOOKUP(tblRequirementMeasureXref[[#This Row],[msr_id]],tblMeasure[msr_id],tblMeasure[msr_name])</f>
        <v>Whether health limits kind or amount of work, by age, gender and wealth: wave 8</v>
      </c>
      <c r="J1449" s="22" t="str">
        <f>_xlfn.XLOOKUP(tblRequirementMeasureXref[[#This Row],[msr_id]],tblMeasure[msr_id],tblMeasure[primary_dimensions])</f>
        <v>health limiting work</v>
      </c>
      <c r="K1449" s="22" t="str">
        <f>_xlfn.XLOOKUP(tblRequirementMeasureXref[[#This Row],[msr_id]],tblMeasure[msr_id],tblMeasure[msr_min_geo_resolution])</f>
        <v>England</v>
      </c>
      <c r="L1449" s="22" t="str">
        <f>_xlfn.XLOOKUP(tblRequirementMeasureXref[[#This Row],[msr_id]],tblMeasure[msr_id],tblMeasure[src_name])</f>
        <v>English Longitudinal Study of Ageing</v>
      </c>
    </row>
    <row r="1450" spans="1:12" x14ac:dyDescent="0.15">
      <c r="A1450" s="1" t="str">
        <f>_xlfn.XLOOKUP(tblRequirementMeasureXref[[#This Row],[dm_id]],tblDataRequirement[dm_id],tblDataRequirement[domain_sub_requirement])</f>
        <v>Users:Demographics:Age</v>
      </c>
      <c r="B1450" s="1" t="str">
        <f>_xlfn.XLOOKUP(tblRequirementMeasureXref[[#This Row],[dm_id]],tblDataRequirement[dm_id],tblDataRequirement[dm_phase])</f>
        <v>demand</v>
      </c>
      <c r="C1450" s="1">
        <v>51</v>
      </c>
      <c r="D1450" s="1">
        <v>425</v>
      </c>
      <c r="G1450" s="1"/>
      <c r="H1450" s="62" t="str">
        <f>_xlfn.XLOOKUP(tblRequirementMeasureXref[[#This Row],[msr_id]],tblMeasure[msr_id],tblMeasure[msr_table])</f>
        <v>Table E11</v>
      </c>
      <c r="I1450" s="22" t="str">
        <f>_xlfn.XLOOKUP(tblRequirementMeasureXref[[#This Row],[msr_id]],tblMeasure[msr_id],tblMeasure[msr_name])</f>
        <v>Mean self-reported chances (%) of health limiting ability to work at age 65 (workers aged below 65 only), by age, gender and wealth group: wave 8</v>
      </c>
      <c r="J1450" s="22" t="str">
        <f>_xlfn.XLOOKUP(tblRequirementMeasureXref[[#This Row],[msr_id]],tblMeasure[msr_id],tblMeasure[primary_dimensions])</f>
        <v>health limiting work</v>
      </c>
      <c r="K1450" s="22" t="str">
        <f>_xlfn.XLOOKUP(tblRequirementMeasureXref[[#This Row],[msr_id]],tblMeasure[msr_id],tblMeasure[msr_min_geo_resolution])</f>
        <v>England</v>
      </c>
      <c r="L1450" s="22" t="str">
        <f>_xlfn.XLOOKUP(tblRequirementMeasureXref[[#This Row],[msr_id]],tblMeasure[msr_id],tblMeasure[src_name])</f>
        <v>English Longitudinal Study of Ageing</v>
      </c>
    </row>
    <row r="1451" spans="1:12" x14ac:dyDescent="0.15">
      <c r="A1451" s="1" t="str">
        <f>_xlfn.XLOOKUP(tblRequirementMeasureXref[[#This Row],[dm_id]],tblDataRequirement[dm_id],tblDataRequirement[domain_sub_requirement])</f>
        <v>Users:Demographics:Gender</v>
      </c>
      <c r="B1451" s="1" t="str">
        <f>_xlfn.XLOOKUP(tblRequirementMeasureXref[[#This Row],[dm_id]],tblDataRequirement[dm_id],tblDataRequirement[dm_phase])</f>
        <v>demand</v>
      </c>
      <c r="C1451" s="1">
        <v>62</v>
      </c>
      <c r="D1451" s="1">
        <v>425</v>
      </c>
      <c r="G1451" s="1"/>
      <c r="H1451" s="62" t="str">
        <f>_xlfn.XLOOKUP(tblRequirementMeasureXref[[#This Row],[msr_id]],tblMeasure[msr_id],tblMeasure[msr_table])</f>
        <v>Table E11</v>
      </c>
      <c r="I1451" s="22" t="str">
        <f>_xlfn.XLOOKUP(tblRequirementMeasureXref[[#This Row],[msr_id]],tblMeasure[msr_id],tblMeasure[msr_name])</f>
        <v>Mean self-reported chances (%) of health limiting ability to work at age 65 (workers aged below 65 only), by age, gender and wealth group: wave 8</v>
      </c>
      <c r="J1451" s="22" t="str">
        <f>_xlfn.XLOOKUP(tblRequirementMeasureXref[[#This Row],[msr_id]],tblMeasure[msr_id],tblMeasure[primary_dimensions])</f>
        <v>health limiting work</v>
      </c>
      <c r="K1451" s="22" t="str">
        <f>_xlfn.XLOOKUP(tblRequirementMeasureXref[[#This Row],[msr_id]],tblMeasure[msr_id],tblMeasure[msr_min_geo_resolution])</f>
        <v>England</v>
      </c>
      <c r="L1451" s="22" t="str">
        <f>_xlfn.XLOOKUP(tblRequirementMeasureXref[[#This Row],[msr_id]],tblMeasure[msr_id],tblMeasure[src_name])</f>
        <v>English Longitudinal Study of Ageing</v>
      </c>
    </row>
    <row r="1452" spans="1:12" x14ac:dyDescent="0.15">
      <c r="A1452" s="1" t="str">
        <f>_xlfn.XLOOKUP(tblRequirementMeasureXref[[#This Row],[dm_id]],tblDataRequirement[dm_id],tblDataRequirement[domain_sub_requirement])</f>
        <v>Users:Demographics:Socioeconomic status / employment / income</v>
      </c>
      <c r="B1452" s="1" t="str">
        <f>_xlfn.XLOOKUP(tblRequirementMeasureXref[[#This Row],[dm_id]],tblDataRequirement[dm_id],tblDataRequirement[dm_phase])</f>
        <v>outcome</v>
      </c>
      <c r="C1452" s="1">
        <v>105</v>
      </c>
      <c r="D1452" s="1">
        <v>425</v>
      </c>
      <c r="G1452" s="1"/>
      <c r="H1452" s="62" t="str">
        <f>_xlfn.XLOOKUP(tblRequirementMeasureXref[[#This Row],[msr_id]],tblMeasure[msr_id],tblMeasure[msr_table])</f>
        <v>Table E11</v>
      </c>
      <c r="I1452" s="22" t="str">
        <f>_xlfn.XLOOKUP(tblRequirementMeasureXref[[#This Row],[msr_id]],tblMeasure[msr_id],tblMeasure[msr_name])</f>
        <v>Mean self-reported chances (%) of health limiting ability to work at age 65 (workers aged below 65 only), by age, gender and wealth group: wave 8</v>
      </c>
      <c r="J1452" s="22" t="str">
        <f>_xlfn.XLOOKUP(tblRequirementMeasureXref[[#This Row],[msr_id]],tblMeasure[msr_id],tblMeasure[primary_dimensions])</f>
        <v>health limiting work</v>
      </c>
      <c r="K1452" s="22" t="str">
        <f>_xlfn.XLOOKUP(tblRequirementMeasureXref[[#This Row],[msr_id]],tblMeasure[msr_id],tblMeasure[msr_min_geo_resolution])</f>
        <v>England</v>
      </c>
      <c r="L1452" s="22" t="str">
        <f>_xlfn.XLOOKUP(tblRequirementMeasureXref[[#This Row],[msr_id]],tblMeasure[msr_id],tblMeasure[src_name])</f>
        <v>English Longitudinal Study of Ageing</v>
      </c>
    </row>
    <row r="1453" spans="1:12" x14ac:dyDescent="0.15">
      <c r="A1453" s="1" t="str">
        <f>_xlfn.XLOOKUP(tblRequirementMeasureXref[[#This Row],[dm_id]],tblDataRequirement[dm_id],tblDataRequirement[domain_sub_requirement])</f>
        <v>Users:Demographics:Age</v>
      </c>
      <c r="B1453" s="1" t="str">
        <f>_xlfn.XLOOKUP(tblRequirementMeasureXref[[#This Row],[dm_id]],tblDataRequirement[dm_id],tblDataRequirement[dm_phase])</f>
        <v>demand</v>
      </c>
      <c r="C1453" s="1">
        <v>51</v>
      </c>
      <c r="D1453" s="1">
        <v>447</v>
      </c>
      <c r="G1453" s="1"/>
      <c r="H1453" s="62" t="str">
        <f>_xlfn.XLOOKUP(tblRequirementMeasureXref[[#This Row],[msr_id]],tblMeasure[msr_id],tblMeasure[msr_table])</f>
        <v>Table EL9a</v>
      </c>
      <c r="I1453" s="22" t="str">
        <f>_xlfn.XLOOKUP(tblRequirementMeasureXref[[#This Row],[msr_id]],tblMeasure[msr_id],tblMeasure[msr_name])</f>
        <v>Persistency of health problem limiting ability to work in waves 4–8, by wealth group and age: men aged below 74 at baseline only</v>
      </c>
      <c r="J1453" s="22" t="str">
        <f>_xlfn.XLOOKUP(tblRequirementMeasureXref[[#This Row],[msr_id]],tblMeasure[msr_id],tblMeasure[primary_dimensions])</f>
        <v>health limiting work</v>
      </c>
      <c r="K1453" s="22" t="str">
        <f>_xlfn.XLOOKUP(tblRequirementMeasureXref[[#This Row],[msr_id]],tblMeasure[msr_id],tblMeasure[msr_min_geo_resolution])</f>
        <v>England</v>
      </c>
      <c r="L1453" s="22" t="str">
        <f>_xlfn.XLOOKUP(tblRequirementMeasureXref[[#This Row],[msr_id]],tblMeasure[msr_id],tblMeasure[src_name])</f>
        <v>English Longitudinal Study of Ageing</v>
      </c>
    </row>
    <row r="1454" spans="1:12" x14ac:dyDescent="0.15">
      <c r="A1454" s="1" t="str">
        <f>_xlfn.XLOOKUP(tblRequirementMeasureXref[[#This Row],[dm_id]],tblDataRequirement[dm_id],tblDataRequirement[domain_sub_requirement])</f>
        <v>Users:Demographics:Gender</v>
      </c>
      <c r="B1454" s="1" t="str">
        <f>_xlfn.XLOOKUP(tblRequirementMeasureXref[[#This Row],[dm_id]],tblDataRequirement[dm_id],tblDataRequirement[dm_phase])</f>
        <v>demand</v>
      </c>
      <c r="C1454" s="1">
        <v>62</v>
      </c>
      <c r="D1454" s="1">
        <v>447</v>
      </c>
      <c r="G1454" s="1"/>
      <c r="H1454" s="62" t="str">
        <f>_xlfn.XLOOKUP(tblRequirementMeasureXref[[#This Row],[msr_id]],tblMeasure[msr_id],tblMeasure[msr_table])</f>
        <v>Table EL9a</v>
      </c>
      <c r="I1454" s="22" t="str">
        <f>_xlfn.XLOOKUP(tblRequirementMeasureXref[[#This Row],[msr_id]],tblMeasure[msr_id],tblMeasure[msr_name])</f>
        <v>Persistency of health problem limiting ability to work in waves 4–8, by wealth group and age: men aged below 74 at baseline only</v>
      </c>
      <c r="J1454" s="22" t="str">
        <f>_xlfn.XLOOKUP(tblRequirementMeasureXref[[#This Row],[msr_id]],tblMeasure[msr_id],tblMeasure[primary_dimensions])</f>
        <v>health limiting work</v>
      </c>
      <c r="K1454" s="22" t="str">
        <f>_xlfn.XLOOKUP(tblRequirementMeasureXref[[#This Row],[msr_id]],tblMeasure[msr_id],tblMeasure[msr_min_geo_resolution])</f>
        <v>England</v>
      </c>
      <c r="L1454" s="22" t="str">
        <f>_xlfn.XLOOKUP(tblRequirementMeasureXref[[#This Row],[msr_id]],tblMeasure[msr_id],tblMeasure[src_name])</f>
        <v>English Longitudinal Study of Ageing</v>
      </c>
    </row>
    <row r="1455" spans="1:12" x14ac:dyDescent="0.15">
      <c r="A1455" s="1" t="str">
        <f>_xlfn.XLOOKUP(tblRequirementMeasureXref[[#This Row],[dm_id]],tblDataRequirement[dm_id],tblDataRequirement[domain_sub_requirement])</f>
        <v>Users:Demographics:Socioeconomic status / employment / income</v>
      </c>
      <c r="B1455" s="1" t="str">
        <f>_xlfn.XLOOKUP(tblRequirementMeasureXref[[#This Row],[dm_id]],tblDataRequirement[dm_id],tblDataRequirement[dm_phase])</f>
        <v>outcome</v>
      </c>
      <c r="C1455" s="1">
        <v>105</v>
      </c>
      <c r="D1455" s="1">
        <v>447</v>
      </c>
      <c r="G1455" s="1"/>
      <c r="H1455" s="62" t="str">
        <f>_xlfn.XLOOKUP(tblRequirementMeasureXref[[#This Row],[msr_id]],tblMeasure[msr_id],tblMeasure[msr_table])</f>
        <v>Table EL9a</v>
      </c>
      <c r="I1455" s="22" t="str">
        <f>_xlfn.XLOOKUP(tblRequirementMeasureXref[[#This Row],[msr_id]],tblMeasure[msr_id],tblMeasure[msr_name])</f>
        <v>Persistency of health problem limiting ability to work in waves 4–8, by wealth group and age: men aged below 74 at baseline only</v>
      </c>
      <c r="J1455" s="22" t="str">
        <f>_xlfn.XLOOKUP(tblRequirementMeasureXref[[#This Row],[msr_id]],tblMeasure[msr_id],tblMeasure[primary_dimensions])</f>
        <v>health limiting work</v>
      </c>
      <c r="K1455" s="22" t="str">
        <f>_xlfn.XLOOKUP(tblRequirementMeasureXref[[#This Row],[msr_id]],tblMeasure[msr_id],tblMeasure[msr_min_geo_resolution])</f>
        <v>England</v>
      </c>
      <c r="L1455" s="22" t="str">
        <f>_xlfn.XLOOKUP(tblRequirementMeasureXref[[#This Row],[msr_id]],tblMeasure[msr_id],tblMeasure[src_name])</f>
        <v>English Longitudinal Study of Ageing</v>
      </c>
    </row>
    <row r="1456" spans="1:12" x14ac:dyDescent="0.15">
      <c r="A1456" s="1" t="str">
        <f>_xlfn.XLOOKUP(tblRequirementMeasureXref[[#This Row],[dm_id]],tblDataRequirement[dm_id],tblDataRequirement[domain_sub_requirement])</f>
        <v>Users:Demographics:Age</v>
      </c>
      <c r="B1456" s="1" t="str">
        <f>_xlfn.XLOOKUP(tblRequirementMeasureXref[[#This Row],[dm_id]],tblDataRequirement[dm_id],tblDataRequirement[dm_phase])</f>
        <v>demand</v>
      </c>
      <c r="C1456" s="1">
        <v>51</v>
      </c>
      <c r="D1456" s="1">
        <v>448</v>
      </c>
      <c r="G1456" s="1"/>
      <c r="H1456" s="62" t="str">
        <f>_xlfn.XLOOKUP(tblRequirementMeasureXref[[#This Row],[msr_id]],tblMeasure[msr_id],tblMeasure[msr_table])</f>
        <v>Table EL9b</v>
      </c>
      <c r="I1456" s="22" t="str">
        <f>_xlfn.XLOOKUP(tblRequirementMeasureXref[[#This Row],[msr_id]],tblMeasure[msr_id],tblMeasure[msr_name])</f>
        <v>Persistency of health problem limiting ability to work in waves 4–8, by wealth group and age: women aged below 74 at baseline only</v>
      </c>
      <c r="J1456" s="22" t="str">
        <f>_xlfn.XLOOKUP(tblRequirementMeasureXref[[#This Row],[msr_id]],tblMeasure[msr_id],tblMeasure[primary_dimensions])</f>
        <v>health limiting work</v>
      </c>
      <c r="K1456" s="22" t="str">
        <f>_xlfn.XLOOKUP(tblRequirementMeasureXref[[#This Row],[msr_id]],tblMeasure[msr_id],tblMeasure[msr_min_geo_resolution])</f>
        <v>England</v>
      </c>
      <c r="L1456" s="22" t="str">
        <f>_xlfn.XLOOKUP(tblRequirementMeasureXref[[#This Row],[msr_id]],tblMeasure[msr_id],tblMeasure[src_name])</f>
        <v>English Longitudinal Study of Ageing</v>
      </c>
    </row>
    <row r="1457" spans="1:12" x14ac:dyDescent="0.15">
      <c r="A1457" s="1" t="str">
        <f>_xlfn.XLOOKUP(tblRequirementMeasureXref[[#This Row],[dm_id]],tblDataRequirement[dm_id],tblDataRequirement[domain_sub_requirement])</f>
        <v>Users:Demographics:Gender</v>
      </c>
      <c r="B1457" s="1" t="str">
        <f>_xlfn.XLOOKUP(tblRequirementMeasureXref[[#This Row],[dm_id]],tblDataRequirement[dm_id],tblDataRequirement[dm_phase])</f>
        <v>demand</v>
      </c>
      <c r="C1457" s="1">
        <v>62</v>
      </c>
      <c r="D1457" s="1">
        <v>448</v>
      </c>
      <c r="G1457" s="1"/>
      <c r="H1457" s="62" t="str">
        <f>_xlfn.XLOOKUP(tblRequirementMeasureXref[[#This Row],[msr_id]],tblMeasure[msr_id],tblMeasure[msr_table])</f>
        <v>Table EL9b</v>
      </c>
      <c r="I1457" s="22" t="str">
        <f>_xlfn.XLOOKUP(tblRequirementMeasureXref[[#This Row],[msr_id]],tblMeasure[msr_id],tblMeasure[msr_name])</f>
        <v>Persistency of health problem limiting ability to work in waves 4–8, by wealth group and age: women aged below 74 at baseline only</v>
      </c>
      <c r="J1457" s="22" t="str">
        <f>_xlfn.XLOOKUP(tblRequirementMeasureXref[[#This Row],[msr_id]],tblMeasure[msr_id],tblMeasure[primary_dimensions])</f>
        <v>health limiting work</v>
      </c>
      <c r="K1457" s="22" t="str">
        <f>_xlfn.XLOOKUP(tblRequirementMeasureXref[[#This Row],[msr_id]],tblMeasure[msr_id],tblMeasure[msr_min_geo_resolution])</f>
        <v>England</v>
      </c>
      <c r="L1457" s="22" t="str">
        <f>_xlfn.XLOOKUP(tblRequirementMeasureXref[[#This Row],[msr_id]],tblMeasure[msr_id],tblMeasure[src_name])</f>
        <v>English Longitudinal Study of Ageing</v>
      </c>
    </row>
    <row r="1458" spans="1:12" x14ac:dyDescent="0.15">
      <c r="A1458" s="1" t="str">
        <f>_xlfn.XLOOKUP(tblRequirementMeasureXref[[#This Row],[dm_id]],tblDataRequirement[dm_id],tblDataRequirement[domain_sub_requirement])</f>
        <v>Users:Demographics:Socioeconomic status / employment / income</v>
      </c>
      <c r="B1458" s="1" t="str">
        <f>_xlfn.XLOOKUP(tblRequirementMeasureXref[[#This Row],[dm_id]],tblDataRequirement[dm_id],tblDataRequirement[dm_phase])</f>
        <v>outcome</v>
      </c>
      <c r="C1458" s="1">
        <v>105</v>
      </c>
      <c r="D1458" s="1">
        <v>448</v>
      </c>
      <c r="G1458" s="1"/>
      <c r="H1458" s="62" t="str">
        <f>_xlfn.XLOOKUP(tblRequirementMeasureXref[[#This Row],[msr_id]],tblMeasure[msr_id],tblMeasure[msr_table])</f>
        <v>Table EL9b</v>
      </c>
      <c r="I1458" s="22" t="str">
        <f>_xlfn.XLOOKUP(tblRequirementMeasureXref[[#This Row],[msr_id]],tblMeasure[msr_id],tblMeasure[msr_name])</f>
        <v>Persistency of health problem limiting ability to work in waves 4–8, by wealth group and age: women aged below 74 at baseline only</v>
      </c>
      <c r="J1458" s="22" t="str">
        <f>_xlfn.XLOOKUP(tblRequirementMeasureXref[[#This Row],[msr_id]],tblMeasure[msr_id],tblMeasure[primary_dimensions])</f>
        <v>health limiting work</v>
      </c>
      <c r="K1458" s="22" t="str">
        <f>_xlfn.XLOOKUP(tblRequirementMeasureXref[[#This Row],[msr_id]],tblMeasure[msr_id],tblMeasure[msr_min_geo_resolution])</f>
        <v>England</v>
      </c>
      <c r="L1458" s="22" t="str">
        <f>_xlfn.XLOOKUP(tblRequirementMeasureXref[[#This Row],[msr_id]],tblMeasure[msr_id],tblMeasure[src_name])</f>
        <v>English Longitudinal Study of Ageing</v>
      </c>
    </row>
    <row r="1459" spans="1:12" x14ac:dyDescent="0.15">
      <c r="A1459" s="1" t="str">
        <f>_xlfn.XLOOKUP(tblRequirementMeasureXref[[#This Row],[dm_id]],tblDataRequirement[dm_id],tblDataRequirement[domain_sub_requirement])</f>
        <v>Unpaid Carers:Demographics:Age</v>
      </c>
      <c r="B1459" s="1" t="str">
        <f>_xlfn.XLOOKUP(tblRequirementMeasureXref[[#This Row],[dm_id]],tblDataRequirement[dm_id],tblDataRequirement[dm_phase])</f>
        <v>supply</v>
      </c>
      <c r="C1459" s="1">
        <v>81</v>
      </c>
      <c r="D1459" s="1">
        <v>463</v>
      </c>
      <c r="G1459" s="1"/>
      <c r="H1459" s="62" t="str">
        <f>_xlfn.XLOOKUP(tblRequirementMeasureXref[[#This Row],[msr_id]],tblMeasure[msr_id],tblMeasure[msr_table])</f>
        <v>Table S8a</v>
      </c>
      <c r="I1459" s="22" t="str">
        <f>_xlfn.XLOOKUP(tblRequirementMeasureXref[[#This Row],[msr_id]],tblMeasure[msr_id],tblMeasure[msr_name])</f>
        <v>Cared for someone in the last month (%), by age and gender: wave 8</v>
      </c>
      <c r="J1459" s="22" t="str">
        <f>_xlfn.XLOOKUP(tblRequirementMeasureXref[[#This Row],[msr_id]],tblMeasure[msr_id],tblMeasure[primary_dimensions])</f>
        <v>caring responsibilities</v>
      </c>
      <c r="K1459" s="22" t="str">
        <f>_xlfn.XLOOKUP(tblRequirementMeasureXref[[#This Row],[msr_id]],tblMeasure[msr_id],tblMeasure[msr_min_geo_resolution])</f>
        <v>England</v>
      </c>
      <c r="L1459" s="22" t="str">
        <f>_xlfn.XLOOKUP(tblRequirementMeasureXref[[#This Row],[msr_id]],tblMeasure[msr_id],tblMeasure[src_name])</f>
        <v>English Longitudinal Study of Ageing</v>
      </c>
    </row>
    <row r="1460" spans="1:12" x14ac:dyDescent="0.15">
      <c r="A1460" s="1" t="str">
        <f>_xlfn.XLOOKUP(tblRequirementMeasureXref[[#This Row],[dm_id]],tblDataRequirement[dm_id],tblDataRequirement[domain_sub_requirement])</f>
        <v>Unpaid Carers:Demographics:Gender</v>
      </c>
      <c r="B1460" s="1" t="str">
        <f>_xlfn.XLOOKUP(tblRequirementMeasureXref[[#This Row],[dm_id]],tblDataRequirement[dm_id],tblDataRequirement[dm_phase])</f>
        <v>supply</v>
      </c>
      <c r="C1460" s="1">
        <v>82</v>
      </c>
      <c r="D1460" s="1">
        <v>463</v>
      </c>
      <c r="G1460" s="1"/>
      <c r="H1460" s="62" t="str">
        <f>_xlfn.XLOOKUP(tblRequirementMeasureXref[[#This Row],[msr_id]],tblMeasure[msr_id],tblMeasure[msr_table])</f>
        <v>Table S8a</v>
      </c>
      <c r="I1460" s="22" t="str">
        <f>_xlfn.XLOOKUP(tblRequirementMeasureXref[[#This Row],[msr_id]],tblMeasure[msr_id],tblMeasure[msr_name])</f>
        <v>Cared for someone in the last month (%), by age and gender: wave 8</v>
      </c>
      <c r="J1460" s="22" t="str">
        <f>_xlfn.XLOOKUP(tblRequirementMeasureXref[[#This Row],[msr_id]],tblMeasure[msr_id],tblMeasure[primary_dimensions])</f>
        <v>caring responsibilities</v>
      </c>
      <c r="K1460" s="22" t="str">
        <f>_xlfn.XLOOKUP(tblRequirementMeasureXref[[#This Row],[msr_id]],tblMeasure[msr_id],tblMeasure[msr_min_geo_resolution])</f>
        <v>England</v>
      </c>
      <c r="L1460" s="22" t="str">
        <f>_xlfn.XLOOKUP(tblRequirementMeasureXref[[#This Row],[msr_id]],tblMeasure[msr_id],tblMeasure[src_name])</f>
        <v>English Longitudinal Study of Ageing</v>
      </c>
    </row>
    <row r="1461" spans="1:12" x14ac:dyDescent="0.15">
      <c r="A1461" s="1" t="str">
        <f>_xlfn.XLOOKUP(tblRequirementMeasureXref[[#This Row],[dm_id]],tblDataRequirement[dm_id],tblDataRequirement[domain_sub_requirement])</f>
        <v>Unpaid Carers:Demographics:Gender</v>
      </c>
      <c r="B1461" s="1" t="str">
        <f>_xlfn.XLOOKUP(tblRequirementMeasureXref[[#This Row],[dm_id]],tblDataRequirement[dm_id],tblDataRequirement[dm_phase])</f>
        <v>supply</v>
      </c>
      <c r="C1461" s="1">
        <v>82</v>
      </c>
      <c r="D1461" s="1">
        <v>464</v>
      </c>
      <c r="G1461" s="1"/>
      <c r="H1461" s="62" t="str">
        <f>_xlfn.XLOOKUP(tblRequirementMeasureXref[[#This Row],[msr_id]],tblMeasure[msr_id],tblMeasure[msr_table])</f>
        <v>Table S8b</v>
      </c>
      <c r="I1461" s="22" t="str">
        <f>_xlfn.XLOOKUP(tblRequirementMeasureXref[[#This Row],[msr_id]],tblMeasure[msr_id],tblMeasure[msr_name])</f>
        <v>Cared for someone in the last month (%), by wealth group and gender: wave 8</v>
      </c>
      <c r="J1461" s="22" t="str">
        <f>_xlfn.XLOOKUP(tblRequirementMeasureXref[[#This Row],[msr_id]],tblMeasure[msr_id],tblMeasure[primary_dimensions])</f>
        <v>caring responsibilities</v>
      </c>
      <c r="K1461" s="22" t="str">
        <f>_xlfn.XLOOKUP(tblRequirementMeasureXref[[#This Row],[msr_id]],tblMeasure[msr_id],tblMeasure[msr_min_geo_resolution])</f>
        <v>England</v>
      </c>
      <c r="L1461" s="22" t="str">
        <f>_xlfn.XLOOKUP(tblRequirementMeasureXref[[#This Row],[msr_id]],tblMeasure[msr_id],tblMeasure[src_name])</f>
        <v>English Longitudinal Study of Ageing</v>
      </c>
    </row>
    <row r="1462" spans="1:12" x14ac:dyDescent="0.15">
      <c r="A1462" s="1" t="str">
        <f>_xlfn.XLOOKUP(tblRequirementMeasureXref[[#This Row],[dm_id]],tblDataRequirement[dm_id],tblDataRequirement[domain_sub_requirement])</f>
        <v>Unpaid Carers:Demographics:Socioeconomic status / employment / income</v>
      </c>
      <c r="B1462" s="1" t="str">
        <f>_xlfn.XLOOKUP(tblRequirementMeasureXref[[#This Row],[dm_id]],tblDataRequirement[dm_id],tblDataRequirement[dm_phase])</f>
        <v>outcome</v>
      </c>
      <c r="C1462" s="1">
        <v>106</v>
      </c>
      <c r="D1462" s="1">
        <v>464</v>
      </c>
      <c r="G1462" s="1"/>
      <c r="H1462" s="62" t="str">
        <f>_xlfn.XLOOKUP(tblRequirementMeasureXref[[#This Row],[msr_id]],tblMeasure[msr_id],tblMeasure[msr_table])</f>
        <v>Table S8b</v>
      </c>
      <c r="I1462" s="22" t="str">
        <f>_xlfn.XLOOKUP(tblRequirementMeasureXref[[#This Row],[msr_id]],tblMeasure[msr_id],tblMeasure[msr_name])</f>
        <v>Cared for someone in the last month (%), by wealth group and gender: wave 8</v>
      </c>
      <c r="J1462" s="22" t="str">
        <f>_xlfn.XLOOKUP(tblRequirementMeasureXref[[#This Row],[msr_id]],tblMeasure[msr_id],tblMeasure[primary_dimensions])</f>
        <v>caring responsibilities</v>
      </c>
      <c r="K1462" s="22" t="str">
        <f>_xlfn.XLOOKUP(tblRequirementMeasureXref[[#This Row],[msr_id]],tblMeasure[msr_id],tblMeasure[msr_min_geo_resolution])</f>
        <v>England</v>
      </c>
      <c r="L1462" s="22" t="str">
        <f>_xlfn.XLOOKUP(tblRequirementMeasureXref[[#This Row],[msr_id]],tblMeasure[msr_id],tblMeasure[src_name])</f>
        <v>English Longitudinal Study of Ageing</v>
      </c>
    </row>
    <row r="1463" spans="1:12" x14ac:dyDescent="0.15">
      <c r="A1463" s="1" t="str">
        <f>_xlfn.XLOOKUP(tblRequirementMeasureXref[[#This Row],[dm_id]],tblDataRequirement[dm_id],tblDataRequirement[domain_sub_requirement])</f>
        <v>Users:Demographics:Age</v>
      </c>
      <c r="B1463" s="1" t="str">
        <f>_xlfn.XLOOKUP(tblRequirementMeasureXref[[#This Row],[dm_id]],tblDataRequirement[dm_id],tblDataRequirement[dm_phase])</f>
        <v>demand</v>
      </c>
      <c r="C1463" s="1">
        <v>51</v>
      </c>
      <c r="D1463" s="1">
        <v>465</v>
      </c>
      <c r="G1463" s="1"/>
      <c r="H1463" s="62" t="str">
        <f>_xlfn.XLOOKUP(tblRequirementMeasureXref[[#This Row],[msr_id]],tblMeasure[msr_id],tblMeasure[msr_table])</f>
        <v>Table S9a</v>
      </c>
      <c r="I1463" s="22" t="str">
        <f>_xlfn.XLOOKUP(tblRequirementMeasureXref[[#This Row],[msr_id]],tblMeasure[msr_id],tblMeasure[msr_name])</f>
        <v>Receives help with mobility (%), by age and gender: wave 8</v>
      </c>
      <c r="J1463" s="22" t="str">
        <f>_xlfn.XLOOKUP(tblRequirementMeasureXref[[#This Row],[msr_id]],tblMeasure[msr_id],tblMeasure[primary_dimensions])</f>
        <v>mobility</v>
      </c>
      <c r="K1463" s="22" t="str">
        <f>_xlfn.XLOOKUP(tblRequirementMeasureXref[[#This Row],[msr_id]],tblMeasure[msr_id],tblMeasure[msr_min_geo_resolution])</f>
        <v>England</v>
      </c>
      <c r="L1463" s="22" t="str">
        <f>_xlfn.XLOOKUP(tblRequirementMeasureXref[[#This Row],[msr_id]],tblMeasure[msr_id],tblMeasure[src_name])</f>
        <v>English Longitudinal Study of Ageing</v>
      </c>
    </row>
    <row r="1464" spans="1:12" x14ac:dyDescent="0.15">
      <c r="A1464" s="1" t="str">
        <f>_xlfn.XLOOKUP(tblRequirementMeasureXref[[#This Row],[dm_id]],tblDataRequirement[dm_id],tblDataRequirement[domain_sub_requirement])</f>
        <v>Users:Demographics:Gender</v>
      </c>
      <c r="B1464" s="1" t="str">
        <f>_xlfn.XLOOKUP(tblRequirementMeasureXref[[#This Row],[dm_id]],tblDataRequirement[dm_id],tblDataRequirement[dm_phase])</f>
        <v>demand</v>
      </c>
      <c r="C1464" s="1">
        <v>62</v>
      </c>
      <c r="D1464" s="1">
        <v>465</v>
      </c>
      <c r="G1464" s="1"/>
      <c r="H1464" s="62" t="str">
        <f>_xlfn.XLOOKUP(tblRequirementMeasureXref[[#This Row],[msr_id]],tblMeasure[msr_id],tblMeasure[msr_table])</f>
        <v>Table S9a</v>
      </c>
      <c r="I1464" s="22" t="str">
        <f>_xlfn.XLOOKUP(tblRequirementMeasureXref[[#This Row],[msr_id]],tblMeasure[msr_id],tblMeasure[msr_name])</f>
        <v>Receives help with mobility (%), by age and gender: wave 8</v>
      </c>
      <c r="J1464" s="22" t="str">
        <f>_xlfn.XLOOKUP(tblRequirementMeasureXref[[#This Row],[msr_id]],tblMeasure[msr_id],tblMeasure[primary_dimensions])</f>
        <v>mobility</v>
      </c>
      <c r="K1464" s="22" t="str">
        <f>_xlfn.XLOOKUP(tblRequirementMeasureXref[[#This Row],[msr_id]],tblMeasure[msr_id],tblMeasure[msr_min_geo_resolution])</f>
        <v>England</v>
      </c>
      <c r="L1464" s="22" t="str">
        <f>_xlfn.XLOOKUP(tblRequirementMeasureXref[[#This Row],[msr_id]],tblMeasure[msr_id],tblMeasure[src_name])</f>
        <v>English Longitudinal Study of Ageing</v>
      </c>
    </row>
    <row r="1465" spans="1:12" x14ac:dyDescent="0.15">
      <c r="A1465" s="1" t="str">
        <f>_xlfn.XLOOKUP(tblRequirementMeasureXref[[#This Row],[dm_id]],tblDataRequirement[dm_id],tblDataRequirement[domain_sub_requirement])</f>
        <v>Users:Care need:Disability/Dependence</v>
      </c>
      <c r="B1465" s="1" t="str">
        <f>_xlfn.XLOOKUP(tblRequirementMeasureXref[[#This Row],[dm_id]],tblDataRequirement[dm_id],tblDataRequirement[dm_phase])</f>
        <v>demand</v>
      </c>
      <c r="C1465" s="1">
        <v>61</v>
      </c>
      <c r="D1465" s="1">
        <v>465</v>
      </c>
      <c r="G1465" s="1"/>
      <c r="H1465" s="62" t="str">
        <f>_xlfn.XLOOKUP(tblRequirementMeasureXref[[#This Row],[msr_id]],tblMeasure[msr_id],tblMeasure[msr_table])</f>
        <v>Table S9a</v>
      </c>
      <c r="I1465" s="22" t="str">
        <f>_xlfn.XLOOKUP(tblRequirementMeasureXref[[#This Row],[msr_id]],tblMeasure[msr_id],tblMeasure[msr_name])</f>
        <v>Receives help with mobility (%), by age and gender: wave 8</v>
      </c>
      <c r="J1465" s="22" t="str">
        <f>_xlfn.XLOOKUP(tblRequirementMeasureXref[[#This Row],[msr_id]],tblMeasure[msr_id],tblMeasure[primary_dimensions])</f>
        <v>mobility</v>
      </c>
      <c r="K1465" s="22" t="str">
        <f>_xlfn.XLOOKUP(tblRequirementMeasureXref[[#This Row],[msr_id]],tblMeasure[msr_id],tblMeasure[msr_min_geo_resolution])</f>
        <v>England</v>
      </c>
      <c r="L1465" s="22" t="str">
        <f>_xlfn.XLOOKUP(tblRequirementMeasureXref[[#This Row],[msr_id]],tblMeasure[msr_id],tblMeasure[src_name])</f>
        <v>English Longitudinal Study of Ageing</v>
      </c>
    </row>
    <row r="1466" spans="1:12" x14ac:dyDescent="0.15">
      <c r="A1466" s="1" t="str">
        <f>_xlfn.XLOOKUP(tblRequirementMeasureXref[[#This Row],[dm_id]],tblDataRequirement[dm_id],tblDataRequirement[domain_sub_requirement])</f>
        <v>Users:Demographics:Gender</v>
      </c>
      <c r="B1466" s="1" t="str">
        <f>_xlfn.XLOOKUP(tblRequirementMeasureXref[[#This Row],[dm_id]],tblDataRequirement[dm_id],tblDataRequirement[dm_phase])</f>
        <v>demand</v>
      </c>
      <c r="C1466" s="1">
        <v>62</v>
      </c>
      <c r="D1466" s="1">
        <v>466</v>
      </c>
      <c r="G1466" s="1"/>
      <c r="H1466" s="62" t="str">
        <f>_xlfn.XLOOKUP(tblRequirementMeasureXref[[#This Row],[msr_id]],tblMeasure[msr_id],tblMeasure[msr_table])</f>
        <v>Table S9b</v>
      </c>
      <c r="I1466" s="22" t="str">
        <f>_xlfn.XLOOKUP(tblRequirementMeasureXref[[#This Row],[msr_id]],tblMeasure[msr_id],tblMeasure[msr_name])</f>
        <v>Receives help with mobility (%), by wealth group and gender: wave 8</v>
      </c>
      <c r="J1466" s="22" t="str">
        <f>_xlfn.XLOOKUP(tblRequirementMeasureXref[[#This Row],[msr_id]],tblMeasure[msr_id],tblMeasure[primary_dimensions])</f>
        <v>mobility</v>
      </c>
      <c r="K1466" s="22" t="str">
        <f>_xlfn.XLOOKUP(tblRequirementMeasureXref[[#This Row],[msr_id]],tblMeasure[msr_id],tblMeasure[msr_min_geo_resolution])</f>
        <v>England</v>
      </c>
      <c r="L1466" s="22" t="str">
        <f>_xlfn.XLOOKUP(tblRequirementMeasureXref[[#This Row],[msr_id]],tblMeasure[msr_id],tblMeasure[src_name])</f>
        <v>English Longitudinal Study of Ageing</v>
      </c>
    </row>
    <row r="1467" spans="1:12" x14ac:dyDescent="0.15">
      <c r="A1467" s="1" t="str">
        <f>_xlfn.XLOOKUP(tblRequirementMeasureXref[[#This Row],[dm_id]],tblDataRequirement[dm_id],tblDataRequirement[domain_sub_requirement])</f>
        <v>Users:Care need:Disability/Dependence</v>
      </c>
      <c r="B1467" s="1" t="str">
        <f>_xlfn.XLOOKUP(tblRequirementMeasureXref[[#This Row],[dm_id]],tblDataRequirement[dm_id],tblDataRequirement[dm_phase])</f>
        <v>demand</v>
      </c>
      <c r="C1467" s="1">
        <v>61</v>
      </c>
      <c r="D1467" s="1">
        <v>466</v>
      </c>
      <c r="G1467" s="1"/>
      <c r="H1467" s="62" t="str">
        <f>_xlfn.XLOOKUP(tblRequirementMeasureXref[[#This Row],[msr_id]],tblMeasure[msr_id],tblMeasure[msr_table])</f>
        <v>Table S9b</v>
      </c>
      <c r="I1467" s="22" t="str">
        <f>_xlfn.XLOOKUP(tblRequirementMeasureXref[[#This Row],[msr_id]],tblMeasure[msr_id],tblMeasure[msr_name])</f>
        <v>Receives help with mobility (%), by wealth group and gender: wave 8</v>
      </c>
      <c r="J1467" s="22" t="str">
        <f>_xlfn.XLOOKUP(tblRequirementMeasureXref[[#This Row],[msr_id]],tblMeasure[msr_id],tblMeasure[primary_dimensions])</f>
        <v>mobility</v>
      </c>
      <c r="K1467" s="22" t="str">
        <f>_xlfn.XLOOKUP(tblRequirementMeasureXref[[#This Row],[msr_id]],tblMeasure[msr_id],tblMeasure[msr_min_geo_resolution])</f>
        <v>England</v>
      </c>
      <c r="L1467" s="22" t="str">
        <f>_xlfn.XLOOKUP(tblRequirementMeasureXref[[#This Row],[msr_id]],tblMeasure[msr_id],tblMeasure[src_name])</f>
        <v>English Longitudinal Study of Ageing</v>
      </c>
    </row>
    <row r="1468" spans="1:12" x14ac:dyDescent="0.15">
      <c r="A1468" s="1" t="str">
        <f>_xlfn.XLOOKUP(tblRequirementMeasureXref[[#This Row],[dm_id]],tblDataRequirement[dm_id],tblDataRequirement[domain_sub_requirement])</f>
        <v>Users:Demographics:Socioeconomic status / employment / income</v>
      </c>
      <c r="B1468" s="1" t="str">
        <f>_xlfn.XLOOKUP(tblRequirementMeasureXref[[#This Row],[dm_id]],tblDataRequirement[dm_id],tblDataRequirement[dm_phase])</f>
        <v>outcome</v>
      </c>
      <c r="C1468" s="1">
        <v>105</v>
      </c>
      <c r="D1468" s="1">
        <v>466</v>
      </c>
      <c r="G1468" s="1"/>
      <c r="H1468" s="62" t="str">
        <f>_xlfn.XLOOKUP(tblRequirementMeasureXref[[#This Row],[msr_id]],tblMeasure[msr_id],tblMeasure[msr_table])</f>
        <v>Table S9b</v>
      </c>
      <c r="I1468" s="22" t="str">
        <f>_xlfn.XLOOKUP(tblRequirementMeasureXref[[#This Row],[msr_id]],tblMeasure[msr_id],tblMeasure[msr_name])</f>
        <v>Receives help with mobility (%), by wealth group and gender: wave 8</v>
      </c>
      <c r="J1468" s="22" t="str">
        <f>_xlfn.XLOOKUP(tblRequirementMeasureXref[[#This Row],[msr_id]],tblMeasure[msr_id],tblMeasure[primary_dimensions])</f>
        <v>mobility</v>
      </c>
      <c r="K1468" s="22" t="str">
        <f>_xlfn.XLOOKUP(tblRequirementMeasureXref[[#This Row],[msr_id]],tblMeasure[msr_id],tblMeasure[msr_min_geo_resolution])</f>
        <v>England</v>
      </c>
      <c r="L1468" s="22" t="str">
        <f>_xlfn.XLOOKUP(tblRequirementMeasureXref[[#This Row],[msr_id]],tblMeasure[msr_id],tblMeasure[src_name])</f>
        <v>English Longitudinal Study of Ageing</v>
      </c>
    </row>
    <row r="1469" spans="1:12" x14ac:dyDescent="0.15">
      <c r="A1469" s="1" t="str">
        <f>_xlfn.XLOOKUP(tblRequirementMeasureXref[[#This Row],[dm_id]],tblDataRequirement[dm_id],tblDataRequirement[domain_sub_requirement])</f>
        <v>Unpaid Carers:Demographics:Age</v>
      </c>
      <c r="B1469" s="1" t="str">
        <f>_xlfn.XLOOKUP(tblRequirementMeasureXref[[#This Row],[dm_id]],tblDataRequirement[dm_id],tblDataRequirement[dm_phase])</f>
        <v>supply</v>
      </c>
      <c r="C1469" s="1">
        <v>81</v>
      </c>
      <c r="D1469" s="1">
        <v>491</v>
      </c>
      <c r="G1469" s="1"/>
      <c r="H1469" s="62" t="str">
        <f>_xlfn.XLOOKUP(tblRequirementMeasureXref[[#This Row],[msr_id]],tblMeasure[msr_id],tblMeasure[msr_table])</f>
        <v>Table SL7a</v>
      </c>
      <c r="I1469" s="22" t="str">
        <f>_xlfn.XLOOKUP(tblRequirementMeasureXref[[#This Row],[msr_id]],tblMeasure[msr_id],tblMeasure[msr_name])</f>
        <v>Percentage not caring for someone at baseline (wave 4) and, of those, percentage caring for someone at waves 5–8, by age and gender</v>
      </c>
      <c r="J1469" s="22" t="str">
        <f>_xlfn.XLOOKUP(tblRequirementMeasureXref[[#This Row],[msr_id]],tblMeasure[msr_id],tblMeasure[primary_dimensions])</f>
        <v>caring responsibilities</v>
      </c>
      <c r="K1469" s="22" t="str">
        <f>_xlfn.XLOOKUP(tblRequirementMeasureXref[[#This Row],[msr_id]],tblMeasure[msr_id],tblMeasure[msr_min_geo_resolution])</f>
        <v>England</v>
      </c>
      <c r="L1469" s="22" t="str">
        <f>_xlfn.XLOOKUP(tblRequirementMeasureXref[[#This Row],[msr_id]],tblMeasure[msr_id],tblMeasure[src_name])</f>
        <v>English Longitudinal Study of Ageing</v>
      </c>
    </row>
    <row r="1470" spans="1:12" x14ac:dyDescent="0.15">
      <c r="A1470" s="1" t="str">
        <f>_xlfn.XLOOKUP(tblRequirementMeasureXref[[#This Row],[dm_id]],tblDataRequirement[dm_id],tblDataRequirement[domain_sub_requirement])</f>
        <v>Unpaid Carers:Demographics:Gender</v>
      </c>
      <c r="B1470" s="1" t="str">
        <f>_xlfn.XLOOKUP(tblRequirementMeasureXref[[#This Row],[dm_id]],tblDataRequirement[dm_id],tblDataRequirement[dm_phase])</f>
        <v>supply</v>
      </c>
      <c r="C1470" s="1">
        <v>82</v>
      </c>
      <c r="D1470" s="1">
        <v>491</v>
      </c>
      <c r="G1470" s="1"/>
      <c r="H1470" s="62" t="str">
        <f>_xlfn.XLOOKUP(tblRequirementMeasureXref[[#This Row],[msr_id]],tblMeasure[msr_id],tblMeasure[msr_table])</f>
        <v>Table SL7a</v>
      </c>
      <c r="I1470" s="22" t="str">
        <f>_xlfn.XLOOKUP(tblRequirementMeasureXref[[#This Row],[msr_id]],tblMeasure[msr_id],tblMeasure[msr_name])</f>
        <v>Percentage not caring for someone at baseline (wave 4) and, of those, percentage caring for someone at waves 5–8, by age and gender</v>
      </c>
      <c r="J1470" s="22" t="str">
        <f>_xlfn.XLOOKUP(tblRequirementMeasureXref[[#This Row],[msr_id]],tblMeasure[msr_id],tblMeasure[primary_dimensions])</f>
        <v>caring responsibilities</v>
      </c>
      <c r="K1470" s="22" t="str">
        <f>_xlfn.XLOOKUP(tblRequirementMeasureXref[[#This Row],[msr_id]],tblMeasure[msr_id],tblMeasure[msr_min_geo_resolution])</f>
        <v>England</v>
      </c>
      <c r="L1470" s="22" t="str">
        <f>_xlfn.XLOOKUP(tblRequirementMeasureXref[[#This Row],[msr_id]],tblMeasure[msr_id],tblMeasure[src_name])</f>
        <v>English Longitudinal Study of Ageing</v>
      </c>
    </row>
    <row r="1471" spans="1:12" x14ac:dyDescent="0.15">
      <c r="A1471" s="1" t="str">
        <f>_xlfn.XLOOKUP(tblRequirementMeasureXref[[#This Row],[dm_id]],tblDataRequirement[dm_id],tblDataRequirement[domain_sub_requirement])</f>
        <v>Unpaid Carers:Demographics:Gender</v>
      </c>
      <c r="B1471" s="1" t="str">
        <f>_xlfn.XLOOKUP(tblRequirementMeasureXref[[#This Row],[dm_id]],tblDataRequirement[dm_id],tblDataRequirement[dm_phase])</f>
        <v>supply</v>
      </c>
      <c r="C1471" s="1">
        <v>82</v>
      </c>
      <c r="D1471" s="1">
        <v>492</v>
      </c>
      <c r="G1471" s="1"/>
      <c r="H1471" s="62" t="str">
        <f>_xlfn.XLOOKUP(tblRequirementMeasureXref[[#This Row],[msr_id]],tblMeasure[msr_id],tblMeasure[msr_table])</f>
        <v>Table SL7b</v>
      </c>
      <c r="I1471" s="22" t="str">
        <f>_xlfn.XLOOKUP(tblRequirementMeasureXref[[#This Row],[msr_id]],tblMeasure[msr_id],tblMeasure[msr_name])</f>
        <v>Percentage not caring for someone at baseline (wave 4) and, of those, percentage caring for someone at waves 5–8, by wealth group and gender</v>
      </c>
      <c r="J1471" s="22" t="str">
        <f>_xlfn.XLOOKUP(tblRequirementMeasureXref[[#This Row],[msr_id]],tblMeasure[msr_id],tblMeasure[primary_dimensions])</f>
        <v>caring responsibilities</v>
      </c>
      <c r="K1471" s="22" t="str">
        <f>_xlfn.XLOOKUP(tblRequirementMeasureXref[[#This Row],[msr_id]],tblMeasure[msr_id],tblMeasure[msr_min_geo_resolution])</f>
        <v>England</v>
      </c>
      <c r="L1471" s="22" t="str">
        <f>_xlfn.XLOOKUP(tblRequirementMeasureXref[[#This Row],[msr_id]],tblMeasure[msr_id],tblMeasure[src_name])</f>
        <v>English Longitudinal Study of Ageing</v>
      </c>
    </row>
    <row r="1472" spans="1:12" x14ac:dyDescent="0.15">
      <c r="A1472" s="1" t="str">
        <f>_xlfn.XLOOKUP(tblRequirementMeasureXref[[#This Row],[dm_id]],tblDataRequirement[dm_id],tblDataRequirement[domain_sub_requirement])</f>
        <v>Unpaid Carers:Demographics:Socioeconomic status / employment / income</v>
      </c>
      <c r="B1472" s="1" t="str">
        <f>_xlfn.XLOOKUP(tblRequirementMeasureXref[[#This Row],[dm_id]],tblDataRequirement[dm_id],tblDataRequirement[dm_phase])</f>
        <v>outcome</v>
      </c>
      <c r="C1472" s="1">
        <v>106</v>
      </c>
      <c r="D1472" s="1">
        <v>492</v>
      </c>
      <c r="G1472" s="1"/>
      <c r="H1472" s="62" t="str">
        <f>_xlfn.XLOOKUP(tblRequirementMeasureXref[[#This Row],[msr_id]],tblMeasure[msr_id],tblMeasure[msr_table])</f>
        <v>Table SL7b</v>
      </c>
      <c r="I1472" s="22" t="str">
        <f>_xlfn.XLOOKUP(tblRequirementMeasureXref[[#This Row],[msr_id]],tblMeasure[msr_id],tblMeasure[msr_name])</f>
        <v>Percentage not caring for someone at baseline (wave 4) and, of those, percentage caring for someone at waves 5–8, by wealth group and gender</v>
      </c>
      <c r="J1472" s="22" t="str">
        <f>_xlfn.XLOOKUP(tblRequirementMeasureXref[[#This Row],[msr_id]],tblMeasure[msr_id],tblMeasure[primary_dimensions])</f>
        <v>caring responsibilities</v>
      </c>
      <c r="K1472" s="22" t="str">
        <f>_xlfn.XLOOKUP(tblRequirementMeasureXref[[#This Row],[msr_id]],tblMeasure[msr_id],tblMeasure[msr_min_geo_resolution])</f>
        <v>England</v>
      </c>
      <c r="L1472" s="22" t="str">
        <f>_xlfn.XLOOKUP(tblRequirementMeasureXref[[#This Row],[msr_id]],tblMeasure[msr_id],tblMeasure[src_name])</f>
        <v>English Longitudinal Study of Ageing</v>
      </c>
    </row>
    <row r="1473" spans="1:12" x14ac:dyDescent="0.15">
      <c r="A1473" s="1" t="str">
        <f>_xlfn.XLOOKUP(tblRequirementMeasureXref[[#This Row],[dm_id]],tblDataRequirement[dm_id],tblDataRequirement[domain_sub_requirement])</f>
        <v>Users:Demographics:Age</v>
      </c>
      <c r="B1473" s="1" t="str">
        <f>_xlfn.XLOOKUP(tblRequirementMeasureXref[[#This Row],[dm_id]],tblDataRequirement[dm_id],tblDataRequirement[dm_phase])</f>
        <v>demand</v>
      </c>
      <c r="C1473" s="1">
        <v>51</v>
      </c>
      <c r="D1473" s="1">
        <v>499</v>
      </c>
      <c r="G1473" s="1"/>
      <c r="H1473" s="62" t="str">
        <f>_xlfn.XLOOKUP(tblRequirementMeasureXref[[#This Row],[msr_id]],tblMeasure[msr_id],tblMeasure[msr_table])</f>
        <v>Table H4a</v>
      </c>
      <c r="I1473" s="22" t="str">
        <f>_xlfn.XLOOKUP(tblRequirementMeasureXref[[#This Row],[msr_id]],tblMeasure[msr_id],tblMeasure[msr_name])</f>
        <v>Self-rated sensory impairment (%), by age group and gender: wave 8</v>
      </c>
      <c r="J1473" s="22" t="str">
        <f>_xlfn.XLOOKUP(tblRequirementMeasureXref[[#This Row],[msr_id]],tblMeasure[msr_id],tblMeasure[primary_dimensions])</f>
        <v>sensory impairment</v>
      </c>
      <c r="K1473" s="22" t="str">
        <f>_xlfn.XLOOKUP(tblRequirementMeasureXref[[#This Row],[msr_id]],tblMeasure[msr_id],tblMeasure[msr_min_geo_resolution])</f>
        <v>England</v>
      </c>
      <c r="L1473" s="22" t="str">
        <f>_xlfn.XLOOKUP(tblRequirementMeasureXref[[#This Row],[msr_id]],tblMeasure[msr_id],tblMeasure[src_name])</f>
        <v>English Longitudinal Study of Ageing</v>
      </c>
    </row>
    <row r="1474" spans="1:12" x14ac:dyDescent="0.15">
      <c r="A1474" s="1" t="str">
        <f>_xlfn.XLOOKUP(tblRequirementMeasureXref[[#This Row],[dm_id]],tblDataRequirement[dm_id],tblDataRequirement[domain_sub_requirement])</f>
        <v>Users:Demographics:Gender</v>
      </c>
      <c r="B1474" s="1" t="str">
        <f>_xlfn.XLOOKUP(tblRequirementMeasureXref[[#This Row],[dm_id]],tblDataRequirement[dm_id],tblDataRequirement[dm_phase])</f>
        <v>demand</v>
      </c>
      <c r="C1474" s="1">
        <v>62</v>
      </c>
      <c r="D1474" s="1">
        <v>499</v>
      </c>
      <c r="G1474" s="1"/>
      <c r="H1474" s="62" t="str">
        <f>_xlfn.XLOOKUP(tblRequirementMeasureXref[[#This Row],[msr_id]],tblMeasure[msr_id],tblMeasure[msr_table])</f>
        <v>Table H4a</v>
      </c>
      <c r="I1474" s="22" t="str">
        <f>_xlfn.XLOOKUP(tblRequirementMeasureXref[[#This Row],[msr_id]],tblMeasure[msr_id],tblMeasure[msr_name])</f>
        <v>Self-rated sensory impairment (%), by age group and gender: wave 8</v>
      </c>
      <c r="J1474" s="22" t="str">
        <f>_xlfn.XLOOKUP(tblRequirementMeasureXref[[#This Row],[msr_id]],tblMeasure[msr_id],tblMeasure[primary_dimensions])</f>
        <v>sensory impairment</v>
      </c>
      <c r="K1474" s="22" t="str">
        <f>_xlfn.XLOOKUP(tblRequirementMeasureXref[[#This Row],[msr_id]],tblMeasure[msr_id],tblMeasure[msr_min_geo_resolution])</f>
        <v>England</v>
      </c>
      <c r="L1474" s="22" t="str">
        <f>_xlfn.XLOOKUP(tblRequirementMeasureXref[[#This Row],[msr_id]],tblMeasure[msr_id],tblMeasure[src_name])</f>
        <v>English Longitudinal Study of Ageing</v>
      </c>
    </row>
    <row r="1475" spans="1:12" x14ac:dyDescent="0.15">
      <c r="A1475" s="1" t="str">
        <f>_xlfn.XLOOKUP(tblRequirementMeasureXref[[#This Row],[dm_id]],tblDataRequirement[dm_id],tblDataRequirement[domain_sub_requirement])</f>
        <v>Users:Care need:Disability/Dependence</v>
      </c>
      <c r="B1475" s="1" t="str">
        <f>_xlfn.XLOOKUP(tblRequirementMeasureXref[[#This Row],[dm_id]],tblDataRequirement[dm_id],tblDataRequirement[dm_phase])</f>
        <v>demand</v>
      </c>
      <c r="C1475" s="1">
        <v>61</v>
      </c>
      <c r="D1475" s="1">
        <v>499</v>
      </c>
      <c r="G1475" s="1"/>
      <c r="H1475" s="62" t="str">
        <f>_xlfn.XLOOKUP(tblRequirementMeasureXref[[#This Row],[msr_id]],tblMeasure[msr_id],tblMeasure[msr_table])</f>
        <v>Table H4a</v>
      </c>
      <c r="I1475" s="22" t="str">
        <f>_xlfn.XLOOKUP(tblRequirementMeasureXref[[#This Row],[msr_id]],tblMeasure[msr_id],tblMeasure[msr_name])</f>
        <v>Self-rated sensory impairment (%), by age group and gender: wave 8</v>
      </c>
      <c r="J1475" s="22" t="str">
        <f>_xlfn.XLOOKUP(tblRequirementMeasureXref[[#This Row],[msr_id]],tblMeasure[msr_id],tblMeasure[primary_dimensions])</f>
        <v>sensory impairment</v>
      </c>
      <c r="K1475" s="22" t="str">
        <f>_xlfn.XLOOKUP(tblRequirementMeasureXref[[#This Row],[msr_id]],tblMeasure[msr_id],tblMeasure[msr_min_geo_resolution])</f>
        <v>England</v>
      </c>
      <c r="L1475" s="22" t="str">
        <f>_xlfn.XLOOKUP(tblRequirementMeasureXref[[#This Row],[msr_id]],tblMeasure[msr_id],tblMeasure[src_name])</f>
        <v>English Longitudinal Study of Ageing</v>
      </c>
    </row>
    <row r="1476" spans="1:12" x14ac:dyDescent="0.15">
      <c r="A1476" s="1" t="str">
        <f>_xlfn.XLOOKUP(tblRequirementMeasureXref[[#This Row],[dm_id]],tblDataRequirement[dm_id],tblDataRequirement[domain_sub_requirement])</f>
        <v>Users:Demographics:Gender</v>
      </c>
      <c r="B1476" s="1" t="str">
        <f>_xlfn.XLOOKUP(tblRequirementMeasureXref[[#This Row],[dm_id]],tblDataRequirement[dm_id],tblDataRequirement[dm_phase])</f>
        <v>demand</v>
      </c>
      <c r="C1476" s="1">
        <v>62</v>
      </c>
      <c r="D1476" s="1">
        <v>500</v>
      </c>
      <c r="G1476" s="1"/>
      <c r="H1476" s="62" t="str">
        <f>_xlfn.XLOOKUP(tblRequirementMeasureXref[[#This Row],[msr_id]],tblMeasure[msr_id],tblMeasure[msr_table])</f>
        <v>Table H4b</v>
      </c>
      <c r="I1476" s="22" t="str">
        <f>_xlfn.XLOOKUP(tblRequirementMeasureXref[[#This Row],[msr_id]],tblMeasure[msr_id],tblMeasure[msr_name])</f>
        <v>Self-rated sensory impairment (%), by gender and wealth group: wave 8</v>
      </c>
      <c r="J1476" s="22" t="str">
        <f>_xlfn.XLOOKUP(tblRequirementMeasureXref[[#This Row],[msr_id]],tblMeasure[msr_id],tblMeasure[primary_dimensions])</f>
        <v>sensory impairment</v>
      </c>
      <c r="K1476" s="22" t="str">
        <f>_xlfn.XLOOKUP(tblRequirementMeasureXref[[#This Row],[msr_id]],tblMeasure[msr_id],tblMeasure[msr_min_geo_resolution])</f>
        <v>England</v>
      </c>
      <c r="L1476" s="22" t="str">
        <f>_xlfn.XLOOKUP(tblRequirementMeasureXref[[#This Row],[msr_id]],tblMeasure[msr_id],tblMeasure[src_name])</f>
        <v>English Longitudinal Study of Ageing</v>
      </c>
    </row>
    <row r="1477" spans="1:12" x14ac:dyDescent="0.15">
      <c r="A1477" s="1" t="str">
        <f>_xlfn.XLOOKUP(tblRequirementMeasureXref[[#This Row],[dm_id]],tblDataRequirement[dm_id],tblDataRequirement[domain_sub_requirement])</f>
        <v>Users:Care need:Disability/Dependence</v>
      </c>
      <c r="B1477" s="1" t="str">
        <f>_xlfn.XLOOKUP(tblRequirementMeasureXref[[#This Row],[dm_id]],tblDataRequirement[dm_id],tblDataRequirement[dm_phase])</f>
        <v>demand</v>
      </c>
      <c r="C1477" s="1">
        <v>61</v>
      </c>
      <c r="D1477" s="1">
        <v>500</v>
      </c>
      <c r="G1477" s="1"/>
      <c r="H1477" s="62" t="str">
        <f>_xlfn.XLOOKUP(tblRequirementMeasureXref[[#This Row],[msr_id]],tblMeasure[msr_id],tblMeasure[msr_table])</f>
        <v>Table H4b</v>
      </c>
      <c r="I1477" s="22" t="str">
        <f>_xlfn.XLOOKUP(tblRequirementMeasureXref[[#This Row],[msr_id]],tblMeasure[msr_id],tblMeasure[msr_name])</f>
        <v>Self-rated sensory impairment (%), by gender and wealth group: wave 8</v>
      </c>
      <c r="J1477" s="22" t="str">
        <f>_xlfn.XLOOKUP(tblRequirementMeasureXref[[#This Row],[msr_id]],tblMeasure[msr_id],tblMeasure[primary_dimensions])</f>
        <v>sensory impairment</v>
      </c>
      <c r="K1477" s="22" t="str">
        <f>_xlfn.XLOOKUP(tblRequirementMeasureXref[[#This Row],[msr_id]],tblMeasure[msr_id],tblMeasure[msr_min_geo_resolution])</f>
        <v>England</v>
      </c>
      <c r="L1477" s="22" t="str">
        <f>_xlfn.XLOOKUP(tblRequirementMeasureXref[[#This Row],[msr_id]],tblMeasure[msr_id],tblMeasure[src_name])</f>
        <v>English Longitudinal Study of Ageing</v>
      </c>
    </row>
    <row r="1478" spans="1:12" x14ac:dyDescent="0.15">
      <c r="A1478" s="1" t="str">
        <f>_xlfn.XLOOKUP(tblRequirementMeasureXref[[#This Row],[dm_id]],tblDataRequirement[dm_id],tblDataRequirement[domain_sub_requirement])</f>
        <v>Users:Demographics:Socioeconomic status / employment / income</v>
      </c>
      <c r="B1478" s="1" t="str">
        <f>_xlfn.XLOOKUP(tblRequirementMeasureXref[[#This Row],[dm_id]],tblDataRequirement[dm_id],tblDataRequirement[dm_phase])</f>
        <v>outcome</v>
      </c>
      <c r="C1478" s="1">
        <v>105</v>
      </c>
      <c r="D1478" s="1">
        <v>500</v>
      </c>
      <c r="G1478" s="1"/>
      <c r="H1478" s="62" t="str">
        <f>_xlfn.XLOOKUP(tblRequirementMeasureXref[[#This Row],[msr_id]],tblMeasure[msr_id],tblMeasure[msr_table])</f>
        <v>Table H4b</v>
      </c>
      <c r="I1478" s="22" t="str">
        <f>_xlfn.XLOOKUP(tblRequirementMeasureXref[[#This Row],[msr_id]],tblMeasure[msr_id],tblMeasure[msr_name])</f>
        <v>Self-rated sensory impairment (%), by gender and wealth group: wave 8</v>
      </c>
      <c r="J1478" s="22" t="str">
        <f>_xlfn.XLOOKUP(tblRequirementMeasureXref[[#This Row],[msr_id]],tblMeasure[msr_id],tblMeasure[primary_dimensions])</f>
        <v>sensory impairment</v>
      </c>
      <c r="K1478" s="22" t="str">
        <f>_xlfn.XLOOKUP(tblRequirementMeasureXref[[#This Row],[msr_id]],tblMeasure[msr_id],tblMeasure[msr_min_geo_resolution])</f>
        <v>England</v>
      </c>
      <c r="L1478" s="22" t="str">
        <f>_xlfn.XLOOKUP(tblRequirementMeasureXref[[#This Row],[msr_id]],tblMeasure[msr_id],tblMeasure[src_name])</f>
        <v>English Longitudinal Study of Ageing</v>
      </c>
    </row>
    <row r="1479" spans="1:12" x14ac:dyDescent="0.15">
      <c r="A1479" s="1" t="str">
        <f>_xlfn.XLOOKUP(tblRequirementMeasureXref[[#This Row],[dm_id]],tblDataRequirement[dm_id],tblDataRequirement[domain_sub_requirement])</f>
        <v>Users:Demographics:Age</v>
      </c>
      <c r="B1479" s="1" t="str">
        <f>_xlfn.XLOOKUP(tblRequirementMeasureXref[[#This Row],[dm_id]],tblDataRequirement[dm_id],tblDataRequirement[dm_phase])</f>
        <v>demand</v>
      </c>
      <c r="C1479" s="1">
        <v>51</v>
      </c>
      <c r="D1479" s="1">
        <v>501</v>
      </c>
      <c r="G1479" s="1"/>
      <c r="H1479" s="62" t="str">
        <f>_xlfn.XLOOKUP(tblRequirementMeasureXref[[#This Row],[msr_id]],tblMeasure[msr_id],tblMeasure[msr_table])</f>
        <v>Table H5a</v>
      </c>
      <c r="I1479" s="22" t="str">
        <f>_xlfn.XLOOKUP(tblRequirementMeasureXref[[#This Row],[msr_id]],tblMeasure[msr_id],tblMeasure[msr_name])</f>
        <v>Mean walking speed (m/s), by age group and gender: wave 8</v>
      </c>
      <c r="J1479" s="22" t="str">
        <f>_xlfn.XLOOKUP(tblRequirementMeasureXref[[#This Row],[msr_id]],tblMeasure[msr_id],tblMeasure[primary_dimensions])</f>
        <v>walking speed</v>
      </c>
      <c r="K1479" s="22" t="str">
        <f>_xlfn.XLOOKUP(tblRequirementMeasureXref[[#This Row],[msr_id]],tblMeasure[msr_id],tblMeasure[msr_min_geo_resolution])</f>
        <v>England</v>
      </c>
      <c r="L1479" s="22" t="str">
        <f>_xlfn.XLOOKUP(tblRequirementMeasureXref[[#This Row],[msr_id]],tblMeasure[msr_id],tblMeasure[src_name])</f>
        <v>English Longitudinal Study of Ageing</v>
      </c>
    </row>
    <row r="1480" spans="1:12" x14ac:dyDescent="0.15">
      <c r="A1480" s="1" t="str">
        <f>_xlfn.XLOOKUP(tblRequirementMeasureXref[[#This Row],[dm_id]],tblDataRequirement[dm_id],tblDataRequirement[domain_sub_requirement])</f>
        <v>Users:Demographics:Gender</v>
      </c>
      <c r="B1480" s="1" t="str">
        <f>_xlfn.XLOOKUP(tblRequirementMeasureXref[[#This Row],[dm_id]],tblDataRequirement[dm_id],tblDataRequirement[dm_phase])</f>
        <v>demand</v>
      </c>
      <c r="C1480" s="1">
        <v>62</v>
      </c>
      <c r="D1480" s="1">
        <v>501</v>
      </c>
      <c r="G1480" s="1"/>
      <c r="H1480" s="62" t="str">
        <f>_xlfn.XLOOKUP(tblRequirementMeasureXref[[#This Row],[msr_id]],tblMeasure[msr_id],tblMeasure[msr_table])</f>
        <v>Table H5a</v>
      </c>
      <c r="I1480" s="22" t="str">
        <f>_xlfn.XLOOKUP(tblRequirementMeasureXref[[#This Row],[msr_id]],tblMeasure[msr_id],tblMeasure[msr_name])</f>
        <v>Mean walking speed (m/s), by age group and gender: wave 8</v>
      </c>
      <c r="J1480" s="22" t="str">
        <f>_xlfn.XLOOKUP(tblRequirementMeasureXref[[#This Row],[msr_id]],tblMeasure[msr_id],tblMeasure[primary_dimensions])</f>
        <v>walking speed</v>
      </c>
      <c r="K1480" s="22" t="str">
        <f>_xlfn.XLOOKUP(tblRequirementMeasureXref[[#This Row],[msr_id]],tblMeasure[msr_id],tblMeasure[msr_min_geo_resolution])</f>
        <v>England</v>
      </c>
      <c r="L1480" s="22" t="str">
        <f>_xlfn.XLOOKUP(tblRequirementMeasureXref[[#This Row],[msr_id]],tblMeasure[msr_id],tblMeasure[src_name])</f>
        <v>English Longitudinal Study of Ageing</v>
      </c>
    </row>
    <row r="1481" spans="1:12" x14ac:dyDescent="0.15">
      <c r="A1481" s="1" t="str">
        <f>_xlfn.XLOOKUP(tblRequirementMeasureXref[[#This Row],[dm_id]],tblDataRequirement[dm_id],tblDataRequirement[domain_sub_requirement])</f>
        <v>Users:Quality of life:Independence/Mobility</v>
      </c>
      <c r="B1481" s="1" t="str">
        <f>_xlfn.XLOOKUP(tblRequirementMeasureXref[[#This Row],[dm_id]],tblDataRequirement[dm_id],tblDataRequirement[dm_phase])</f>
        <v>outcome</v>
      </c>
      <c r="C1481" s="1">
        <v>104</v>
      </c>
      <c r="D1481" s="1">
        <v>501</v>
      </c>
      <c r="G1481" s="1"/>
      <c r="H1481" s="62" t="str">
        <f>_xlfn.XLOOKUP(tblRequirementMeasureXref[[#This Row],[msr_id]],tblMeasure[msr_id],tblMeasure[msr_table])</f>
        <v>Table H5a</v>
      </c>
      <c r="I1481" s="22" t="str">
        <f>_xlfn.XLOOKUP(tblRequirementMeasureXref[[#This Row],[msr_id]],tblMeasure[msr_id],tblMeasure[msr_name])</f>
        <v>Mean walking speed (m/s), by age group and gender: wave 8</v>
      </c>
      <c r="J1481" s="22" t="str">
        <f>_xlfn.XLOOKUP(tblRequirementMeasureXref[[#This Row],[msr_id]],tblMeasure[msr_id],tblMeasure[primary_dimensions])</f>
        <v>walking speed</v>
      </c>
      <c r="K1481" s="22" t="str">
        <f>_xlfn.XLOOKUP(tblRequirementMeasureXref[[#This Row],[msr_id]],tblMeasure[msr_id],tblMeasure[msr_min_geo_resolution])</f>
        <v>England</v>
      </c>
      <c r="L1481" s="22" t="str">
        <f>_xlfn.XLOOKUP(tblRequirementMeasureXref[[#This Row],[msr_id]],tblMeasure[msr_id],tblMeasure[src_name])</f>
        <v>English Longitudinal Study of Ageing</v>
      </c>
    </row>
    <row r="1482" spans="1:12" x14ac:dyDescent="0.15">
      <c r="A1482" s="1" t="str">
        <f>_xlfn.XLOOKUP(tblRequirementMeasureXref[[#This Row],[dm_id]],tblDataRequirement[dm_id],tblDataRequirement[domain_sub_requirement])</f>
        <v>Users:Demographics:Gender</v>
      </c>
      <c r="B1482" s="1" t="str">
        <f>_xlfn.XLOOKUP(tblRequirementMeasureXref[[#This Row],[dm_id]],tblDataRequirement[dm_id],tblDataRequirement[dm_phase])</f>
        <v>demand</v>
      </c>
      <c r="C1482" s="1">
        <v>62</v>
      </c>
      <c r="D1482" s="1">
        <v>502</v>
      </c>
      <c r="G1482" s="1"/>
      <c r="H1482" s="62" t="str">
        <f>_xlfn.XLOOKUP(tblRequirementMeasureXref[[#This Row],[msr_id]],tblMeasure[msr_id],tblMeasure[msr_table])</f>
        <v>Table H5b</v>
      </c>
      <c r="I1482" s="22" t="str">
        <f>_xlfn.XLOOKUP(tblRequirementMeasureXref[[#This Row],[msr_id]],tblMeasure[msr_id],tblMeasure[msr_name])</f>
        <v>Mean walking speed (m/s), by gender and wealth group: wave 8</v>
      </c>
      <c r="J1482" s="22" t="str">
        <f>_xlfn.XLOOKUP(tblRequirementMeasureXref[[#This Row],[msr_id]],tblMeasure[msr_id],tblMeasure[primary_dimensions])</f>
        <v>walking speed</v>
      </c>
      <c r="K1482" s="22" t="str">
        <f>_xlfn.XLOOKUP(tblRequirementMeasureXref[[#This Row],[msr_id]],tblMeasure[msr_id],tblMeasure[msr_min_geo_resolution])</f>
        <v>England</v>
      </c>
      <c r="L1482" s="22" t="str">
        <f>_xlfn.XLOOKUP(tblRequirementMeasureXref[[#This Row],[msr_id]],tblMeasure[msr_id],tblMeasure[src_name])</f>
        <v>English Longitudinal Study of Ageing</v>
      </c>
    </row>
    <row r="1483" spans="1:12" x14ac:dyDescent="0.15">
      <c r="A1483" s="1" t="str">
        <f>_xlfn.XLOOKUP(tblRequirementMeasureXref[[#This Row],[dm_id]],tblDataRequirement[dm_id],tblDataRequirement[domain_sub_requirement])</f>
        <v>Users:Demographics:Socioeconomic status / employment / income</v>
      </c>
      <c r="B1483" s="1" t="str">
        <f>_xlfn.XLOOKUP(tblRequirementMeasureXref[[#This Row],[dm_id]],tblDataRequirement[dm_id],tblDataRequirement[dm_phase])</f>
        <v>outcome</v>
      </c>
      <c r="C1483" s="1">
        <v>105</v>
      </c>
      <c r="D1483" s="1">
        <v>502</v>
      </c>
      <c r="G1483" s="1"/>
      <c r="H1483" s="62" t="str">
        <f>_xlfn.XLOOKUP(tblRequirementMeasureXref[[#This Row],[msr_id]],tblMeasure[msr_id],tblMeasure[msr_table])</f>
        <v>Table H5b</v>
      </c>
      <c r="I1483" s="22" t="str">
        <f>_xlfn.XLOOKUP(tblRequirementMeasureXref[[#This Row],[msr_id]],tblMeasure[msr_id],tblMeasure[msr_name])</f>
        <v>Mean walking speed (m/s), by gender and wealth group: wave 8</v>
      </c>
      <c r="J1483" s="22" t="str">
        <f>_xlfn.XLOOKUP(tblRequirementMeasureXref[[#This Row],[msr_id]],tblMeasure[msr_id],tblMeasure[primary_dimensions])</f>
        <v>walking speed</v>
      </c>
      <c r="K1483" s="22" t="str">
        <f>_xlfn.XLOOKUP(tblRequirementMeasureXref[[#This Row],[msr_id]],tblMeasure[msr_id],tblMeasure[msr_min_geo_resolution])</f>
        <v>England</v>
      </c>
      <c r="L1483" s="22" t="str">
        <f>_xlfn.XLOOKUP(tblRequirementMeasureXref[[#This Row],[msr_id]],tblMeasure[msr_id],tblMeasure[src_name])</f>
        <v>English Longitudinal Study of Ageing</v>
      </c>
    </row>
    <row r="1484" spans="1:12" x14ac:dyDescent="0.15">
      <c r="A1484" s="1" t="str">
        <f>_xlfn.XLOOKUP(tblRequirementMeasureXref[[#This Row],[dm_id]],tblDataRequirement[dm_id],tblDataRequirement[domain_sub_requirement])</f>
        <v>Users:Quality of life:Independence/Mobility</v>
      </c>
      <c r="B1484" s="1" t="str">
        <f>_xlfn.XLOOKUP(tblRequirementMeasureXref[[#This Row],[dm_id]],tblDataRequirement[dm_id],tblDataRequirement[dm_phase])</f>
        <v>outcome</v>
      </c>
      <c r="C1484" s="1">
        <v>104</v>
      </c>
      <c r="D1484" s="1">
        <v>502</v>
      </c>
      <c r="G1484" s="1"/>
      <c r="H1484" s="62" t="str">
        <f>_xlfn.XLOOKUP(tblRequirementMeasureXref[[#This Row],[msr_id]],tblMeasure[msr_id],tblMeasure[msr_table])</f>
        <v>Table H5b</v>
      </c>
      <c r="I1484" s="22" t="str">
        <f>_xlfn.XLOOKUP(tblRequirementMeasureXref[[#This Row],[msr_id]],tblMeasure[msr_id],tblMeasure[msr_name])</f>
        <v>Mean walking speed (m/s), by gender and wealth group: wave 8</v>
      </c>
      <c r="J1484" s="22" t="str">
        <f>_xlfn.XLOOKUP(tblRequirementMeasureXref[[#This Row],[msr_id]],tblMeasure[msr_id],tblMeasure[primary_dimensions])</f>
        <v>walking speed</v>
      </c>
      <c r="K1484" s="22" t="str">
        <f>_xlfn.XLOOKUP(tblRequirementMeasureXref[[#This Row],[msr_id]],tblMeasure[msr_id],tblMeasure[msr_min_geo_resolution])</f>
        <v>England</v>
      </c>
      <c r="L1484" s="22" t="str">
        <f>_xlfn.XLOOKUP(tblRequirementMeasureXref[[#This Row],[msr_id]],tblMeasure[msr_id],tblMeasure[src_name])</f>
        <v>English Longitudinal Study of Ageing</v>
      </c>
    </row>
    <row r="1485" spans="1:12" x14ac:dyDescent="0.15">
      <c r="A1485" s="1" t="str">
        <f>_xlfn.XLOOKUP(tblRequirementMeasureXref[[#This Row],[dm_id]],tblDataRequirement[dm_id],tblDataRequirement[domain_sub_requirement])</f>
        <v>Users:Demographics:Age</v>
      </c>
      <c r="B1485" s="1" t="str">
        <f>_xlfn.XLOOKUP(tblRequirementMeasureXref[[#This Row],[dm_id]],tblDataRequirement[dm_id],tblDataRequirement[dm_phase])</f>
        <v>demand</v>
      </c>
      <c r="C1485" s="1">
        <v>51</v>
      </c>
      <c r="D1485" s="1">
        <v>503</v>
      </c>
      <c r="G1485" s="1"/>
      <c r="H1485" s="62" t="str">
        <f>_xlfn.XLOOKUP(tblRequirementMeasureXref[[#This Row],[msr_id]],tblMeasure[msr_id],tblMeasure[msr_table])</f>
        <v>Table H6a</v>
      </c>
      <c r="I1485" s="22" t="str">
        <f>_xlfn.XLOOKUP(tblRequirementMeasureXref[[#This Row],[msr_id]],tblMeasure[msr_id],tblMeasure[msr_name])</f>
        <v>Limitations with one or more ADLs and IADLs (%), by age group and gender: wave 8</v>
      </c>
      <c r="J1485" s="22" t="str">
        <f>_xlfn.XLOOKUP(tblRequirementMeasureXref[[#This Row],[msr_id]],tblMeasure[msr_id],tblMeasure[primary_dimensions])</f>
        <v>activities of daily living</v>
      </c>
      <c r="K1485" s="22" t="str">
        <f>_xlfn.XLOOKUP(tblRequirementMeasureXref[[#This Row],[msr_id]],tblMeasure[msr_id],tblMeasure[msr_min_geo_resolution])</f>
        <v>England</v>
      </c>
      <c r="L1485" s="22" t="str">
        <f>_xlfn.XLOOKUP(tblRequirementMeasureXref[[#This Row],[msr_id]],tblMeasure[msr_id],tblMeasure[src_name])</f>
        <v>English Longitudinal Study of Ageing</v>
      </c>
    </row>
    <row r="1486" spans="1:12" x14ac:dyDescent="0.15">
      <c r="A1486" s="1" t="str">
        <f>_xlfn.XLOOKUP(tblRequirementMeasureXref[[#This Row],[dm_id]],tblDataRequirement[dm_id],tblDataRequirement[domain_sub_requirement])</f>
        <v>Users:Demographics:Gender</v>
      </c>
      <c r="B1486" s="1" t="str">
        <f>_xlfn.XLOOKUP(tblRequirementMeasureXref[[#This Row],[dm_id]],tblDataRequirement[dm_id],tblDataRequirement[dm_phase])</f>
        <v>demand</v>
      </c>
      <c r="C1486" s="1">
        <v>62</v>
      </c>
      <c r="D1486" s="1">
        <v>503</v>
      </c>
      <c r="G1486" s="1"/>
      <c r="H1486" s="62" t="str">
        <f>_xlfn.XLOOKUP(tblRequirementMeasureXref[[#This Row],[msr_id]],tblMeasure[msr_id],tblMeasure[msr_table])</f>
        <v>Table H6a</v>
      </c>
      <c r="I1486" s="22" t="str">
        <f>_xlfn.XLOOKUP(tblRequirementMeasureXref[[#This Row],[msr_id]],tblMeasure[msr_id],tblMeasure[msr_name])</f>
        <v>Limitations with one or more ADLs and IADLs (%), by age group and gender: wave 8</v>
      </c>
      <c r="J1486" s="22" t="str">
        <f>_xlfn.XLOOKUP(tblRequirementMeasureXref[[#This Row],[msr_id]],tblMeasure[msr_id],tblMeasure[primary_dimensions])</f>
        <v>activities of daily living</v>
      </c>
      <c r="K1486" s="22" t="str">
        <f>_xlfn.XLOOKUP(tblRequirementMeasureXref[[#This Row],[msr_id]],tblMeasure[msr_id],tblMeasure[msr_min_geo_resolution])</f>
        <v>England</v>
      </c>
      <c r="L1486" s="22" t="str">
        <f>_xlfn.XLOOKUP(tblRequirementMeasureXref[[#This Row],[msr_id]],tblMeasure[msr_id],tblMeasure[src_name])</f>
        <v>English Longitudinal Study of Ageing</v>
      </c>
    </row>
    <row r="1487" spans="1:12" x14ac:dyDescent="0.15">
      <c r="A1487" s="1" t="str">
        <f>_xlfn.XLOOKUP(tblRequirementMeasureXref[[#This Row],[dm_id]],tblDataRequirement[dm_id],tblDataRequirement[domain_sub_requirement])</f>
        <v>Users:Care need:Disability/Dependence</v>
      </c>
      <c r="B1487" s="1" t="str">
        <f>_xlfn.XLOOKUP(tblRequirementMeasureXref[[#This Row],[dm_id]],tblDataRequirement[dm_id],tblDataRequirement[dm_phase])</f>
        <v>demand</v>
      </c>
      <c r="C1487" s="1">
        <v>61</v>
      </c>
      <c r="D1487" s="1">
        <v>503</v>
      </c>
      <c r="G1487" s="1"/>
      <c r="H1487" s="62" t="str">
        <f>_xlfn.XLOOKUP(tblRequirementMeasureXref[[#This Row],[msr_id]],tblMeasure[msr_id],tblMeasure[msr_table])</f>
        <v>Table H6a</v>
      </c>
      <c r="I1487" s="22" t="str">
        <f>_xlfn.XLOOKUP(tblRequirementMeasureXref[[#This Row],[msr_id]],tblMeasure[msr_id],tblMeasure[msr_name])</f>
        <v>Limitations with one or more ADLs and IADLs (%), by age group and gender: wave 8</v>
      </c>
      <c r="J1487" s="22" t="str">
        <f>_xlfn.XLOOKUP(tblRequirementMeasureXref[[#This Row],[msr_id]],tblMeasure[msr_id],tblMeasure[primary_dimensions])</f>
        <v>activities of daily living</v>
      </c>
      <c r="K1487" s="22" t="str">
        <f>_xlfn.XLOOKUP(tblRequirementMeasureXref[[#This Row],[msr_id]],tblMeasure[msr_id],tblMeasure[msr_min_geo_resolution])</f>
        <v>England</v>
      </c>
      <c r="L1487" s="22" t="str">
        <f>_xlfn.XLOOKUP(tblRequirementMeasureXref[[#This Row],[msr_id]],tblMeasure[msr_id],tblMeasure[src_name])</f>
        <v>English Longitudinal Study of Ageing</v>
      </c>
    </row>
    <row r="1488" spans="1:12" x14ac:dyDescent="0.15">
      <c r="A1488" s="1" t="str">
        <f>_xlfn.XLOOKUP(tblRequirementMeasureXref[[#This Row],[dm_id]],tblDataRequirement[dm_id],tblDataRequirement[domain_sub_requirement])</f>
        <v>Users:Demographics:Gender</v>
      </c>
      <c r="B1488" s="1" t="str">
        <f>_xlfn.XLOOKUP(tblRequirementMeasureXref[[#This Row],[dm_id]],tblDataRequirement[dm_id],tblDataRequirement[dm_phase])</f>
        <v>demand</v>
      </c>
      <c r="C1488" s="1">
        <v>62</v>
      </c>
      <c r="D1488" s="1">
        <v>504</v>
      </c>
      <c r="G1488" s="1"/>
      <c r="H1488" s="62" t="str">
        <f>_xlfn.XLOOKUP(tblRequirementMeasureXref[[#This Row],[msr_id]],tblMeasure[msr_id],tblMeasure[msr_table])</f>
        <v>Table H6b</v>
      </c>
      <c r="I1488" s="22" t="str">
        <f>_xlfn.XLOOKUP(tblRequirementMeasureXref[[#This Row],[msr_id]],tblMeasure[msr_id],tblMeasure[msr_name])</f>
        <v>Limitations with one or more ADLs and IADLs (%), by gender and wealth group: wave 8</v>
      </c>
      <c r="J1488" s="22" t="str">
        <f>_xlfn.XLOOKUP(tblRequirementMeasureXref[[#This Row],[msr_id]],tblMeasure[msr_id],tblMeasure[primary_dimensions])</f>
        <v>activities of daily living</v>
      </c>
      <c r="K1488" s="22" t="str">
        <f>_xlfn.XLOOKUP(tblRequirementMeasureXref[[#This Row],[msr_id]],tblMeasure[msr_id],tblMeasure[msr_min_geo_resolution])</f>
        <v>England</v>
      </c>
      <c r="L1488" s="22" t="str">
        <f>_xlfn.XLOOKUP(tblRequirementMeasureXref[[#This Row],[msr_id]],tblMeasure[msr_id],tblMeasure[src_name])</f>
        <v>English Longitudinal Study of Ageing</v>
      </c>
    </row>
    <row r="1489" spans="1:12" x14ac:dyDescent="0.15">
      <c r="A1489" s="1" t="str">
        <f>_xlfn.XLOOKUP(tblRequirementMeasureXref[[#This Row],[dm_id]],tblDataRequirement[dm_id],tblDataRequirement[domain_sub_requirement])</f>
        <v>Users:Care need:Disability/Dependence</v>
      </c>
      <c r="B1489" s="1" t="str">
        <f>_xlfn.XLOOKUP(tblRequirementMeasureXref[[#This Row],[dm_id]],tblDataRequirement[dm_id],tblDataRequirement[dm_phase])</f>
        <v>demand</v>
      </c>
      <c r="C1489" s="1">
        <v>61</v>
      </c>
      <c r="D1489" s="1">
        <v>504</v>
      </c>
      <c r="G1489" s="1"/>
      <c r="H1489" s="62" t="str">
        <f>_xlfn.XLOOKUP(tblRequirementMeasureXref[[#This Row],[msr_id]],tblMeasure[msr_id],tblMeasure[msr_table])</f>
        <v>Table H6b</v>
      </c>
      <c r="I1489" s="22" t="str">
        <f>_xlfn.XLOOKUP(tblRequirementMeasureXref[[#This Row],[msr_id]],tblMeasure[msr_id],tblMeasure[msr_name])</f>
        <v>Limitations with one or more ADLs and IADLs (%), by gender and wealth group: wave 8</v>
      </c>
      <c r="J1489" s="22" t="str">
        <f>_xlfn.XLOOKUP(tblRequirementMeasureXref[[#This Row],[msr_id]],tblMeasure[msr_id],tblMeasure[primary_dimensions])</f>
        <v>activities of daily living</v>
      </c>
      <c r="K1489" s="22" t="str">
        <f>_xlfn.XLOOKUP(tblRequirementMeasureXref[[#This Row],[msr_id]],tblMeasure[msr_id],tblMeasure[msr_min_geo_resolution])</f>
        <v>England</v>
      </c>
      <c r="L1489" s="22" t="str">
        <f>_xlfn.XLOOKUP(tblRequirementMeasureXref[[#This Row],[msr_id]],tblMeasure[msr_id],tblMeasure[src_name])</f>
        <v>English Longitudinal Study of Ageing</v>
      </c>
    </row>
    <row r="1490" spans="1:12" x14ac:dyDescent="0.15">
      <c r="A1490" s="1" t="str">
        <f>_xlfn.XLOOKUP(tblRequirementMeasureXref[[#This Row],[dm_id]],tblDataRequirement[dm_id],tblDataRequirement[domain_sub_requirement])</f>
        <v>Users:Demographics:Socioeconomic status / employment / income</v>
      </c>
      <c r="B1490" s="1" t="str">
        <f>_xlfn.XLOOKUP(tblRequirementMeasureXref[[#This Row],[dm_id]],tblDataRequirement[dm_id],tblDataRequirement[dm_phase])</f>
        <v>outcome</v>
      </c>
      <c r="C1490" s="1">
        <v>105</v>
      </c>
      <c r="D1490" s="1">
        <v>504</v>
      </c>
      <c r="G1490" s="1"/>
      <c r="H1490" s="62" t="str">
        <f>_xlfn.XLOOKUP(tblRequirementMeasureXref[[#This Row],[msr_id]],tblMeasure[msr_id],tblMeasure[msr_table])</f>
        <v>Table H6b</v>
      </c>
      <c r="I1490" s="22" t="str">
        <f>_xlfn.XLOOKUP(tblRequirementMeasureXref[[#This Row],[msr_id]],tblMeasure[msr_id],tblMeasure[msr_name])</f>
        <v>Limitations with one or more ADLs and IADLs (%), by gender and wealth group: wave 8</v>
      </c>
      <c r="J1490" s="22" t="str">
        <f>_xlfn.XLOOKUP(tblRequirementMeasureXref[[#This Row],[msr_id]],tblMeasure[msr_id],tblMeasure[primary_dimensions])</f>
        <v>activities of daily living</v>
      </c>
      <c r="K1490" s="22" t="str">
        <f>_xlfn.XLOOKUP(tblRequirementMeasureXref[[#This Row],[msr_id]],tblMeasure[msr_id],tblMeasure[msr_min_geo_resolution])</f>
        <v>England</v>
      </c>
      <c r="L1490" s="22" t="str">
        <f>_xlfn.XLOOKUP(tblRequirementMeasureXref[[#This Row],[msr_id]],tblMeasure[msr_id],tblMeasure[src_name])</f>
        <v>English Longitudinal Study of Ageing</v>
      </c>
    </row>
    <row r="1491" spans="1:12" x14ac:dyDescent="0.15">
      <c r="A1491" s="1" t="str">
        <f>_xlfn.XLOOKUP(tblRequirementMeasureXref[[#This Row],[dm_id]],tblDataRequirement[dm_id],tblDataRequirement[domain_sub_requirement])</f>
        <v>Users:Demographics:Age</v>
      </c>
      <c r="B1491" s="1" t="str">
        <f>_xlfn.XLOOKUP(tblRequirementMeasureXref[[#This Row],[dm_id]],tblDataRequirement[dm_id],tblDataRequirement[dm_phase])</f>
        <v>demand</v>
      </c>
      <c r="C1491" s="1">
        <v>51</v>
      </c>
      <c r="D1491" s="1">
        <v>505</v>
      </c>
      <c r="G1491" s="1"/>
      <c r="H1491" s="62" t="str">
        <f>_xlfn.XLOOKUP(tblRequirementMeasureXref[[#This Row],[msr_id]],tblMeasure[msr_id],tblMeasure[msr_table])</f>
        <v>Table H7a</v>
      </c>
      <c r="I1491" s="22" t="str">
        <f>_xlfn.XLOOKUP(tblRequirementMeasureXref[[#This Row],[msr_id]],tblMeasure[msr_id],tblMeasure[msr_name])</f>
        <v>Mean cognitive function, by age group and gender: wave 8</v>
      </c>
      <c r="J1491" s="22" t="str">
        <f>_xlfn.XLOOKUP(tblRequirementMeasureXref[[#This Row],[msr_id]],tblMeasure[msr_id],tblMeasure[primary_dimensions])</f>
        <v>cognitive function</v>
      </c>
      <c r="K1491" s="22" t="str">
        <f>_xlfn.XLOOKUP(tblRequirementMeasureXref[[#This Row],[msr_id]],tblMeasure[msr_id],tblMeasure[msr_min_geo_resolution])</f>
        <v>England</v>
      </c>
      <c r="L1491" s="22" t="str">
        <f>_xlfn.XLOOKUP(tblRequirementMeasureXref[[#This Row],[msr_id]],tblMeasure[msr_id],tblMeasure[src_name])</f>
        <v>English Longitudinal Study of Ageing</v>
      </c>
    </row>
    <row r="1492" spans="1:12" x14ac:dyDescent="0.15">
      <c r="A1492" s="1" t="str">
        <f>_xlfn.XLOOKUP(tblRequirementMeasureXref[[#This Row],[dm_id]],tblDataRequirement[dm_id],tblDataRequirement[domain_sub_requirement])</f>
        <v>Users:Demographics:Gender</v>
      </c>
      <c r="B1492" s="1" t="str">
        <f>_xlfn.XLOOKUP(tblRequirementMeasureXref[[#This Row],[dm_id]],tblDataRequirement[dm_id],tblDataRequirement[dm_phase])</f>
        <v>demand</v>
      </c>
      <c r="C1492" s="1">
        <v>62</v>
      </c>
      <c r="D1492" s="1">
        <v>505</v>
      </c>
      <c r="G1492" s="1"/>
      <c r="H1492" s="62" t="str">
        <f>_xlfn.XLOOKUP(tblRequirementMeasureXref[[#This Row],[msr_id]],tblMeasure[msr_id],tblMeasure[msr_table])</f>
        <v>Table H7a</v>
      </c>
      <c r="I1492" s="22" t="str">
        <f>_xlfn.XLOOKUP(tblRequirementMeasureXref[[#This Row],[msr_id]],tblMeasure[msr_id],tblMeasure[msr_name])</f>
        <v>Mean cognitive function, by age group and gender: wave 8</v>
      </c>
      <c r="J1492" s="22" t="str">
        <f>_xlfn.XLOOKUP(tblRequirementMeasureXref[[#This Row],[msr_id]],tblMeasure[msr_id],tblMeasure[primary_dimensions])</f>
        <v>cognitive function</v>
      </c>
      <c r="K1492" s="22" t="str">
        <f>_xlfn.XLOOKUP(tblRequirementMeasureXref[[#This Row],[msr_id]],tblMeasure[msr_id],tblMeasure[msr_min_geo_resolution])</f>
        <v>England</v>
      </c>
      <c r="L1492" s="22" t="str">
        <f>_xlfn.XLOOKUP(tblRequirementMeasureXref[[#This Row],[msr_id]],tblMeasure[msr_id],tblMeasure[src_name])</f>
        <v>English Longitudinal Study of Ageing</v>
      </c>
    </row>
    <row r="1493" spans="1:12" x14ac:dyDescent="0.15">
      <c r="A1493" s="1" t="str">
        <f>_xlfn.XLOOKUP(tblRequirementMeasureXref[[#This Row],[dm_id]],tblDataRequirement[dm_id],tblDataRequirement[domain_sub_requirement])</f>
        <v>Users:Care need:Disability/Dependence</v>
      </c>
      <c r="B1493" s="1" t="str">
        <f>_xlfn.XLOOKUP(tblRequirementMeasureXref[[#This Row],[dm_id]],tblDataRequirement[dm_id],tblDataRequirement[dm_phase])</f>
        <v>demand</v>
      </c>
      <c r="C1493" s="1">
        <v>61</v>
      </c>
      <c r="D1493" s="1">
        <v>505</v>
      </c>
      <c r="G1493" s="1"/>
      <c r="H1493" s="62" t="str">
        <f>_xlfn.XLOOKUP(tblRequirementMeasureXref[[#This Row],[msr_id]],tblMeasure[msr_id],tblMeasure[msr_table])</f>
        <v>Table H7a</v>
      </c>
      <c r="I1493" s="22" t="str">
        <f>_xlfn.XLOOKUP(tblRequirementMeasureXref[[#This Row],[msr_id]],tblMeasure[msr_id],tblMeasure[msr_name])</f>
        <v>Mean cognitive function, by age group and gender: wave 8</v>
      </c>
      <c r="J1493" s="22" t="str">
        <f>_xlfn.XLOOKUP(tblRequirementMeasureXref[[#This Row],[msr_id]],tblMeasure[msr_id],tblMeasure[primary_dimensions])</f>
        <v>cognitive function</v>
      </c>
      <c r="K1493" s="22" t="str">
        <f>_xlfn.XLOOKUP(tblRequirementMeasureXref[[#This Row],[msr_id]],tblMeasure[msr_id],tblMeasure[msr_min_geo_resolution])</f>
        <v>England</v>
      </c>
      <c r="L1493" s="22" t="str">
        <f>_xlfn.XLOOKUP(tblRequirementMeasureXref[[#This Row],[msr_id]],tblMeasure[msr_id],tblMeasure[src_name])</f>
        <v>English Longitudinal Study of Ageing</v>
      </c>
    </row>
    <row r="1494" spans="1:12" x14ac:dyDescent="0.15">
      <c r="A1494" s="1" t="str">
        <f>_xlfn.XLOOKUP(tblRequirementMeasureXref[[#This Row],[dm_id]],tblDataRequirement[dm_id],tblDataRequirement[domain_sub_requirement])</f>
        <v>Users:Demographics:Gender</v>
      </c>
      <c r="B1494" s="1" t="str">
        <f>_xlfn.XLOOKUP(tblRequirementMeasureXref[[#This Row],[dm_id]],tblDataRequirement[dm_id],tblDataRequirement[dm_phase])</f>
        <v>demand</v>
      </c>
      <c r="C1494" s="1">
        <v>62</v>
      </c>
      <c r="D1494" s="1">
        <v>506</v>
      </c>
      <c r="G1494" s="1"/>
      <c r="H1494" s="62" t="str">
        <f>_xlfn.XLOOKUP(tblRequirementMeasureXref[[#This Row],[msr_id]],tblMeasure[msr_id],tblMeasure[msr_table])</f>
        <v>Table H7b</v>
      </c>
      <c r="I1494" s="22" t="str">
        <f>_xlfn.XLOOKUP(tblRequirementMeasureXref[[#This Row],[msr_id]],tblMeasure[msr_id],tblMeasure[msr_name])</f>
        <v>Mean cognitive function, by age group and wealth group: wave 8</v>
      </c>
      <c r="J1494" s="22" t="str">
        <f>_xlfn.XLOOKUP(tblRequirementMeasureXref[[#This Row],[msr_id]],tblMeasure[msr_id],tblMeasure[primary_dimensions])</f>
        <v>cognitive function</v>
      </c>
      <c r="K1494" s="22" t="str">
        <f>_xlfn.XLOOKUP(tblRequirementMeasureXref[[#This Row],[msr_id]],tblMeasure[msr_id],tblMeasure[msr_min_geo_resolution])</f>
        <v>England</v>
      </c>
      <c r="L1494" s="22" t="str">
        <f>_xlfn.XLOOKUP(tblRequirementMeasureXref[[#This Row],[msr_id]],tblMeasure[msr_id],tblMeasure[src_name])</f>
        <v>English Longitudinal Study of Ageing</v>
      </c>
    </row>
    <row r="1495" spans="1:12" x14ac:dyDescent="0.15">
      <c r="A1495" s="1" t="str">
        <f>_xlfn.XLOOKUP(tblRequirementMeasureXref[[#This Row],[dm_id]],tblDataRequirement[dm_id],tblDataRequirement[domain_sub_requirement])</f>
        <v>Users:Care need:Disability/Dependence</v>
      </c>
      <c r="B1495" s="1" t="str">
        <f>_xlfn.XLOOKUP(tblRequirementMeasureXref[[#This Row],[dm_id]],tblDataRequirement[dm_id],tblDataRequirement[dm_phase])</f>
        <v>demand</v>
      </c>
      <c r="C1495" s="1">
        <v>61</v>
      </c>
      <c r="D1495" s="1">
        <v>506</v>
      </c>
      <c r="G1495" s="1"/>
      <c r="H1495" s="62" t="str">
        <f>_xlfn.XLOOKUP(tblRequirementMeasureXref[[#This Row],[msr_id]],tblMeasure[msr_id],tblMeasure[msr_table])</f>
        <v>Table H7b</v>
      </c>
      <c r="I1495" s="22" t="str">
        <f>_xlfn.XLOOKUP(tblRequirementMeasureXref[[#This Row],[msr_id]],tblMeasure[msr_id],tblMeasure[msr_name])</f>
        <v>Mean cognitive function, by age group and wealth group: wave 8</v>
      </c>
      <c r="J1495" s="22" t="str">
        <f>_xlfn.XLOOKUP(tblRequirementMeasureXref[[#This Row],[msr_id]],tblMeasure[msr_id],tblMeasure[primary_dimensions])</f>
        <v>cognitive function</v>
      </c>
      <c r="K1495" s="22" t="str">
        <f>_xlfn.XLOOKUP(tblRequirementMeasureXref[[#This Row],[msr_id]],tblMeasure[msr_id],tblMeasure[msr_min_geo_resolution])</f>
        <v>England</v>
      </c>
      <c r="L1495" s="22" t="str">
        <f>_xlfn.XLOOKUP(tblRequirementMeasureXref[[#This Row],[msr_id]],tblMeasure[msr_id],tblMeasure[src_name])</f>
        <v>English Longitudinal Study of Ageing</v>
      </c>
    </row>
    <row r="1496" spans="1:12" x14ac:dyDescent="0.15">
      <c r="A1496" s="1" t="str">
        <f>_xlfn.XLOOKUP(tblRequirementMeasureXref[[#This Row],[dm_id]],tblDataRequirement[dm_id],tblDataRequirement[domain_sub_requirement])</f>
        <v>Users:Demographics:Socioeconomic status / employment / income</v>
      </c>
      <c r="B1496" s="1" t="str">
        <f>_xlfn.XLOOKUP(tblRequirementMeasureXref[[#This Row],[dm_id]],tblDataRequirement[dm_id],tblDataRequirement[dm_phase])</f>
        <v>outcome</v>
      </c>
      <c r="C1496" s="1">
        <v>105</v>
      </c>
      <c r="D1496" s="1">
        <v>506</v>
      </c>
      <c r="G1496" s="1"/>
      <c r="H1496" s="62" t="str">
        <f>_xlfn.XLOOKUP(tblRequirementMeasureXref[[#This Row],[msr_id]],tblMeasure[msr_id],tblMeasure[msr_table])</f>
        <v>Table H7b</v>
      </c>
      <c r="I1496" s="22" t="str">
        <f>_xlfn.XLOOKUP(tblRequirementMeasureXref[[#This Row],[msr_id]],tblMeasure[msr_id],tblMeasure[msr_name])</f>
        <v>Mean cognitive function, by age group and wealth group: wave 8</v>
      </c>
      <c r="J1496" s="22" t="str">
        <f>_xlfn.XLOOKUP(tblRequirementMeasureXref[[#This Row],[msr_id]],tblMeasure[msr_id],tblMeasure[primary_dimensions])</f>
        <v>cognitive function</v>
      </c>
      <c r="K1496" s="22" t="str">
        <f>_xlfn.XLOOKUP(tblRequirementMeasureXref[[#This Row],[msr_id]],tblMeasure[msr_id],tblMeasure[msr_min_geo_resolution])</f>
        <v>England</v>
      </c>
      <c r="L1496" s="22" t="str">
        <f>_xlfn.XLOOKUP(tblRequirementMeasureXref[[#This Row],[msr_id]],tblMeasure[msr_id],tblMeasure[src_name])</f>
        <v>English Longitudinal Study of Ageing</v>
      </c>
    </row>
    <row r="1497" spans="1:12" x14ac:dyDescent="0.15">
      <c r="A1497" s="1" t="str">
        <f>_xlfn.XLOOKUP(tblRequirementMeasureXref[[#This Row],[dm_id]],tblDataRequirement[dm_id],tblDataRequirement[domain_sub_requirement])</f>
        <v>Users:Demographics:Age</v>
      </c>
      <c r="B1497" s="1" t="str">
        <f>_xlfn.XLOOKUP(tblRequirementMeasureXref[[#This Row],[dm_id]],tblDataRequirement[dm_id],tblDataRequirement[dm_phase])</f>
        <v>demand</v>
      </c>
      <c r="C1497" s="1">
        <v>51</v>
      </c>
      <c r="D1497" s="1">
        <v>519</v>
      </c>
      <c r="G1497" s="1"/>
      <c r="H1497" s="62" t="str">
        <f>_xlfn.XLOOKUP(tblRequirementMeasureXref[[#This Row],[msr_id]],tblMeasure[msr_id],tblMeasure[msr_table])</f>
        <v>Table HL6a</v>
      </c>
      <c r="I1497" s="22" t="str">
        <f>_xlfn.XLOOKUP(tblRequirementMeasureXref[[#This Row],[msr_id]],tblMeasure[msr_id],tblMeasure[msr_name])</f>
        <v>Walking speed (mean, m/s), by age and gender: waves 4 to 8</v>
      </c>
      <c r="J1497" s="22" t="str">
        <f>_xlfn.XLOOKUP(tblRequirementMeasureXref[[#This Row],[msr_id]],tblMeasure[msr_id],tblMeasure[primary_dimensions])</f>
        <v>walking speed</v>
      </c>
      <c r="K1497" s="22" t="str">
        <f>_xlfn.XLOOKUP(tblRequirementMeasureXref[[#This Row],[msr_id]],tblMeasure[msr_id],tblMeasure[msr_min_geo_resolution])</f>
        <v>England</v>
      </c>
      <c r="L1497" s="22" t="str">
        <f>_xlfn.XLOOKUP(tblRequirementMeasureXref[[#This Row],[msr_id]],tblMeasure[msr_id],tblMeasure[src_name])</f>
        <v>English Longitudinal Study of Ageing</v>
      </c>
    </row>
    <row r="1498" spans="1:12" x14ac:dyDescent="0.15">
      <c r="A1498" s="1" t="str">
        <f>_xlfn.XLOOKUP(tblRequirementMeasureXref[[#This Row],[dm_id]],tblDataRequirement[dm_id],tblDataRequirement[domain_sub_requirement])</f>
        <v>Users:Demographics:Gender</v>
      </c>
      <c r="B1498" s="1" t="str">
        <f>_xlfn.XLOOKUP(tblRequirementMeasureXref[[#This Row],[dm_id]],tblDataRequirement[dm_id],tblDataRequirement[dm_phase])</f>
        <v>demand</v>
      </c>
      <c r="C1498" s="1">
        <v>62</v>
      </c>
      <c r="D1498" s="1">
        <v>519</v>
      </c>
      <c r="G1498" s="1"/>
      <c r="H1498" s="62" t="str">
        <f>_xlfn.XLOOKUP(tblRequirementMeasureXref[[#This Row],[msr_id]],tblMeasure[msr_id],tblMeasure[msr_table])</f>
        <v>Table HL6a</v>
      </c>
      <c r="I1498" s="22" t="str">
        <f>_xlfn.XLOOKUP(tblRequirementMeasureXref[[#This Row],[msr_id]],tblMeasure[msr_id],tblMeasure[msr_name])</f>
        <v>Walking speed (mean, m/s), by age and gender: waves 4 to 8</v>
      </c>
      <c r="J1498" s="22" t="str">
        <f>_xlfn.XLOOKUP(tblRequirementMeasureXref[[#This Row],[msr_id]],tblMeasure[msr_id],tblMeasure[primary_dimensions])</f>
        <v>walking speed</v>
      </c>
      <c r="K1498" s="22" t="str">
        <f>_xlfn.XLOOKUP(tblRequirementMeasureXref[[#This Row],[msr_id]],tblMeasure[msr_id],tblMeasure[msr_min_geo_resolution])</f>
        <v>England</v>
      </c>
      <c r="L1498" s="22" t="str">
        <f>_xlfn.XLOOKUP(tblRequirementMeasureXref[[#This Row],[msr_id]],tblMeasure[msr_id],tblMeasure[src_name])</f>
        <v>English Longitudinal Study of Ageing</v>
      </c>
    </row>
    <row r="1499" spans="1:12" x14ac:dyDescent="0.15">
      <c r="A1499" s="1" t="str">
        <f>_xlfn.XLOOKUP(tblRequirementMeasureXref[[#This Row],[dm_id]],tblDataRequirement[dm_id],tblDataRequirement[domain_sub_requirement])</f>
        <v>Users:Quality of life:Independence/Mobility</v>
      </c>
      <c r="B1499" s="1" t="str">
        <f>_xlfn.XLOOKUP(tblRequirementMeasureXref[[#This Row],[dm_id]],tblDataRequirement[dm_id],tblDataRequirement[dm_phase])</f>
        <v>outcome</v>
      </c>
      <c r="C1499" s="1">
        <v>104</v>
      </c>
      <c r="D1499" s="1">
        <v>519</v>
      </c>
      <c r="G1499" s="1"/>
      <c r="H1499" s="62" t="str">
        <f>_xlfn.XLOOKUP(tblRequirementMeasureXref[[#This Row],[msr_id]],tblMeasure[msr_id],tblMeasure[msr_table])</f>
        <v>Table HL6a</v>
      </c>
      <c r="I1499" s="22" t="str">
        <f>_xlfn.XLOOKUP(tblRequirementMeasureXref[[#This Row],[msr_id]],tblMeasure[msr_id],tblMeasure[msr_name])</f>
        <v>Walking speed (mean, m/s), by age and gender: waves 4 to 8</v>
      </c>
      <c r="J1499" s="22" t="str">
        <f>_xlfn.XLOOKUP(tblRequirementMeasureXref[[#This Row],[msr_id]],tblMeasure[msr_id],tblMeasure[primary_dimensions])</f>
        <v>walking speed</v>
      </c>
      <c r="K1499" s="22" t="str">
        <f>_xlfn.XLOOKUP(tblRequirementMeasureXref[[#This Row],[msr_id]],tblMeasure[msr_id],tblMeasure[msr_min_geo_resolution])</f>
        <v>England</v>
      </c>
      <c r="L1499" s="22" t="str">
        <f>_xlfn.XLOOKUP(tblRequirementMeasureXref[[#This Row],[msr_id]],tblMeasure[msr_id],tblMeasure[src_name])</f>
        <v>English Longitudinal Study of Ageing</v>
      </c>
    </row>
    <row r="1500" spans="1:12" x14ac:dyDescent="0.15">
      <c r="A1500" s="1" t="str">
        <f>_xlfn.XLOOKUP(tblRequirementMeasureXref[[#This Row],[dm_id]],tblDataRequirement[dm_id],tblDataRequirement[domain_sub_requirement])</f>
        <v>Users:Demographics:Gender</v>
      </c>
      <c r="B1500" s="1" t="str">
        <f>_xlfn.XLOOKUP(tblRequirementMeasureXref[[#This Row],[dm_id]],tblDataRequirement[dm_id],tblDataRequirement[dm_phase])</f>
        <v>demand</v>
      </c>
      <c r="C1500" s="1">
        <v>62</v>
      </c>
      <c r="D1500" s="1">
        <v>520</v>
      </c>
      <c r="G1500" s="1"/>
      <c r="H1500" s="62" t="str">
        <f>_xlfn.XLOOKUP(tblRequirementMeasureXref[[#This Row],[msr_id]],tblMeasure[msr_id],tblMeasure[msr_table])</f>
        <v>Table HL6b</v>
      </c>
      <c r="I1500" s="22" t="str">
        <f>_xlfn.XLOOKUP(tblRequirementMeasureXref[[#This Row],[msr_id]],tblMeasure[msr_id],tblMeasure[msr_name])</f>
        <v>Walking speed (mean, m/s), by gender and wealth: waves 4 to 8</v>
      </c>
      <c r="J1500" s="22" t="str">
        <f>_xlfn.XLOOKUP(tblRequirementMeasureXref[[#This Row],[msr_id]],tblMeasure[msr_id],tblMeasure[primary_dimensions])</f>
        <v>walking speed</v>
      </c>
      <c r="K1500" s="22" t="str">
        <f>_xlfn.XLOOKUP(tblRequirementMeasureXref[[#This Row],[msr_id]],tblMeasure[msr_id],tblMeasure[msr_min_geo_resolution])</f>
        <v>England</v>
      </c>
      <c r="L1500" s="22" t="str">
        <f>_xlfn.XLOOKUP(tblRequirementMeasureXref[[#This Row],[msr_id]],tblMeasure[msr_id],tblMeasure[src_name])</f>
        <v>English Longitudinal Study of Ageing</v>
      </c>
    </row>
    <row r="1501" spans="1:12" x14ac:dyDescent="0.15">
      <c r="A1501" s="1" t="str">
        <f>_xlfn.XLOOKUP(tblRequirementMeasureXref[[#This Row],[dm_id]],tblDataRequirement[dm_id],tblDataRequirement[domain_sub_requirement])</f>
        <v>Users:Quality of life:Independence/Mobility</v>
      </c>
      <c r="B1501" s="1" t="str">
        <f>_xlfn.XLOOKUP(tblRequirementMeasureXref[[#This Row],[dm_id]],tblDataRequirement[dm_id],tblDataRequirement[dm_phase])</f>
        <v>outcome</v>
      </c>
      <c r="C1501" s="1">
        <v>104</v>
      </c>
      <c r="D1501" s="1">
        <v>520</v>
      </c>
      <c r="G1501" s="1"/>
      <c r="H1501" s="62" t="str">
        <f>_xlfn.XLOOKUP(tblRequirementMeasureXref[[#This Row],[msr_id]],tblMeasure[msr_id],tblMeasure[msr_table])</f>
        <v>Table HL6b</v>
      </c>
      <c r="I1501" s="22" t="str">
        <f>_xlfn.XLOOKUP(tblRequirementMeasureXref[[#This Row],[msr_id]],tblMeasure[msr_id],tblMeasure[msr_name])</f>
        <v>Walking speed (mean, m/s), by gender and wealth: waves 4 to 8</v>
      </c>
      <c r="J1501" s="22" t="str">
        <f>_xlfn.XLOOKUP(tblRequirementMeasureXref[[#This Row],[msr_id]],tblMeasure[msr_id],tblMeasure[primary_dimensions])</f>
        <v>walking speed</v>
      </c>
      <c r="K1501" s="22" t="str">
        <f>_xlfn.XLOOKUP(tblRequirementMeasureXref[[#This Row],[msr_id]],tblMeasure[msr_id],tblMeasure[msr_min_geo_resolution])</f>
        <v>England</v>
      </c>
      <c r="L1501" s="22" t="str">
        <f>_xlfn.XLOOKUP(tblRequirementMeasureXref[[#This Row],[msr_id]],tblMeasure[msr_id],tblMeasure[src_name])</f>
        <v>English Longitudinal Study of Ageing</v>
      </c>
    </row>
    <row r="1502" spans="1:12" x14ac:dyDescent="0.15">
      <c r="A1502" s="1" t="str">
        <f>_xlfn.XLOOKUP(tblRequirementMeasureXref[[#This Row],[dm_id]],tblDataRequirement[dm_id],tblDataRequirement[domain_sub_requirement])</f>
        <v>Users:Demographics:Socioeconomic status / employment / income</v>
      </c>
      <c r="B1502" s="1" t="str">
        <f>_xlfn.XLOOKUP(tblRequirementMeasureXref[[#This Row],[dm_id]],tblDataRequirement[dm_id],tblDataRequirement[dm_phase])</f>
        <v>outcome</v>
      </c>
      <c r="C1502" s="1">
        <v>105</v>
      </c>
      <c r="D1502" s="1">
        <v>520</v>
      </c>
      <c r="G1502" s="1"/>
      <c r="H1502" s="62" t="str">
        <f>_xlfn.XLOOKUP(tblRequirementMeasureXref[[#This Row],[msr_id]],tblMeasure[msr_id],tblMeasure[msr_table])</f>
        <v>Table HL6b</v>
      </c>
      <c r="I1502" s="22" t="str">
        <f>_xlfn.XLOOKUP(tblRequirementMeasureXref[[#This Row],[msr_id]],tblMeasure[msr_id],tblMeasure[msr_name])</f>
        <v>Walking speed (mean, m/s), by gender and wealth: waves 4 to 8</v>
      </c>
      <c r="J1502" s="22" t="str">
        <f>_xlfn.XLOOKUP(tblRequirementMeasureXref[[#This Row],[msr_id]],tblMeasure[msr_id],tblMeasure[primary_dimensions])</f>
        <v>walking speed</v>
      </c>
      <c r="K1502" s="22" t="str">
        <f>_xlfn.XLOOKUP(tblRequirementMeasureXref[[#This Row],[msr_id]],tblMeasure[msr_id],tblMeasure[msr_min_geo_resolution])</f>
        <v>England</v>
      </c>
      <c r="L1502" s="22" t="str">
        <f>_xlfn.XLOOKUP(tblRequirementMeasureXref[[#This Row],[msr_id]],tblMeasure[msr_id],tblMeasure[src_name])</f>
        <v>English Longitudinal Study of Ageing</v>
      </c>
    </row>
    <row r="1503" spans="1:12" x14ac:dyDescent="0.15">
      <c r="A1503" s="1" t="str">
        <f>_xlfn.XLOOKUP(tblRequirementMeasureXref[[#This Row],[dm_id]],tblDataRequirement[dm_id],tblDataRequirement[domain_sub_requirement])</f>
        <v>Users:Demographics:Age</v>
      </c>
      <c r="B1503" s="1" t="str">
        <f>_xlfn.XLOOKUP(tblRequirementMeasureXref[[#This Row],[dm_id]],tblDataRequirement[dm_id],tblDataRequirement[dm_phase])</f>
        <v>demand</v>
      </c>
      <c r="C1503" s="1">
        <v>51</v>
      </c>
      <c r="D1503" s="1">
        <v>521</v>
      </c>
      <c r="G1503" s="1"/>
      <c r="H1503" s="62" t="str">
        <f>_xlfn.XLOOKUP(tblRequirementMeasureXref[[#This Row],[msr_id]],tblMeasure[msr_id],tblMeasure[msr_table])</f>
        <v>Table HL7a</v>
      </c>
      <c r="I1503" s="22" t="str">
        <f>_xlfn.XLOOKUP(tblRequirementMeasureXref[[#This Row],[msr_id]],tblMeasure[msr_id],tblMeasure[msr_name])</f>
        <v>At least one difficulty with ADL (%), by age and gender: waves 4 to 8</v>
      </c>
      <c r="J1503" s="22" t="str">
        <f>_xlfn.XLOOKUP(tblRequirementMeasureXref[[#This Row],[msr_id]],tblMeasure[msr_id],tblMeasure[primary_dimensions])</f>
        <v>activities of daily living</v>
      </c>
      <c r="K1503" s="22" t="str">
        <f>_xlfn.XLOOKUP(tblRequirementMeasureXref[[#This Row],[msr_id]],tblMeasure[msr_id],tblMeasure[msr_min_geo_resolution])</f>
        <v>England</v>
      </c>
      <c r="L1503" s="22" t="str">
        <f>_xlfn.XLOOKUP(tblRequirementMeasureXref[[#This Row],[msr_id]],tblMeasure[msr_id],tblMeasure[src_name])</f>
        <v>English Longitudinal Study of Ageing</v>
      </c>
    </row>
    <row r="1504" spans="1:12" x14ac:dyDescent="0.15">
      <c r="A1504" s="1" t="str">
        <f>_xlfn.XLOOKUP(tblRequirementMeasureXref[[#This Row],[dm_id]],tblDataRequirement[dm_id],tblDataRequirement[domain_sub_requirement])</f>
        <v>Users:Demographics:Gender</v>
      </c>
      <c r="B1504" s="1" t="str">
        <f>_xlfn.XLOOKUP(tblRequirementMeasureXref[[#This Row],[dm_id]],tblDataRequirement[dm_id],tblDataRequirement[dm_phase])</f>
        <v>demand</v>
      </c>
      <c r="C1504" s="1">
        <v>62</v>
      </c>
      <c r="D1504" s="1">
        <v>521</v>
      </c>
      <c r="G1504" s="1"/>
      <c r="H1504" s="62" t="str">
        <f>_xlfn.XLOOKUP(tblRequirementMeasureXref[[#This Row],[msr_id]],tblMeasure[msr_id],tblMeasure[msr_table])</f>
        <v>Table HL7a</v>
      </c>
      <c r="I1504" s="22" t="str">
        <f>_xlfn.XLOOKUP(tblRequirementMeasureXref[[#This Row],[msr_id]],tblMeasure[msr_id],tblMeasure[msr_name])</f>
        <v>At least one difficulty with ADL (%), by age and gender: waves 4 to 8</v>
      </c>
      <c r="J1504" s="22" t="str">
        <f>_xlfn.XLOOKUP(tblRequirementMeasureXref[[#This Row],[msr_id]],tblMeasure[msr_id],tblMeasure[primary_dimensions])</f>
        <v>activities of daily living</v>
      </c>
      <c r="K1504" s="22" t="str">
        <f>_xlfn.XLOOKUP(tblRequirementMeasureXref[[#This Row],[msr_id]],tblMeasure[msr_id],tblMeasure[msr_min_geo_resolution])</f>
        <v>England</v>
      </c>
      <c r="L1504" s="22" t="str">
        <f>_xlfn.XLOOKUP(tblRequirementMeasureXref[[#This Row],[msr_id]],tblMeasure[msr_id],tblMeasure[src_name])</f>
        <v>English Longitudinal Study of Ageing</v>
      </c>
    </row>
    <row r="1505" spans="1:12" x14ac:dyDescent="0.15">
      <c r="A1505" s="1" t="str">
        <f>_xlfn.XLOOKUP(tblRequirementMeasureXref[[#This Row],[dm_id]],tblDataRequirement[dm_id],tblDataRequirement[domain_sub_requirement])</f>
        <v>Users:Care need:Disability/Dependence</v>
      </c>
      <c r="B1505" s="1" t="str">
        <f>_xlfn.XLOOKUP(tblRequirementMeasureXref[[#This Row],[dm_id]],tblDataRequirement[dm_id],tblDataRequirement[dm_phase])</f>
        <v>demand</v>
      </c>
      <c r="C1505" s="1">
        <v>61</v>
      </c>
      <c r="D1505" s="1">
        <v>521</v>
      </c>
      <c r="G1505" s="1"/>
      <c r="H1505" s="62" t="str">
        <f>_xlfn.XLOOKUP(tblRequirementMeasureXref[[#This Row],[msr_id]],tblMeasure[msr_id],tblMeasure[msr_table])</f>
        <v>Table HL7a</v>
      </c>
      <c r="I1505" s="22" t="str">
        <f>_xlfn.XLOOKUP(tblRequirementMeasureXref[[#This Row],[msr_id]],tblMeasure[msr_id],tblMeasure[msr_name])</f>
        <v>At least one difficulty with ADL (%), by age and gender: waves 4 to 8</v>
      </c>
      <c r="J1505" s="22" t="str">
        <f>_xlfn.XLOOKUP(tblRequirementMeasureXref[[#This Row],[msr_id]],tblMeasure[msr_id],tblMeasure[primary_dimensions])</f>
        <v>activities of daily living</v>
      </c>
      <c r="K1505" s="22" t="str">
        <f>_xlfn.XLOOKUP(tblRequirementMeasureXref[[#This Row],[msr_id]],tblMeasure[msr_id],tblMeasure[msr_min_geo_resolution])</f>
        <v>England</v>
      </c>
      <c r="L1505" s="22" t="str">
        <f>_xlfn.XLOOKUP(tblRequirementMeasureXref[[#This Row],[msr_id]],tblMeasure[msr_id],tblMeasure[src_name])</f>
        <v>English Longitudinal Study of Ageing</v>
      </c>
    </row>
    <row r="1506" spans="1:12" x14ac:dyDescent="0.15">
      <c r="A1506" s="1" t="str">
        <f>_xlfn.XLOOKUP(tblRequirementMeasureXref[[#This Row],[dm_id]],tblDataRequirement[dm_id],tblDataRequirement[domain_sub_requirement])</f>
        <v>Users:Demographics:Gender</v>
      </c>
      <c r="B1506" s="1" t="str">
        <f>_xlfn.XLOOKUP(tblRequirementMeasureXref[[#This Row],[dm_id]],tblDataRequirement[dm_id],tblDataRequirement[dm_phase])</f>
        <v>demand</v>
      </c>
      <c r="C1506" s="1">
        <v>62</v>
      </c>
      <c r="D1506" s="1">
        <v>522</v>
      </c>
      <c r="G1506" s="1"/>
      <c r="H1506" s="62" t="str">
        <f>_xlfn.XLOOKUP(tblRequirementMeasureXref[[#This Row],[msr_id]],tblMeasure[msr_id],tblMeasure[msr_table])</f>
        <v>Table HL7b</v>
      </c>
      <c r="I1506" s="22" t="str">
        <f>_xlfn.XLOOKUP(tblRequirementMeasureXref[[#This Row],[msr_id]],tblMeasure[msr_id],tblMeasure[msr_name])</f>
        <v>At least one difficulty with ADL (%), by gender and wealth: waves 4 to 8</v>
      </c>
      <c r="J1506" s="22" t="str">
        <f>_xlfn.XLOOKUP(tblRequirementMeasureXref[[#This Row],[msr_id]],tblMeasure[msr_id],tblMeasure[primary_dimensions])</f>
        <v>activities of daily living</v>
      </c>
      <c r="K1506" s="22" t="str">
        <f>_xlfn.XLOOKUP(tblRequirementMeasureXref[[#This Row],[msr_id]],tblMeasure[msr_id],tblMeasure[msr_min_geo_resolution])</f>
        <v>England</v>
      </c>
      <c r="L1506" s="22" t="str">
        <f>_xlfn.XLOOKUP(tblRequirementMeasureXref[[#This Row],[msr_id]],tblMeasure[msr_id],tblMeasure[src_name])</f>
        <v>English Longitudinal Study of Ageing</v>
      </c>
    </row>
    <row r="1507" spans="1:12" x14ac:dyDescent="0.15">
      <c r="A1507" s="1" t="str">
        <f>_xlfn.XLOOKUP(tblRequirementMeasureXref[[#This Row],[dm_id]],tblDataRequirement[dm_id],tblDataRequirement[domain_sub_requirement])</f>
        <v>Users:Care need:Disability/Dependence</v>
      </c>
      <c r="B1507" s="1" t="str">
        <f>_xlfn.XLOOKUP(tblRequirementMeasureXref[[#This Row],[dm_id]],tblDataRequirement[dm_id],tblDataRequirement[dm_phase])</f>
        <v>demand</v>
      </c>
      <c r="C1507" s="1">
        <v>61</v>
      </c>
      <c r="D1507" s="1">
        <v>522</v>
      </c>
      <c r="G1507" s="1"/>
      <c r="H1507" s="62" t="str">
        <f>_xlfn.XLOOKUP(tblRequirementMeasureXref[[#This Row],[msr_id]],tblMeasure[msr_id],tblMeasure[msr_table])</f>
        <v>Table HL7b</v>
      </c>
      <c r="I1507" s="22" t="str">
        <f>_xlfn.XLOOKUP(tblRequirementMeasureXref[[#This Row],[msr_id]],tblMeasure[msr_id],tblMeasure[msr_name])</f>
        <v>At least one difficulty with ADL (%), by gender and wealth: waves 4 to 8</v>
      </c>
      <c r="J1507" s="22" t="str">
        <f>_xlfn.XLOOKUP(tblRequirementMeasureXref[[#This Row],[msr_id]],tblMeasure[msr_id],tblMeasure[primary_dimensions])</f>
        <v>activities of daily living</v>
      </c>
      <c r="K1507" s="22" t="str">
        <f>_xlfn.XLOOKUP(tblRequirementMeasureXref[[#This Row],[msr_id]],tblMeasure[msr_id],tblMeasure[msr_min_geo_resolution])</f>
        <v>England</v>
      </c>
      <c r="L1507" s="22" t="str">
        <f>_xlfn.XLOOKUP(tblRequirementMeasureXref[[#This Row],[msr_id]],tblMeasure[msr_id],tblMeasure[src_name])</f>
        <v>English Longitudinal Study of Ageing</v>
      </c>
    </row>
    <row r="1508" spans="1:12" x14ac:dyDescent="0.15">
      <c r="A1508" s="1" t="str">
        <f>_xlfn.XLOOKUP(tblRequirementMeasureXref[[#This Row],[dm_id]],tblDataRequirement[dm_id],tblDataRequirement[domain_sub_requirement])</f>
        <v>Users:Demographics:Socioeconomic status / employment / income</v>
      </c>
      <c r="B1508" s="1" t="str">
        <f>_xlfn.XLOOKUP(tblRequirementMeasureXref[[#This Row],[dm_id]],tblDataRequirement[dm_id],tblDataRequirement[dm_phase])</f>
        <v>outcome</v>
      </c>
      <c r="C1508" s="1">
        <v>105</v>
      </c>
      <c r="D1508" s="1">
        <v>522</v>
      </c>
      <c r="G1508" s="1"/>
      <c r="H1508" s="62" t="str">
        <f>_xlfn.XLOOKUP(tblRequirementMeasureXref[[#This Row],[msr_id]],tblMeasure[msr_id],tblMeasure[msr_table])</f>
        <v>Table HL7b</v>
      </c>
      <c r="I1508" s="22" t="str">
        <f>_xlfn.XLOOKUP(tblRequirementMeasureXref[[#This Row],[msr_id]],tblMeasure[msr_id],tblMeasure[msr_name])</f>
        <v>At least one difficulty with ADL (%), by gender and wealth: waves 4 to 8</v>
      </c>
      <c r="J1508" s="22" t="str">
        <f>_xlfn.XLOOKUP(tblRequirementMeasureXref[[#This Row],[msr_id]],tblMeasure[msr_id],tblMeasure[primary_dimensions])</f>
        <v>activities of daily living</v>
      </c>
      <c r="K1508" s="22" t="str">
        <f>_xlfn.XLOOKUP(tblRequirementMeasureXref[[#This Row],[msr_id]],tblMeasure[msr_id],tblMeasure[msr_min_geo_resolution])</f>
        <v>England</v>
      </c>
      <c r="L1508" s="22" t="str">
        <f>_xlfn.XLOOKUP(tblRequirementMeasureXref[[#This Row],[msr_id]],tblMeasure[msr_id],tblMeasure[src_name])</f>
        <v>English Longitudinal Study of Ageing</v>
      </c>
    </row>
    <row r="1509" spans="1:12" x14ac:dyDescent="0.15">
      <c r="A1509" s="1" t="str">
        <f>_xlfn.XLOOKUP(tblRequirementMeasureXref[[#This Row],[dm_id]],tblDataRequirement[dm_id],tblDataRequirement[domain_sub_requirement])</f>
        <v>Users:Demographics:Age</v>
      </c>
      <c r="B1509" s="1" t="str">
        <f>_xlfn.XLOOKUP(tblRequirementMeasureXref[[#This Row],[dm_id]],tblDataRequirement[dm_id],tblDataRequirement[dm_phase])</f>
        <v>demand</v>
      </c>
      <c r="C1509" s="1">
        <v>51</v>
      </c>
      <c r="D1509" s="1">
        <v>523</v>
      </c>
      <c r="G1509" s="1"/>
      <c r="H1509" s="62" t="str">
        <f>_xlfn.XLOOKUP(tblRequirementMeasureXref[[#This Row],[msr_id]],tblMeasure[msr_id],tblMeasure[msr_table])</f>
        <v>Table HL8a</v>
      </c>
      <c r="I1509" s="22" t="str">
        <f>_xlfn.XLOOKUP(tblRequirementMeasureXref[[#This Row],[msr_id]],tblMeasure[msr_id],tblMeasure[msr_name])</f>
        <v>Mean memory score, by age and gender: waves 4 to 8</v>
      </c>
      <c r="J1509" s="22" t="str">
        <f>_xlfn.XLOOKUP(tblRequirementMeasureXref[[#This Row],[msr_id]],tblMeasure[msr_id],tblMeasure[primary_dimensions])</f>
        <v>cognitive function</v>
      </c>
      <c r="K1509" s="22" t="str">
        <f>_xlfn.XLOOKUP(tblRequirementMeasureXref[[#This Row],[msr_id]],tblMeasure[msr_id],tblMeasure[msr_min_geo_resolution])</f>
        <v>England</v>
      </c>
      <c r="L1509" s="22" t="str">
        <f>_xlfn.XLOOKUP(tblRequirementMeasureXref[[#This Row],[msr_id]],tblMeasure[msr_id],tblMeasure[src_name])</f>
        <v>English Longitudinal Study of Ageing</v>
      </c>
    </row>
    <row r="1510" spans="1:12" x14ac:dyDescent="0.15">
      <c r="A1510" s="1" t="str">
        <f>_xlfn.XLOOKUP(tblRequirementMeasureXref[[#This Row],[dm_id]],tblDataRequirement[dm_id],tblDataRequirement[domain_sub_requirement])</f>
        <v>Users:Demographics:Gender</v>
      </c>
      <c r="B1510" s="1" t="str">
        <f>_xlfn.XLOOKUP(tblRequirementMeasureXref[[#This Row],[dm_id]],tblDataRequirement[dm_id],tblDataRequirement[dm_phase])</f>
        <v>demand</v>
      </c>
      <c r="C1510" s="1">
        <v>62</v>
      </c>
      <c r="D1510" s="1">
        <v>523</v>
      </c>
      <c r="G1510" s="1"/>
      <c r="H1510" s="62" t="str">
        <f>_xlfn.XLOOKUP(tblRequirementMeasureXref[[#This Row],[msr_id]],tblMeasure[msr_id],tblMeasure[msr_table])</f>
        <v>Table HL8a</v>
      </c>
      <c r="I1510" s="22" t="str">
        <f>_xlfn.XLOOKUP(tblRequirementMeasureXref[[#This Row],[msr_id]],tblMeasure[msr_id],tblMeasure[msr_name])</f>
        <v>Mean memory score, by age and gender: waves 4 to 8</v>
      </c>
      <c r="J1510" s="22" t="str">
        <f>_xlfn.XLOOKUP(tblRequirementMeasureXref[[#This Row],[msr_id]],tblMeasure[msr_id],tblMeasure[primary_dimensions])</f>
        <v>cognitive function</v>
      </c>
      <c r="K1510" s="22" t="str">
        <f>_xlfn.XLOOKUP(tblRequirementMeasureXref[[#This Row],[msr_id]],tblMeasure[msr_id],tblMeasure[msr_min_geo_resolution])</f>
        <v>England</v>
      </c>
      <c r="L1510" s="22" t="str">
        <f>_xlfn.XLOOKUP(tblRequirementMeasureXref[[#This Row],[msr_id]],tblMeasure[msr_id],tblMeasure[src_name])</f>
        <v>English Longitudinal Study of Ageing</v>
      </c>
    </row>
    <row r="1511" spans="1:12" x14ac:dyDescent="0.15">
      <c r="A1511" s="1" t="str">
        <f>_xlfn.XLOOKUP(tblRequirementMeasureXref[[#This Row],[dm_id]],tblDataRequirement[dm_id],tblDataRequirement[domain_sub_requirement])</f>
        <v>Users:Care need:Disability/Dependence</v>
      </c>
      <c r="B1511" s="1" t="str">
        <f>_xlfn.XLOOKUP(tblRequirementMeasureXref[[#This Row],[dm_id]],tblDataRequirement[dm_id],tblDataRequirement[dm_phase])</f>
        <v>demand</v>
      </c>
      <c r="C1511" s="1">
        <v>61</v>
      </c>
      <c r="D1511" s="1">
        <v>523</v>
      </c>
      <c r="G1511" s="1"/>
      <c r="H1511" s="62" t="str">
        <f>_xlfn.XLOOKUP(tblRequirementMeasureXref[[#This Row],[msr_id]],tblMeasure[msr_id],tblMeasure[msr_table])</f>
        <v>Table HL8a</v>
      </c>
      <c r="I1511" s="22" t="str">
        <f>_xlfn.XLOOKUP(tblRequirementMeasureXref[[#This Row],[msr_id]],tblMeasure[msr_id],tblMeasure[msr_name])</f>
        <v>Mean memory score, by age and gender: waves 4 to 8</v>
      </c>
      <c r="J1511" s="22" t="str">
        <f>_xlfn.XLOOKUP(tblRequirementMeasureXref[[#This Row],[msr_id]],tblMeasure[msr_id],tblMeasure[primary_dimensions])</f>
        <v>cognitive function</v>
      </c>
      <c r="K1511" s="22" t="str">
        <f>_xlfn.XLOOKUP(tblRequirementMeasureXref[[#This Row],[msr_id]],tblMeasure[msr_id],tblMeasure[msr_min_geo_resolution])</f>
        <v>England</v>
      </c>
      <c r="L1511" s="22" t="str">
        <f>_xlfn.XLOOKUP(tblRequirementMeasureXref[[#This Row],[msr_id]],tblMeasure[msr_id],tblMeasure[src_name])</f>
        <v>English Longitudinal Study of Ageing</v>
      </c>
    </row>
    <row r="1512" spans="1:12" x14ac:dyDescent="0.15">
      <c r="A1512" s="1" t="str">
        <f>_xlfn.XLOOKUP(tblRequirementMeasureXref[[#This Row],[dm_id]],tblDataRequirement[dm_id],tblDataRequirement[domain_sub_requirement])</f>
        <v>Users:Demographics:Gender</v>
      </c>
      <c r="B1512" s="1" t="str">
        <f>_xlfn.XLOOKUP(tblRequirementMeasureXref[[#This Row],[dm_id]],tblDataRequirement[dm_id],tblDataRequirement[dm_phase])</f>
        <v>demand</v>
      </c>
      <c r="C1512" s="1">
        <v>62</v>
      </c>
      <c r="D1512" s="1">
        <v>524</v>
      </c>
      <c r="G1512" s="1"/>
      <c r="H1512" s="62" t="str">
        <f>_xlfn.XLOOKUP(tblRequirementMeasureXref[[#This Row],[msr_id]],tblMeasure[msr_id],tblMeasure[msr_table])</f>
        <v>Table HL8b</v>
      </c>
      <c r="I1512" s="22" t="str">
        <f>_xlfn.XLOOKUP(tblRequirementMeasureXref[[#This Row],[msr_id]],tblMeasure[msr_id],tblMeasure[msr_name])</f>
        <v>Mean memory score, by gender and wealth: waves 4 to 8</v>
      </c>
      <c r="J1512" s="22" t="str">
        <f>_xlfn.XLOOKUP(tblRequirementMeasureXref[[#This Row],[msr_id]],tblMeasure[msr_id],tblMeasure[primary_dimensions])</f>
        <v>cognitive function</v>
      </c>
      <c r="K1512" s="22" t="str">
        <f>_xlfn.XLOOKUP(tblRequirementMeasureXref[[#This Row],[msr_id]],tblMeasure[msr_id],tblMeasure[msr_min_geo_resolution])</f>
        <v>England</v>
      </c>
      <c r="L1512" s="22" t="str">
        <f>_xlfn.XLOOKUP(tblRequirementMeasureXref[[#This Row],[msr_id]],tblMeasure[msr_id],tblMeasure[src_name])</f>
        <v>English Longitudinal Study of Ageing</v>
      </c>
    </row>
    <row r="1513" spans="1:12" x14ac:dyDescent="0.15">
      <c r="A1513" s="1" t="str">
        <f>_xlfn.XLOOKUP(tblRequirementMeasureXref[[#This Row],[dm_id]],tblDataRequirement[dm_id],tblDataRequirement[domain_sub_requirement])</f>
        <v>Users:Demographics:Socioeconomic status / employment / income</v>
      </c>
      <c r="B1513" s="1" t="str">
        <f>_xlfn.XLOOKUP(tblRequirementMeasureXref[[#This Row],[dm_id]],tblDataRequirement[dm_id],tblDataRequirement[dm_phase])</f>
        <v>outcome</v>
      </c>
      <c r="C1513" s="1">
        <v>105</v>
      </c>
      <c r="D1513" s="1">
        <v>524</v>
      </c>
      <c r="G1513" s="1"/>
      <c r="H1513" s="62" t="str">
        <f>_xlfn.XLOOKUP(tblRequirementMeasureXref[[#This Row],[msr_id]],tblMeasure[msr_id],tblMeasure[msr_table])</f>
        <v>Table HL8b</v>
      </c>
      <c r="I1513" s="22" t="str">
        <f>_xlfn.XLOOKUP(tblRequirementMeasureXref[[#This Row],[msr_id]],tblMeasure[msr_id],tblMeasure[msr_name])</f>
        <v>Mean memory score, by gender and wealth: waves 4 to 8</v>
      </c>
      <c r="J1513" s="22" t="str">
        <f>_xlfn.XLOOKUP(tblRequirementMeasureXref[[#This Row],[msr_id]],tblMeasure[msr_id],tblMeasure[primary_dimensions])</f>
        <v>cognitive function</v>
      </c>
      <c r="K1513" s="22" t="str">
        <f>_xlfn.XLOOKUP(tblRequirementMeasureXref[[#This Row],[msr_id]],tblMeasure[msr_id],tblMeasure[msr_min_geo_resolution])</f>
        <v>England</v>
      </c>
      <c r="L1513" s="22" t="str">
        <f>_xlfn.XLOOKUP(tblRequirementMeasureXref[[#This Row],[msr_id]],tblMeasure[msr_id],tblMeasure[src_name])</f>
        <v>English Longitudinal Study of Ageing</v>
      </c>
    </row>
    <row r="1514" spans="1:12" x14ac:dyDescent="0.15">
      <c r="A1514" s="1" t="str">
        <f>_xlfn.XLOOKUP(tblRequirementMeasureXref[[#This Row],[dm_id]],tblDataRequirement[dm_id],tblDataRequirement[domain_sub_requirement])</f>
        <v>Users:Care need:Disability/Dependence</v>
      </c>
      <c r="B1514" s="1" t="str">
        <f>_xlfn.XLOOKUP(tblRequirementMeasureXref[[#This Row],[dm_id]],tblDataRequirement[dm_id],tblDataRequirement[dm_phase])</f>
        <v>demand</v>
      </c>
      <c r="C1514" s="1">
        <v>61</v>
      </c>
      <c r="D1514" s="1">
        <v>524</v>
      </c>
      <c r="G1514" s="1"/>
      <c r="H1514" s="62" t="str">
        <f>_xlfn.XLOOKUP(tblRequirementMeasureXref[[#This Row],[msr_id]],tblMeasure[msr_id],tblMeasure[msr_table])</f>
        <v>Table HL8b</v>
      </c>
      <c r="I1514" s="22" t="str">
        <f>_xlfn.XLOOKUP(tblRequirementMeasureXref[[#This Row],[msr_id]],tblMeasure[msr_id],tblMeasure[msr_name])</f>
        <v>Mean memory score, by gender and wealth: waves 4 to 8</v>
      </c>
      <c r="J1514" s="22" t="str">
        <f>_xlfn.XLOOKUP(tblRequirementMeasureXref[[#This Row],[msr_id]],tblMeasure[msr_id],tblMeasure[primary_dimensions])</f>
        <v>cognitive function</v>
      </c>
      <c r="K1514" s="22" t="str">
        <f>_xlfn.XLOOKUP(tblRequirementMeasureXref[[#This Row],[msr_id]],tblMeasure[msr_id],tblMeasure[msr_min_geo_resolution])</f>
        <v>England</v>
      </c>
      <c r="L1514" s="22" t="str">
        <f>_xlfn.XLOOKUP(tblRequirementMeasureXref[[#This Row],[msr_id]],tblMeasure[msr_id],tblMeasure[src_name])</f>
        <v>English Longitudinal Study of Ageing</v>
      </c>
    </row>
  </sheetData>
  <mergeCells count="2">
    <mergeCell ref="A1:F1"/>
    <mergeCell ref="G1:K1"/>
  </mergeCells>
  <dataValidations count="2">
    <dataValidation type="list" allowBlank="1" showInputMessage="1" showErrorMessage="1" sqref="F3:F1514" xr:uid="{AF17ADAD-CCD8-4376-BDFE-49FFAB78201B}">
      <formula1>"Proposed,Approved"</formula1>
    </dataValidation>
    <dataValidation allowBlank="1" showInputMessage="1" showErrorMessage="1" sqref="D1 D1515:D1048576 E2:E1514" xr:uid="{B8249F5E-7A40-4469-B36C-9E25EC0055CB}"/>
  </dataValidations>
  <pageMargins left="0.7" right="0.7" top="0.75" bottom="0.75" header="0.3" footer="0.3"/>
  <pageSetup paperSize="9"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3B07-F7B4-45E9-81B1-0FEC38E1DDB8}">
  <sheetPr>
    <tabColor theme="9" tint="-0.499984740745262"/>
  </sheetPr>
  <dimension ref="A1:AS552"/>
  <sheetViews>
    <sheetView zoomScale="130" zoomScaleNormal="130" workbookViewId="0">
      <pane ySplit="2" topLeftCell="A20" activePane="bottomLeft" state="frozen"/>
      <selection pane="bottomLeft" activeCell="C39" sqref="C39"/>
    </sheetView>
  </sheetViews>
  <sheetFormatPr baseColWidth="10" defaultColWidth="8.83203125" defaultRowHeight="12" x14ac:dyDescent="0.15"/>
  <cols>
    <col min="1" max="2" width="10.5" style="16" customWidth="1"/>
    <col min="3" max="3" width="7.83203125" style="16" customWidth="1"/>
    <col min="4" max="4" width="16.5" style="16" customWidth="1"/>
    <col min="5" max="5" width="6.5" style="16" customWidth="1"/>
    <col min="6" max="6" width="37.83203125" style="16" customWidth="1"/>
    <col min="7" max="7" width="9.5" style="16" customWidth="1"/>
    <col min="8" max="9" width="8.83203125" style="16"/>
    <col min="10" max="10" width="9.5" style="16" customWidth="1"/>
    <col min="11" max="21" width="8.83203125" style="16"/>
    <col min="22" max="22" width="8.6640625" style="16" customWidth="1"/>
    <col min="23" max="23" width="8.83203125" style="16"/>
    <col min="24" max="24" width="11.1640625" style="16" customWidth="1"/>
    <col min="25" max="25" width="13.83203125" style="16" customWidth="1"/>
    <col min="26" max="16384" width="8.83203125" style="16"/>
  </cols>
  <sheetData>
    <row r="1" spans="1:45" s="12" customFormat="1" ht="34.5" customHeight="1" x14ac:dyDescent="0.2">
      <c r="A1" s="97" t="s">
        <v>193</v>
      </c>
      <c r="B1" s="97"/>
      <c r="C1" s="97"/>
      <c r="D1" s="97"/>
      <c r="E1" s="97"/>
      <c r="F1" s="97"/>
      <c r="G1" s="97"/>
      <c r="H1" s="97"/>
      <c r="I1" s="97"/>
      <c r="J1" s="97"/>
      <c r="K1" s="97"/>
      <c r="L1" s="97"/>
      <c r="M1" s="97"/>
      <c r="N1" s="97"/>
      <c r="O1" s="97"/>
      <c r="P1" s="97"/>
      <c r="Q1" s="97"/>
      <c r="R1" s="97"/>
      <c r="S1" s="97"/>
      <c r="T1" s="97"/>
      <c r="U1" s="97"/>
      <c r="V1" s="97"/>
      <c r="W1" s="97"/>
      <c r="X1" s="97"/>
      <c r="Y1" s="97"/>
      <c r="Z1" s="97"/>
    </row>
    <row r="2" spans="1:45" s="54" customFormat="1" x14ac:dyDescent="0.15">
      <c r="A2" s="63" t="s">
        <v>1963</v>
      </c>
      <c r="B2" s="54" t="s">
        <v>194</v>
      </c>
      <c r="C2" s="54" t="s">
        <v>195</v>
      </c>
      <c r="D2" s="63" t="s">
        <v>1956</v>
      </c>
      <c r="E2" s="63" t="s">
        <v>1957</v>
      </c>
      <c r="F2" s="63" t="s">
        <v>1958</v>
      </c>
      <c r="G2" s="63" t="s">
        <v>1959</v>
      </c>
      <c r="H2" s="54" t="s">
        <v>196</v>
      </c>
      <c r="I2" s="63" t="s">
        <v>1960</v>
      </c>
      <c r="J2" s="63" t="s">
        <v>1961</v>
      </c>
      <c r="K2" s="54" t="s">
        <v>189</v>
      </c>
      <c r="L2" s="63" t="s">
        <v>1962</v>
      </c>
      <c r="M2" s="54" t="s">
        <v>197</v>
      </c>
      <c r="N2" s="54" t="s">
        <v>198</v>
      </c>
      <c r="O2" s="54" t="s">
        <v>199</v>
      </c>
      <c r="P2" s="54" t="s">
        <v>200</v>
      </c>
      <c r="Q2" s="54" t="s">
        <v>201</v>
      </c>
      <c r="R2" s="54" t="s">
        <v>202</v>
      </c>
      <c r="S2" s="54" t="s">
        <v>203</v>
      </c>
      <c r="T2" s="54" t="s">
        <v>204</v>
      </c>
      <c r="U2" s="54" t="s">
        <v>205</v>
      </c>
      <c r="V2" s="54" t="s">
        <v>206</v>
      </c>
      <c r="W2" s="54" t="s">
        <v>207</v>
      </c>
      <c r="X2" s="71" t="s">
        <v>1944</v>
      </c>
      <c r="Y2" s="71" t="s">
        <v>1945</v>
      </c>
      <c r="Z2" s="71" t="s">
        <v>1946</v>
      </c>
      <c r="AA2" s="71" t="s">
        <v>1947</v>
      </c>
      <c r="AB2" s="71" t="s">
        <v>1948</v>
      </c>
      <c r="AC2" s="71" t="s">
        <v>1949</v>
      </c>
      <c r="AD2" s="71" t="s">
        <v>1950</v>
      </c>
      <c r="AE2" s="71" t="s">
        <v>1951</v>
      </c>
      <c r="AF2" s="71" t="s">
        <v>1952</v>
      </c>
      <c r="AG2" s="71" t="s">
        <v>1953</v>
      </c>
      <c r="AH2" s="71" t="s">
        <v>1954</v>
      </c>
      <c r="AI2" s="71" t="s">
        <v>1955</v>
      </c>
      <c r="AJ2" s="78" t="s">
        <v>1971</v>
      </c>
      <c r="AK2" s="78" t="s">
        <v>1972</v>
      </c>
      <c r="AL2" s="78" t="s">
        <v>1981</v>
      </c>
      <c r="AM2" s="78" t="s">
        <v>1973</v>
      </c>
      <c r="AN2" s="78" t="s">
        <v>1974</v>
      </c>
      <c r="AO2" s="78" t="s">
        <v>1975</v>
      </c>
      <c r="AP2" s="78" t="s">
        <v>1976</v>
      </c>
      <c r="AQ2" s="78" t="s">
        <v>1977</v>
      </c>
      <c r="AR2" s="78" t="s">
        <v>1978</v>
      </c>
      <c r="AS2" s="79" t="s">
        <v>1980</v>
      </c>
    </row>
    <row r="3" spans="1:45" hidden="1" x14ac:dyDescent="0.15">
      <c r="A3" s="30">
        <v>1</v>
      </c>
      <c r="B3" s="15">
        <f>COUNTIF(requirement_measure_map!$D$3:$D$1514,measure!A3)</f>
        <v>7</v>
      </c>
      <c r="C3" s="30" t="s">
        <v>208</v>
      </c>
      <c r="D3" s="15" t="s">
        <v>209</v>
      </c>
      <c r="E3" s="15" t="s">
        <v>210</v>
      </c>
      <c r="F3" s="15" t="s">
        <v>211</v>
      </c>
      <c r="G3" s="29" t="s">
        <v>212</v>
      </c>
      <c r="H3" s="15" t="s">
        <v>213</v>
      </c>
      <c r="I3" s="15" t="s">
        <v>214</v>
      </c>
      <c r="J3" s="15" t="s">
        <v>215</v>
      </c>
      <c r="K3" s="15" t="s">
        <v>216</v>
      </c>
      <c r="L3" s="15" t="s">
        <v>217</v>
      </c>
      <c r="M3" s="15" t="s">
        <v>218</v>
      </c>
      <c r="N3" s="15" t="s">
        <v>219</v>
      </c>
      <c r="O3" s="15" t="s">
        <v>219</v>
      </c>
      <c r="P3" s="15" t="s">
        <v>219</v>
      </c>
      <c r="Q3" s="15" t="s">
        <v>219</v>
      </c>
      <c r="R3" s="15" t="s">
        <v>219</v>
      </c>
      <c r="S3" s="15" t="s">
        <v>220</v>
      </c>
      <c r="T3" s="15" t="s">
        <v>218</v>
      </c>
      <c r="U3" s="15" t="s">
        <v>219</v>
      </c>
      <c r="V3" s="15" t="s">
        <v>219</v>
      </c>
      <c r="W3" s="15">
        <v>1</v>
      </c>
      <c r="X3" s="15" t="str">
        <f>_xlfn.XLOOKUP(tblMeasure[[#This Row],[id_src]],tblSource[id_src],tblSource[org])</f>
        <v>NHS Digital</v>
      </c>
      <c r="Y3" s="15" t="str">
        <f>_xlfn.XLOOKUP(tblMeasure[[#This Row],[id_src]],tblSource[id_src],tblSource[source])</f>
        <v>Adult Social Care Activity and Finance Report</v>
      </c>
      <c r="Z3" s="15" t="str">
        <f>_xlfn.XLOOKUP(tblMeasure[[#This Row],[id_src]],tblSource[id_src],tblSource[url_source])</f>
        <v>https://digital.nhs.uk/data-and-information/publications/statistical/adult-social-care-activity-and-finance-report/2018-19</v>
      </c>
      <c r="AA3" s="15">
        <f>_xlfn.XLOOKUP(tblMeasure[[#This Row],[id_src]],tblSource[id_src],tblSource[year_first_published])</f>
        <v>2016</v>
      </c>
      <c r="AB3" s="15">
        <f>_xlfn.XLOOKUP(tblMeasure[[#This Row],[id_src]],tblSource[id_src],tblSource[year_last_published])</f>
        <v>2019</v>
      </c>
      <c r="AC3" s="15" t="str">
        <f>_xlfn.XLOOKUP(tblMeasure[[#This Row],[id_src]],tblSource[id_src],tblSource[discontinuity])</f>
        <v>None</v>
      </c>
      <c r="AD3" s="15" t="str">
        <f>_xlfn.XLOOKUP(tblMeasure[[#This Row],[id_src]],tblSource[id_src],tblSource[publication_frequency])</f>
        <v>Annual</v>
      </c>
      <c r="AE3" s="15">
        <f>_xlfn.XLOOKUP(tblMeasure[[#This Row],[id_src]],tblSource[id_src],tblSource[publication_lag_months])</f>
        <v>7</v>
      </c>
      <c r="AF3" s="15" t="str">
        <f>_xlfn.XLOOKUP(tblMeasure[[#This Row],[id_src]],tblSource[id_src],tblSource[data_providers])</f>
        <v>LA</v>
      </c>
      <c r="AG3" s="15" t="str">
        <f>_xlfn.XLOOKUP(tblMeasure[[#This Row],[id_src]],tblSource[id_src],tblSource[statistic_class])</f>
        <v>National (ASC-FR) + Official (SALT)</v>
      </c>
      <c r="AH3" s="15" t="str">
        <f>_xlfn.XLOOKUP(tblMeasure[[#This Row],[id_src]],tblSource[id_src],tblSource[methodology_link])</f>
        <v>https://digital.nhs.uk/data-and-information/publications/statistical/adult-social-care-activity-and-finance-report/2018-19/data-quality-statement</v>
      </c>
      <c r="AI3" s="15" t="str">
        <f>_xlfn.XLOOKUP(tblMeasure[[#This Row],[id_src]],tblSource[id_src],tblSource[quality_issues])</f>
        <v>https://digital.nhs.uk/data-and-information/publications/statistical/adult-social-care-activity-and-finance-report/2018-19/data-quality-statement#accuracy-and-reliability</v>
      </c>
      <c r="AJ3" s="25">
        <f>VLOOKUP(tblMeasure[[#This Row],[msr_population_or_survey]],strlu_msr_population_or_survey,2,FALSE)</f>
        <v>1</v>
      </c>
      <c r="AK3" s="25">
        <f>VLOOKUP(tblMeasure[[#This Row],[msr_min_geo_resolution]],strlu_msr_min_geo_resolution,2,FALSE)</f>
        <v>1</v>
      </c>
      <c r="AL3" s="25">
        <f>(MAX(tblMeasure[[#This Row],[src_year_last_published]]-2010+1,0)+MIN(2010-tblMeasure[[#This Row],[src_year_first_published]],0)-MAX(tblMeasure[[#This Row],[src_year_last_published]]-2019,0))/10</f>
        <v>0.4</v>
      </c>
      <c r="AM3" s="25">
        <f>IF(OR(tblMeasure[[#This Row],[src_discontinuity]]="None",tblMeasure[[#This Row],[src_discontinuity]]=0),1,0)</f>
        <v>1</v>
      </c>
      <c r="AN3" s="25">
        <f>VLOOKUP(tblMeasure[[#This Row],[src_pub_frequency]],strlu_src_pub_frequency,2,FALSE)</f>
        <v>0.8</v>
      </c>
      <c r="AO3" s="25">
        <f>VLOOKUP(tblMeasure[[#This Row],[src_pub_lag_months]],strlu_src_pub_lag_months,2,FALSE)</f>
        <v>0.3</v>
      </c>
      <c r="AP3" s="25">
        <f>VLOOKUP(tblMeasure[[#This Row],[src_statistic_class]],strlu_src_statistic_class,2,FALSE)</f>
        <v>1</v>
      </c>
      <c r="AQ3" s="25">
        <f>IF(tblMeasure[[#This Row],[src_methodology_url]]="TBD",0,1)</f>
        <v>1</v>
      </c>
      <c r="AR3" s="25">
        <f>IF(tblMeasure[[#This Row],[src_quality_url]]="TBD",0,1)</f>
        <v>1</v>
      </c>
      <c r="AS3" s="85" cm="1">
        <f t="array" ref="AS3">SUMPRODUCT(TRANSPOSE(tblMeasure[[#This Row],[str_msr_population_or_survey]:[str_src_quality_url]]),str_weights)/str_weights_total</f>
        <v>0.82307692307692304</v>
      </c>
    </row>
    <row r="4" spans="1:45" hidden="1" x14ac:dyDescent="0.15">
      <c r="A4" s="30">
        <v>2</v>
      </c>
      <c r="B4" s="15">
        <f>COUNTIF(requirement_measure_map!$D$3:$D$1514,measure!A4)</f>
        <v>0</v>
      </c>
      <c r="C4" s="30" t="s">
        <v>221</v>
      </c>
      <c r="D4" s="15" t="s">
        <v>209</v>
      </c>
      <c r="E4" s="15" t="s">
        <v>222</v>
      </c>
      <c r="F4" s="15" t="s">
        <v>223</v>
      </c>
      <c r="G4" s="29" t="s">
        <v>212</v>
      </c>
      <c r="H4" s="15" t="s">
        <v>224</v>
      </c>
      <c r="I4" s="15" t="s">
        <v>214</v>
      </c>
      <c r="J4" s="15" t="s">
        <v>215</v>
      </c>
      <c r="K4" s="15" t="s">
        <v>225</v>
      </c>
      <c r="L4" s="15" t="s">
        <v>217</v>
      </c>
      <c r="M4" s="15" t="s">
        <v>218</v>
      </c>
      <c r="N4" s="15" t="s">
        <v>219</v>
      </c>
      <c r="O4" s="15" t="s">
        <v>219</v>
      </c>
      <c r="P4" s="15" t="s">
        <v>219</v>
      </c>
      <c r="Q4" s="15" t="s">
        <v>219</v>
      </c>
      <c r="R4" s="15" t="s">
        <v>219</v>
      </c>
      <c r="S4" s="15" t="s">
        <v>220</v>
      </c>
      <c r="T4" s="15" t="s">
        <v>218</v>
      </c>
      <c r="U4" s="15" t="s">
        <v>219</v>
      </c>
      <c r="V4" s="15" t="s">
        <v>219</v>
      </c>
      <c r="W4" s="15">
        <v>1</v>
      </c>
      <c r="X4" s="15" t="str">
        <f>_xlfn.XLOOKUP(tblMeasure[[#This Row],[id_src]],tblSource[id_src],tblSource[org])</f>
        <v>NHS Digital</v>
      </c>
      <c r="Y4" s="15" t="str">
        <f>_xlfn.XLOOKUP(tblMeasure[[#This Row],[id_src]],tblSource[id_src],tblSource[source])</f>
        <v>Adult Social Care Activity and Finance Report</v>
      </c>
      <c r="Z4" s="15" t="str">
        <f>_xlfn.XLOOKUP(tblMeasure[[#This Row],[id_src]],tblSource[id_src],tblSource[url_source])</f>
        <v>https://digital.nhs.uk/data-and-information/publications/statistical/adult-social-care-activity-and-finance-report/2018-19</v>
      </c>
      <c r="AA4" s="15">
        <f>_xlfn.XLOOKUP(tblMeasure[[#This Row],[id_src]],tblSource[id_src],tblSource[year_first_published])</f>
        <v>2016</v>
      </c>
      <c r="AB4" s="15">
        <f>_xlfn.XLOOKUP(tblMeasure[[#This Row],[id_src]],tblSource[id_src],tblSource[year_last_published])</f>
        <v>2019</v>
      </c>
      <c r="AC4" s="15" t="str">
        <f>_xlfn.XLOOKUP(tblMeasure[[#This Row],[id_src]],tblSource[id_src],tblSource[discontinuity])</f>
        <v>None</v>
      </c>
      <c r="AD4" s="15" t="str">
        <f>_xlfn.XLOOKUP(tblMeasure[[#This Row],[id_src]],tblSource[id_src],tblSource[publication_frequency])</f>
        <v>Annual</v>
      </c>
      <c r="AE4" s="15">
        <f>_xlfn.XLOOKUP(tblMeasure[[#This Row],[id_src]],tblSource[id_src],tblSource[publication_lag_months])</f>
        <v>7</v>
      </c>
      <c r="AF4" s="25" t="str">
        <f>_xlfn.XLOOKUP(tblMeasure[[#This Row],[id_src]],tblSource[id_src],tblSource[data_providers])</f>
        <v>LA</v>
      </c>
      <c r="AG4" s="25" t="str">
        <f>_xlfn.XLOOKUP(tblMeasure[[#This Row],[id_src]],tblSource[id_src],tblSource[statistic_class])</f>
        <v>National (ASC-FR) + Official (SALT)</v>
      </c>
      <c r="AH4" s="25" t="str">
        <f>_xlfn.XLOOKUP(tblMeasure[[#This Row],[id_src]],tblSource[id_src],tblSource[methodology_link])</f>
        <v>https://digital.nhs.uk/data-and-information/publications/statistical/adult-social-care-activity-and-finance-report/2018-19/data-quality-statement</v>
      </c>
      <c r="AI4" s="25" t="str">
        <f>_xlfn.XLOOKUP(tblMeasure[[#This Row],[id_src]],tblSource[id_src],tblSource[quality_issues])</f>
        <v>https://digital.nhs.uk/data-and-information/publications/statistical/adult-social-care-activity-and-finance-report/2018-19/data-quality-statement#accuracy-and-reliability</v>
      </c>
      <c r="AJ4" s="25">
        <f>VLOOKUP(tblMeasure[[#This Row],[msr_population_or_survey]],strlu_msr_population_or_survey,2,FALSE)</f>
        <v>1</v>
      </c>
      <c r="AK4" s="25">
        <f>VLOOKUP(tblMeasure[[#This Row],[msr_min_geo_resolution]],strlu_msr_min_geo_resolution,2,FALSE)</f>
        <v>1</v>
      </c>
      <c r="AL4" s="25">
        <f>(MAX(tblMeasure[[#This Row],[src_year_last_published]]-2010+1,0)+MIN(2010-tblMeasure[[#This Row],[src_year_first_published]],0)-MAX(tblMeasure[[#This Row],[src_year_last_published]]-2019,0))/10</f>
        <v>0.4</v>
      </c>
      <c r="AM4" s="25">
        <f>IF(OR(tblMeasure[[#This Row],[src_discontinuity]]="None",tblMeasure[[#This Row],[src_discontinuity]]=0),1,0)</f>
        <v>1</v>
      </c>
      <c r="AN4" s="25">
        <f>VLOOKUP(tblMeasure[[#This Row],[src_pub_frequency]],strlu_src_pub_frequency,2,FALSE)</f>
        <v>0.8</v>
      </c>
      <c r="AO4" s="25">
        <f>VLOOKUP(tblMeasure[[#This Row],[src_pub_lag_months]],strlu_src_pub_lag_months,2,FALSE)</f>
        <v>0.3</v>
      </c>
      <c r="AP4" s="25">
        <f>VLOOKUP(tblMeasure[[#This Row],[src_statistic_class]],strlu_src_statistic_class,2,FALSE)</f>
        <v>1</v>
      </c>
      <c r="AQ4" s="25">
        <f>IF(tblMeasure[[#This Row],[src_methodology_url]]="TBD",0,1)</f>
        <v>1</v>
      </c>
      <c r="AR4" s="25">
        <f>IF(tblMeasure[[#This Row],[src_quality_url]]="TBD",0,1)</f>
        <v>1</v>
      </c>
      <c r="AS4" s="85" cm="1">
        <f t="array" ref="AS4">SUMPRODUCT(TRANSPOSE(tblMeasure[[#This Row],[str_msr_population_or_survey]:[str_src_quality_url]]),str_weights)/str_weights_total</f>
        <v>0.82307692307692304</v>
      </c>
    </row>
    <row r="5" spans="1:45" hidden="1" x14ac:dyDescent="0.15">
      <c r="A5" s="30">
        <v>3</v>
      </c>
      <c r="B5" s="15">
        <f>COUNTIF(requirement_measure_map!$D$3:$D$1514,measure!A5)</f>
        <v>3</v>
      </c>
      <c r="C5" s="30" t="s">
        <v>208</v>
      </c>
      <c r="D5" s="15" t="s">
        <v>209</v>
      </c>
      <c r="E5" s="15" t="s">
        <v>226</v>
      </c>
      <c r="F5" s="15" t="s">
        <v>227</v>
      </c>
      <c r="G5" s="29" t="s">
        <v>212</v>
      </c>
      <c r="H5" s="15" t="s">
        <v>228</v>
      </c>
      <c r="I5" s="15" t="s">
        <v>214</v>
      </c>
      <c r="J5" s="15" t="s">
        <v>215</v>
      </c>
      <c r="K5" s="15" t="s">
        <v>229</v>
      </c>
      <c r="L5" s="15" t="s">
        <v>217</v>
      </c>
      <c r="M5" s="15" t="s">
        <v>219</v>
      </c>
      <c r="N5" s="15" t="s">
        <v>219</v>
      </c>
      <c r="O5" s="15" t="s">
        <v>219</v>
      </c>
      <c r="P5" s="15" t="s">
        <v>219</v>
      </c>
      <c r="Q5" s="15" t="s">
        <v>219</v>
      </c>
      <c r="R5" s="15" t="s">
        <v>219</v>
      </c>
      <c r="S5" s="15" t="s">
        <v>219</v>
      </c>
      <c r="T5" s="15" t="s">
        <v>219</v>
      </c>
      <c r="U5" s="15" t="s">
        <v>219</v>
      </c>
      <c r="V5" s="15" t="s">
        <v>219</v>
      </c>
      <c r="W5" s="15">
        <v>1</v>
      </c>
      <c r="X5" s="15" t="str">
        <f>_xlfn.XLOOKUP(tblMeasure[[#This Row],[id_src]],tblSource[id_src],tblSource[org])</f>
        <v>NHS Digital</v>
      </c>
      <c r="Y5" s="15" t="str">
        <f>_xlfn.XLOOKUP(tblMeasure[[#This Row],[id_src]],tblSource[id_src],tblSource[source])</f>
        <v>Adult Social Care Activity and Finance Report</v>
      </c>
      <c r="Z5" s="15" t="str">
        <f>_xlfn.XLOOKUP(tblMeasure[[#This Row],[id_src]],tblSource[id_src],tblSource[url_source])</f>
        <v>https://digital.nhs.uk/data-and-information/publications/statistical/adult-social-care-activity-and-finance-report/2018-19</v>
      </c>
      <c r="AA5" s="15">
        <f>_xlfn.XLOOKUP(tblMeasure[[#This Row],[id_src]],tblSource[id_src],tblSource[year_first_published])</f>
        <v>2016</v>
      </c>
      <c r="AB5" s="15">
        <f>_xlfn.XLOOKUP(tblMeasure[[#This Row],[id_src]],tblSource[id_src],tblSource[year_last_published])</f>
        <v>2019</v>
      </c>
      <c r="AC5" s="15" t="str">
        <f>_xlfn.XLOOKUP(tblMeasure[[#This Row],[id_src]],tblSource[id_src],tblSource[discontinuity])</f>
        <v>None</v>
      </c>
      <c r="AD5" s="15" t="str">
        <f>_xlfn.XLOOKUP(tblMeasure[[#This Row],[id_src]],tblSource[id_src],tblSource[publication_frequency])</f>
        <v>Annual</v>
      </c>
      <c r="AE5" s="15">
        <f>_xlfn.XLOOKUP(tblMeasure[[#This Row],[id_src]],tblSource[id_src],tblSource[publication_lag_months])</f>
        <v>7</v>
      </c>
      <c r="AF5" s="25" t="str">
        <f>_xlfn.XLOOKUP(tblMeasure[[#This Row],[id_src]],tblSource[id_src],tblSource[data_providers])</f>
        <v>LA</v>
      </c>
      <c r="AG5" s="25" t="str">
        <f>_xlfn.XLOOKUP(tblMeasure[[#This Row],[id_src]],tblSource[id_src],tblSource[statistic_class])</f>
        <v>National (ASC-FR) + Official (SALT)</v>
      </c>
      <c r="AH5" s="25" t="str">
        <f>_xlfn.XLOOKUP(tblMeasure[[#This Row],[id_src]],tblSource[id_src],tblSource[methodology_link])</f>
        <v>https://digital.nhs.uk/data-and-information/publications/statistical/adult-social-care-activity-and-finance-report/2018-19/data-quality-statement</v>
      </c>
      <c r="AI5" s="25" t="str">
        <f>_xlfn.XLOOKUP(tblMeasure[[#This Row],[id_src]],tblSource[id_src],tblSource[quality_issues])</f>
        <v>https://digital.nhs.uk/data-and-information/publications/statistical/adult-social-care-activity-and-finance-report/2018-19/data-quality-statement#accuracy-and-reliability</v>
      </c>
      <c r="AJ5" s="25">
        <f>VLOOKUP(tblMeasure[[#This Row],[msr_population_or_survey]],strlu_msr_population_or_survey,2,FALSE)</f>
        <v>1</v>
      </c>
      <c r="AK5" s="25">
        <f>VLOOKUP(tblMeasure[[#This Row],[msr_min_geo_resolution]],strlu_msr_min_geo_resolution,2,FALSE)</f>
        <v>1</v>
      </c>
      <c r="AL5" s="25">
        <f>(MAX(tblMeasure[[#This Row],[src_year_last_published]]-2010+1,0)+MIN(2010-tblMeasure[[#This Row],[src_year_first_published]],0)-MAX(tblMeasure[[#This Row],[src_year_last_published]]-2019,0))/10</f>
        <v>0.4</v>
      </c>
      <c r="AM5" s="25">
        <f>IF(OR(tblMeasure[[#This Row],[src_discontinuity]]="None",tblMeasure[[#This Row],[src_discontinuity]]=0),1,0)</f>
        <v>1</v>
      </c>
      <c r="AN5" s="25">
        <f>VLOOKUP(tblMeasure[[#This Row],[src_pub_frequency]],strlu_src_pub_frequency,2,FALSE)</f>
        <v>0.8</v>
      </c>
      <c r="AO5" s="25">
        <f>VLOOKUP(tblMeasure[[#This Row],[src_pub_lag_months]],strlu_src_pub_lag_months,2,FALSE)</f>
        <v>0.3</v>
      </c>
      <c r="AP5" s="25">
        <f>VLOOKUP(tblMeasure[[#This Row],[src_statistic_class]],strlu_src_statistic_class,2,FALSE)</f>
        <v>1</v>
      </c>
      <c r="AQ5" s="25">
        <f>IF(tblMeasure[[#This Row],[src_methodology_url]]="TBD",0,1)</f>
        <v>1</v>
      </c>
      <c r="AR5" s="25">
        <f>IF(tblMeasure[[#This Row],[src_quality_url]]="TBD",0,1)</f>
        <v>1</v>
      </c>
      <c r="AS5" s="85" cm="1">
        <f t="array" ref="AS5">SUMPRODUCT(TRANSPOSE(tblMeasure[[#This Row],[str_msr_population_or_survey]:[str_src_quality_url]]),str_weights)/str_weights_total</f>
        <v>0.82307692307692304</v>
      </c>
    </row>
    <row r="6" spans="1:45" hidden="1" x14ac:dyDescent="0.15">
      <c r="A6" s="30">
        <v>4</v>
      </c>
      <c r="B6" s="15">
        <f>COUNTIF(requirement_measure_map!$D$3:$D$1514,measure!A6)</f>
        <v>0</v>
      </c>
      <c r="C6" s="30" t="s">
        <v>221</v>
      </c>
      <c r="D6" s="15" t="s">
        <v>209</v>
      </c>
      <c r="E6" s="15" t="s">
        <v>230</v>
      </c>
      <c r="F6" s="15" t="s">
        <v>231</v>
      </c>
      <c r="G6" s="29" t="s">
        <v>212</v>
      </c>
      <c r="H6" s="15" t="s">
        <v>228</v>
      </c>
      <c r="I6" s="15" t="s">
        <v>214</v>
      </c>
      <c r="J6" s="15" t="s">
        <v>215</v>
      </c>
      <c r="K6" s="15" t="s">
        <v>232</v>
      </c>
      <c r="L6" s="15" t="s">
        <v>233</v>
      </c>
      <c r="M6" s="15" t="s">
        <v>219</v>
      </c>
      <c r="N6" s="15" t="s">
        <v>219</v>
      </c>
      <c r="O6" s="15" t="s">
        <v>219</v>
      </c>
      <c r="P6" s="15" t="s">
        <v>219</v>
      </c>
      <c r="Q6" s="15" t="s">
        <v>219</v>
      </c>
      <c r="R6" s="15" t="s">
        <v>219</v>
      </c>
      <c r="S6" s="15" t="s">
        <v>219</v>
      </c>
      <c r="T6" s="15" t="s">
        <v>219</v>
      </c>
      <c r="U6" s="15" t="s">
        <v>219</v>
      </c>
      <c r="V6" s="15" t="s">
        <v>219</v>
      </c>
      <c r="W6" s="15">
        <v>1</v>
      </c>
      <c r="X6" s="15" t="str">
        <f>_xlfn.XLOOKUP(tblMeasure[[#This Row],[id_src]],tblSource[id_src],tblSource[org])</f>
        <v>NHS Digital</v>
      </c>
      <c r="Y6" s="15" t="str">
        <f>_xlfn.XLOOKUP(tblMeasure[[#This Row],[id_src]],tblSource[id_src],tblSource[source])</f>
        <v>Adult Social Care Activity and Finance Report</v>
      </c>
      <c r="Z6" s="15" t="str">
        <f>_xlfn.XLOOKUP(tblMeasure[[#This Row],[id_src]],tblSource[id_src],tblSource[url_source])</f>
        <v>https://digital.nhs.uk/data-and-information/publications/statistical/adult-social-care-activity-and-finance-report/2018-19</v>
      </c>
      <c r="AA6" s="15">
        <f>_xlfn.XLOOKUP(tblMeasure[[#This Row],[id_src]],tblSource[id_src],tblSource[year_first_published])</f>
        <v>2016</v>
      </c>
      <c r="AB6" s="15">
        <f>_xlfn.XLOOKUP(tblMeasure[[#This Row],[id_src]],tblSource[id_src],tblSource[year_last_published])</f>
        <v>2019</v>
      </c>
      <c r="AC6" s="15" t="str">
        <f>_xlfn.XLOOKUP(tblMeasure[[#This Row],[id_src]],tblSource[id_src],tblSource[discontinuity])</f>
        <v>None</v>
      </c>
      <c r="AD6" s="15" t="str">
        <f>_xlfn.XLOOKUP(tblMeasure[[#This Row],[id_src]],tblSource[id_src],tblSource[publication_frequency])</f>
        <v>Annual</v>
      </c>
      <c r="AE6" s="15">
        <f>_xlfn.XLOOKUP(tblMeasure[[#This Row],[id_src]],tblSource[id_src],tblSource[publication_lag_months])</f>
        <v>7</v>
      </c>
      <c r="AF6" s="25" t="str">
        <f>_xlfn.XLOOKUP(tblMeasure[[#This Row],[id_src]],tblSource[id_src],tblSource[data_providers])</f>
        <v>LA</v>
      </c>
      <c r="AG6" s="25" t="str">
        <f>_xlfn.XLOOKUP(tblMeasure[[#This Row],[id_src]],tblSource[id_src],tblSource[statistic_class])</f>
        <v>National (ASC-FR) + Official (SALT)</v>
      </c>
      <c r="AH6" s="25" t="str">
        <f>_xlfn.XLOOKUP(tblMeasure[[#This Row],[id_src]],tblSource[id_src],tblSource[methodology_link])</f>
        <v>https://digital.nhs.uk/data-and-information/publications/statistical/adult-social-care-activity-and-finance-report/2018-19/data-quality-statement</v>
      </c>
      <c r="AI6" s="25" t="str">
        <f>_xlfn.XLOOKUP(tblMeasure[[#This Row],[id_src]],tblSource[id_src],tblSource[quality_issues])</f>
        <v>https://digital.nhs.uk/data-and-information/publications/statistical/adult-social-care-activity-and-finance-report/2018-19/data-quality-statement#accuracy-and-reliability</v>
      </c>
      <c r="AJ6" s="25">
        <f>VLOOKUP(tblMeasure[[#This Row],[msr_population_or_survey]],strlu_msr_population_or_survey,2,FALSE)</f>
        <v>1</v>
      </c>
      <c r="AK6" s="25">
        <f>VLOOKUP(tblMeasure[[#This Row],[msr_min_geo_resolution]],strlu_msr_min_geo_resolution,2,FALSE)</f>
        <v>0</v>
      </c>
      <c r="AL6" s="25">
        <f>(MAX(tblMeasure[[#This Row],[src_year_last_published]]-2010+1,0)+MIN(2010-tblMeasure[[#This Row],[src_year_first_published]],0)-MAX(tblMeasure[[#This Row],[src_year_last_published]]-2019,0))/10</f>
        <v>0.4</v>
      </c>
      <c r="AM6" s="25">
        <f>IF(OR(tblMeasure[[#This Row],[src_discontinuity]]="None",tblMeasure[[#This Row],[src_discontinuity]]=0),1,0)</f>
        <v>1</v>
      </c>
      <c r="AN6" s="25">
        <f>VLOOKUP(tblMeasure[[#This Row],[src_pub_frequency]],strlu_src_pub_frequency,2,FALSE)</f>
        <v>0.8</v>
      </c>
      <c r="AO6" s="25">
        <f>VLOOKUP(tblMeasure[[#This Row],[src_pub_lag_months]],strlu_src_pub_lag_months,2,FALSE)</f>
        <v>0.3</v>
      </c>
      <c r="AP6" s="25">
        <f>VLOOKUP(tblMeasure[[#This Row],[src_statistic_class]],strlu_src_statistic_class,2,FALSE)</f>
        <v>1</v>
      </c>
      <c r="AQ6" s="25">
        <f>IF(tblMeasure[[#This Row],[src_methodology_url]]="TBD",0,1)</f>
        <v>1</v>
      </c>
      <c r="AR6" s="25">
        <f>IF(tblMeasure[[#This Row],[src_quality_url]]="TBD",0,1)</f>
        <v>1</v>
      </c>
      <c r="AS6" s="85" cm="1">
        <f t="array" ref="AS6">SUMPRODUCT(TRANSPOSE(tblMeasure[[#This Row],[str_msr_population_or_survey]:[str_src_quality_url]]),str_weights)/str_weights_total</f>
        <v>0.66923076923076918</v>
      </c>
    </row>
    <row r="7" spans="1:45" hidden="1" x14ac:dyDescent="0.15">
      <c r="A7" s="30">
        <v>5</v>
      </c>
      <c r="B7" s="15">
        <f>COUNTIF(requirement_measure_map!$D$3:$D$1514,measure!A7)</f>
        <v>2</v>
      </c>
      <c r="C7" s="30" t="s">
        <v>208</v>
      </c>
      <c r="D7" s="15" t="s">
        <v>209</v>
      </c>
      <c r="E7" s="15" t="s">
        <v>234</v>
      </c>
      <c r="F7" s="15" t="s">
        <v>235</v>
      </c>
      <c r="G7" s="29" t="s">
        <v>212</v>
      </c>
      <c r="H7" s="15" t="s">
        <v>228</v>
      </c>
      <c r="I7" s="15" t="s">
        <v>214</v>
      </c>
      <c r="J7" s="15" t="s">
        <v>215</v>
      </c>
      <c r="K7" s="15" t="s">
        <v>232</v>
      </c>
      <c r="L7" s="15" t="s">
        <v>217</v>
      </c>
      <c r="M7" s="15" t="s">
        <v>219</v>
      </c>
      <c r="N7" s="15" t="s">
        <v>219</v>
      </c>
      <c r="O7" s="15" t="s">
        <v>219</v>
      </c>
      <c r="P7" s="15" t="s">
        <v>219</v>
      </c>
      <c r="Q7" s="15" t="s">
        <v>219</v>
      </c>
      <c r="R7" s="15" t="s">
        <v>236</v>
      </c>
      <c r="S7" s="15" t="s">
        <v>219</v>
      </c>
      <c r="T7" s="15" t="s">
        <v>219</v>
      </c>
      <c r="U7" s="15" t="s">
        <v>219</v>
      </c>
      <c r="V7" s="15" t="s">
        <v>219</v>
      </c>
      <c r="W7" s="15">
        <v>1</v>
      </c>
      <c r="X7" s="15" t="str">
        <f>_xlfn.XLOOKUP(tblMeasure[[#This Row],[id_src]],tblSource[id_src],tblSource[org])</f>
        <v>NHS Digital</v>
      </c>
      <c r="Y7" s="15" t="str">
        <f>_xlfn.XLOOKUP(tblMeasure[[#This Row],[id_src]],tblSource[id_src],tblSource[source])</f>
        <v>Adult Social Care Activity and Finance Report</v>
      </c>
      <c r="Z7" s="15" t="str">
        <f>_xlfn.XLOOKUP(tblMeasure[[#This Row],[id_src]],tblSource[id_src],tblSource[url_source])</f>
        <v>https://digital.nhs.uk/data-and-information/publications/statistical/adult-social-care-activity-and-finance-report/2018-19</v>
      </c>
      <c r="AA7" s="15">
        <f>_xlfn.XLOOKUP(tblMeasure[[#This Row],[id_src]],tblSource[id_src],tblSource[year_first_published])</f>
        <v>2016</v>
      </c>
      <c r="AB7" s="15">
        <f>_xlfn.XLOOKUP(tblMeasure[[#This Row],[id_src]],tblSource[id_src],tblSource[year_last_published])</f>
        <v>2019</v>
      </c>
      <c r="AC7" s="15" t="str">
        <f>_xlfn.XLOOKUP(tblMeasure[[#This Row],[id_src]],tblSource[id_src],tblSource[discontinuity])</f>
        <v>None</v>
      </c>
      <c r="AD7" s="15" t="str">
        <f>_xlfn.XLOOKUP(tblMeasure[[#This Row],[id_src]],tblSource[id_src],tblSource[publication_frequency])</f>
        <v>Annual</v>
      </c>
      <c r="AE7" s="15">
        <f>_xlfn.XLOOKUP(tblMeasure[[#This Row],[id_src]],tblSource[id_src],tblSource[publication_lag_months])</f>
        <v>7</v>
      </c>
      <c r="AF7" s="25" t="str">
        <f>_xlfn.XLOOKUP(tblMeasure[[#This Row],[id_src]],tblSource[id_src],tblSource[data_providers])</f>
        <v>LA</v>
      </c>
      <c r="AG7" s="25" t="str">
        <f>_xlfn.XLOOKUP(tblMeasure[[#This Row],[id_src]],tblSource[id_src],tblSource[statistic_class])</f>
        <v>National (ASC-FR) + Official (SALT)</v>
      </c>
      <c r="AH7" s="25" t="str">
        <f>_xlfn.XLOOKUP(tblMeasure[[#This Row],[id_src]],tblSource[id_src],tblSource[methodology_link])</f>
        <v>https://digital.nhs.uk/data-and-information/publications/statistical/adult-social-care-activity-and-finance-report/2018-19/data-quality-statement</v>
      </c>
      <c r="AI7" s="25" t="str">
        <f>_xlfn.XLOOKUP(tblMeasure[[#This Row],[id_src]],tblSource[id_src],tblSource[quality_issues])</f>
        <v>https://digital.nhs.uk/data-and-information/publications/statistical/adult-social-care-activity-and-finance-report/2018-19/data-quality-statement#accuracy-and-reliability</v>
      </c>
      <c r="AJ7" s="25">
        <f>VLOOKUP(tblMeasure[[#This Row],[msr_population_or_survey]],strlu_msr_population_or_survey,2,FALSE)</f>
        <v>1</v>
      </c>
      <c r="AK7" s="25">
        <f>VLOOKUP(tblMeasure[[#This Row],[msr_min_geo_resolution]],strlu_msr_min_geo_resolution,2,FALSE)</f>
        <v>1</v>
      </c>
      <c r="AL7" s="25">
        <f>(MAX(tblMeasure[[#This Row],[src_year_last_published]]-2010+1,0)+MIN(2010-tblMeasure[[#This Row],[src_year_first_published]],0)-MAX(tblMeasure[[#This Row],[src_year_last_published]]-2019,0))/10</f>
        <v>0.4</v>
      </c>
      <c r="AM7" s="25">
        <f>IF(OR(tblMeasure[[#This Row],[src_discontinuity]]="None",tblMeasure[[#This Row],[src_discontinuity]]=0),1,0)</f>
        <v>1</v>
      </c>
      <c r="AN7" s="25">
        <f>VLOOKUP(tblMeasure[[#This Row],[src_pub_frequency]],strlu_src_pub_frequency,2,FALSE)</f>
        <v>0.8</v>
      </c>
      <c r="AO7" s="25">
        <f>VLOOKUP(tblMeasure[[#This Row],[src_pub_lag_months]],strlu_src_pub_lag_months,2,FALSE)</f>
        <v>0.3</v>
      </c>
      <c r="AP7" s="25">
        <f>VLOOKUP(tblMeasure[[#This Row],[src_statistic_class]],strlu_src_statistic_class,2,FALSE)</f>
        <v>1</v>
      </c>
      <c r="AQ7" s="25">
        <f>IF(tblMeasure[[#This Row],[src_methodology_url]]="TBD",0,1)</f>
        <v>1</v>
      </c>
      <c r="AR7" s="25">
        <f>IF(tblMeasure[[#This Row],[src_quality_url]]="TBD",0,1)</f>
        <v>1</v>
      </c>
      <c r="AS7" s="85" cm="1">
        <f t="array" ref="AS7">SUMPRODUCT(TRANSPOSE(tblMeasure[[#This Row],[str_msr_population_or_survey]:[str_src_quality_url]]),str_weights)/str_weights_total</f>
        <v>0.82307692307692304</v>
      </c>
    </row>
    <row r="8" spans="1:45" hidden="1" x14ac:dyDescent="0.15">
      <c r="A8" s="30">
        <v>6</v>
      </c>
      <c r="B8" s="15">
        <f>COUNTIF(requirement_measure_map!$D$3:$D$1514,measure!A8)</f>
        <v>0</v>
      </c>
      <c r="C8" s="30" t="s">
        <v>221</v>
      </c>
      <c r="D8" s="15" t="s">
        <v>209</v>
      </c>
      <c r="E8" s="15" t="s">
        <v>237</v>
      </c>
      <c r="F8" s="15" t="s">
        <v>238</v>
      </c>
      <c r="G8" s="29" t="s">
        <v>212</v>
      </c>
      <c r="H8" s="15" t="s">
        <v>228</v>
      </c>
      <c r="I8" s="15" t="s">
        <v>214</v>
      </c>
      <c r="J8" s="15" t="s">
        <v>215</v>
      </c>
      <c r="K8" s="15" t="s">
        <v>239</v>
      </c>
      <c r="L8" s="15" t="s">
        <v>217</v>
      </c>
      <c r="M8" s="15" t="s">
        <v>219</v>
      </c>
      <c r="N8" s="15" t="s">
        <v>219</v>
      </c>
      <c r="O8" s="15" t="s">
        <v>219</v>
      </c>
      <c r="P8" s="15" t="s">
        <v>219</v>
      </c>
      <c r="Q8" s="15" t="s">
        <v>240</v>
      </c>
      <c r="R8" s="15" t="s">
        <v>219</v>
      </c>
      <c r="S8" s="15" t="s">
        <v>219</v>
      </c>
      <c r="T8" s="15" t="s">
        <v>219</v>
      </c>
      <c r="U8" s="15" t="s">
        <v>219</v>
      </c>
      <c r="V8" s="15" t="s">
        <v>219</v>
      </c>
      <c r="W8" s="15">
        <v>1</v>
      </c>
      <c r="X8" s="15" t="str">
        <f>_xlfn.XLOOKUP(tblMeasure[[#This Row],[id_src]],tblSource[id_src],tblSource[org])</f>
        <v>NHS Digital</v>
      </c>
      <c r="Y8" s="15" t="str">
        <f>_xlfn.XLOOKUP(tblMeasure[[#This Row],[id_src]],tblSource[id_src],tblSource[source])</f>
        <v>Adult Social Care Activity and Finance Report</v>
      </c>
      <c r="Z8" s="15" t="str">
        <f>_xlfn.XLOOKUP(tblMeasure[[#This Row],[id_src]],tblSource[id_src],tblSource[url_source])</f>
        <v>https://digital.nhs.uk/data-and-information/publications/statistical/adult-social-care-activity-and-finance-report/2018-19</v>
      </c>
      <c r="AA8" s="15">
        <f>_xlfn.XLOOKUP(tblMeasure[[#This Row],[id_src]],tblSource[id_src],tblSource[year_first_published])</f>
        <v>2016</v>
      </c>
      <c r="AB8" s="15">
        <f>_xlfn.XLOOKUP(tblMeasure[[#This Row],[id_src]],tblSource[id_src],tblSource[year_last_published])</f>
        <v>2019</v>
      </c>
      <c r="AC8" s="15" t="str">
        <f>_xlfn.XLOOKUP(tblMeasure[[#This Row],[id_src]],tblSource[id_src],tblSource[discontinuity])</f>
        <v>None</v>
      </c>
      <c r="AD8" s="15" t="str">
        <f>_xlfn.XLOOKUP(tblMeasure[[#This Row],[id_src]],tblSource[id_src],tblSource[publication_frequency])</f>
        <v>Annual</v>
      </c>
      <c r="AE8" s="15">
        <f>_xlfn.XLOOKUP(tblMeasure[[#This Row],[id_src]],tblSource[id_src],tblSource[publication_lag_months])</f>
        <v>7</v>
      </c>
      <c r="AF8" s="25" t="str">
        <f>_xlfn.XLOOKUP(tblMeasure[[#This Row],[id_src]],tblSource[id_src],tblSource[data_providers])</f>
        <v>LA</v>
      </c>
      <c r="AG8" s="25" t="str">
        <f>_xlfn.XLOOKUP(tblMeasure[[#This Row],[id_src]],tblSource[id_src],tblSource[statistic_class])</f>
        <v>National (ASC-FR) + Official (SALT)</v>
      </c>
      <c r="AH8" s="25" t="str">
        <f>_xlfn.XLOOKUP(tblMeasure[[#This Row],[id_src]],tblSource[id_src],tblSource[methodology_link])</f>
        <v>https://digital.nhs.uk/data-and-information/publications/statistical/adult-social-care-activity-and-finance-report/2018-19/data-quality-statement</v>
      </c>
      <c r="AI8" s="25" t="str">
        <f>_xlfn.XLOOKUP(tblMeasure[[#This Row],[id_src]],tblSource[id_src],tblSource[quality_issues])</f>
        <v>https://digital.nhs.uk/data-and-information/publications/statistical/adult-social-care-activity-and-finance-report/2018-19/data-quality-statement#accuracy-and-reliability</v>
      </c>
      <c r="AJ8" s="25">
        <f>VLOOKUP(tblMeasure[[#This Row],[msr_population_or_survey]],strlu_msr_population_or_survey,2,FALSE)</f>
        <v>1</v>
      </c>
      <c r="AK8" s="25">
        <f>VLOOKUP(tblMeasure[[#This Row],[msr_min_geo_resolution]],strlu_msr_min_geo_resolution,2,FALSE)</f>
        <v>1</v>
      </c>
      <c r="AL8" s="25">
        <f>(MAX(tblMeasure[[#This Row],[src_year_last_published]]-2010+1,0)+MIN(2010-tblMeasure[[#This Row],[src_year_first_published]],0)-MAX(tblMeasure[[#This Row],[src_year_last_published]]-2019,0))/10</f>
        <v>0.4</v>
      </c>
      <c r="AM8" s="25">
        <f>IF(OR(tblMeasure[[#This Row],[src_discontinuity]]="None",tblMeasure[[#This Row],[src_discontinuity]]=0),1,0)</f>
        <v>1</v>
      </c>
      <c r="AN8" s="25">
        <f>VLOOKUP(tblMeasure[[#This Row],[src_pub_frequency]],strlu_src_pub_frequency,2,FALSE)</f>
        <v>0.8</v>
      </c>
      <c r="AO8" s="25">
        <f>VLOOKUP(tblMeasure[[#This Row],[src_pub_lag_months]],strlu_src_pub_lag_months,2,FALSE)</f>
        <v>0.3</v>
      </c>
      <c r="AP8" s="25">
        <f>VLOOKUP(tblMeasure[[#This Row],[src_statistic_class]],strlu_src_statistic_class,2,FALSE)</f>
        <v>1</v>
      </c>
      <c r="AQ8" s="25">
        <f>IF(tblMeasure[[#This Row],[src_methodology_url]]="TBD",0,1)</f>
        <v>1</v>
      </c>
      <c r="AR8" s="25">
        <f>IF(tblMeasure[[#This Row],[src_quality_url]]="TBD",0,1)</f>
        <v>1</v>
      </c>
      <c r="AS8" s="85" cm="1">
        <f t="array" ref="AS8">SUMPRODUCT(TRANSPOSE(tblMeasure[[#This Row],[str_msr_population_or_survey]:[str_src_quality_url]]),str_weights)/str_weights_total</f>
        <v>0.82307692307692304</v>
      </c>
    </row>
    <row r="9" spans="1:45" hidden="1" x14ac:dyDescent="0.15">
      <c r="A9" s="30">
        <v>7</v>
      </c>
      <c r="B9" s="15">
        <f>COUNTIF(requirement_measure_map!$D$3:$D$1514,measure!A9)</f>
        <v>3</v>
      </c>
      <c r="C9" s="30" t="s">
        <v>208</v>
      </c>
      <c r="D9" s="15" t="s">
        <v>209</v>
      </c>
      <c r="E9" s="15" t="s">
        <v>241</v>
      </c>
      <c r="F9" s="15" t="s">
        <v>242</v>
      </c>
      <c r="G9" s="29" t="s">
        <v>212</v>
      </c>
      <c r="H9" s="15" t="s">
        <v>228</v>
      </c>
      <c r="I9" s="15" t="s">
        <v>214</v>
      </c>
      <c r="J9" s="15" t="s">
        <v>215</v>
      </c>
      <c r="K9" s="15" t="s">
        <v>239</v>
      </c>
      <c r="L9" s="15" t="s">
        <v>217</v>
      </c>
      <c r="M9" s="15" t="s">
        <v>218</v>
      </c>
      <c r="N9" s="15" t="s">
        <v>219</v>
      </c>
      <c r="O9" s="15" t="s">
        <v>219</v>
      </c>
      <c r="P9" s="15" t="s">
        <v>219</v>
      </c>
      <c r="Q9" s="15" t="s">
        <v>243</v>
      </c>
      <c r="R9" s="15" t="s">
        <v>236</v>
      </c>
      <c r="S9" s="15" t="s">
        <v>219</v>
      </c>
      <c r="T9" s="15" t="s">
        <v>218</v>
      </c>
      <c r="U9" s="15" t="s">
        <v>219</v>
      </c>
      <c r="V9" s="15" t="s">
        <v>219</v>
      </c>
      <c r="W9" s="15">
        <v>1</v>
      </c>
      <c r="X9" s="15" t="str">
        <f>_xlfn.XLOOKUP(tblMeasure[[#This Row],[id_src]],tblSource[id_src],tblSource[org])</f>
        <v>NHS Digital</v>
      </c>
      <c r="Y9" s="15" t="str">
        <f>_xlfn.XLOOKUP(tblMeasure[[#This Row],[id_src]],tblSource[id_src],tblSource[source])</f>
        <v>Adult Social Care Activity and Finance Report</v>
      </c>
      <c r="Z9" s="15" t="str">
        <f>_xlfn.XLOOKUP(tblMeasure[[#This Row],[id_src]],tblSource[id_src],tblSource[url_source])</f>
        <v>https://digital.nhs.uk/data-and-information/publications/statistical/adult-social-care-activity-and-finance-report/2018-19</v>
      </c>
      <c r="AA9" s="15">
        <f>_xlfn.XLOOKUP(tblMeasure[[#This Row],[id_src]],tblSource[id_src],tblSource[year_first_published])</f>
        <v>2016</v>
      </c>
      <c r="AB9" s="15">
        <f>_xlfn.XLOOKUP(tblMeasure[[#This Row],[id_src]],tblSource[id_src],tblSource[year_last_published])</f>
        <v>2019</v>
      </c>
      <c r="AC9" s="15" t="str">
        <f>_xlfn.XLOOKUP(tblMeasure[[#This Row],[id_src]],tblSource[id_src],tblSource[discontinuity])</f>
        <v>None</v>
      </c>
      <c r="AD9" s="15" t="str">
        <f>_xlfn.XLOOKUP(tblMeasure[[#This Row],[id_src]],tblSource[id_src],tblSource[publication_frequency])</f>
        <v>Annual</v>
      </c>
      <c r="AE9" s="15">
        <f>_xlfn.XLOOKUP(tblMeasure[[#This Row],[id_src]],tblSource[id_src],tblSource[publication_lag_months])</f>
        <v>7</v>
      </c>
      <c r="AF9" s="25" t="str">
        <f>_xlfn.XLOOKUP(tblMeasure[[#This Row],[id_src]],tblSource[id_src],tblSource[data_providers])</f>
        <v>LA</v>
      </c>
      <c r="AG9" s="25" t="str">
        <f>_xlfn.XLOOKUP(tblMeasure[[#This Row],[id_src]],tblSource[id_src],tblSource[statistic_class])</f>
        <v>National (ASC-FR) + Official (SALT)</v>
      </c>
      <c r="AH9" s="25" t="str">
        <f>_xlfn.XLOOKUP(tblMeasure[[#This Row],[id_src]],tblSource[id_src],tblSource[methodology_link])</f>
        <v>https://digital.nhs.uk/data-and-information/publications/statistical/adult-social-care-activity-and-finance-report/2018-19/data-quality-statement</v>
      </c>
      <c r="AI9" s="25" t="str">
        <f>_xlfn.XLOOKUP(tblMeasure[[#This Row],[id_src]],tblSource[id_src],tblSource[quality_issues])</f>
        <v>https://digital.nhs.uk/data-and-information/publications/statistical/adult-social-care-activity-and-finance-report/2018-19/data-quality-statement#accuracy-and-reliability</v>
      </c>
      <c r="AJ9" s="25">
        <f>VLOOKUP(tblMeasure[[#This Row],[msr_population_or_survey]],strlu_msr_population_or_survey,2,FALSE)</f>
        <v>1</v>
      </c>
      <c r="AK9" s="25">
        <f>VLOOKUP(tblMeasure[[#This Row],[msr_min_geo_resolution]],strlu_msr_min_geo_resolution,2,FALSE)</f>
        <v>1</v>
      </c>
      <c r="AL9" s="25">
        <f>(MAX(tblMeasure[[#This Row],[src_year_last_published]]-2010+1,0)+MIN(2010-tblMeasure[[#This Row],[src_year_first_published]],0)-MAX(tblMeasure[[#This Row],[src_year_last_published]]-2019,0))/10</f>
        <v>0.4</v>
      </c>
      <c r="AM9" s="25">
        <f>IF(OR(tblMeasure[[#This Row],[src_discontinuity]]="None",tblMeasure[[#This Row],[src_discontinuity]]=0),1,0)</f>
        <v>1</v>
      </c>
      <c r="AN9" s="25">
        <f>VLOOKUP(tblMeasure[[#This Row],[src_pub_frequency]],strlu_src_pub_frequency,2,FALSE)</f>
        <v>0.8</v>
      </c>
      <c r="AO9" s="25">
        <f>VLOOKUP(tblMeasure[[#This Row],[src_pub_lag_months]],strlu_src_pub_lag_months,2,FALSE)</f>
        <v>0.3</v>
      </c>
      <c r="AP9" s="25">
        <f>VLOOKUP(tblMeasure[[#This Row],[src_statistic_class]],strlu_src_statistic_class,2,FALSE)</f>
        <v>1</v>
      </c>
      <c r="AQ9" s="25">
        <f>IF(tblMeasure[[#This Row],[src_methodology_url]]="TBD",0,1)</f>
        <v>1</v>
      </c>
      <c r="AR9" s="25">
        <f>IF(tblMeasure[[#This Row],[src_quality_url]]="TBD",0,1)</f>
        <v>1</v>
      </c>
      <c r="AS9" s="85" cm="1">
        <f t="array" ref="AS9">SUMPRODUCT(TRANSPOSE(tblMeasure[[#This Row],[str_msr_population_or_survey]:[str_src_quality_url]]),str_weights)/str_weights_total</f>
        <v>0.82307692307692304</v>
      </c>
    </row>
    <row r="10" spans="1:45" hidden="1" x14ac:dyDescent="0.15">
      <c r="A10" s="30">
        <v>8</v>
      </c>
      <c r="B10" s="15">
        <f>COUNTIF(requirement_measure_map!$D$3:$D$1514,measure!A10)</f>
        <v>3</v>
      </c>
      <c r="C10" s="30" t="s">
        <v>208</v>
      </c>
      <c r="D10" s="15" t="s">
        <v>244</v>
      </c>
      <c r="E10" s="15" t="s">
        <v>245</v>
      </c>
      <c r="F10" s="15" t="s">
        <v>246</v>
      </c>
      <c r="G10" s="29" t="s">
        <v>212</v>
      </c>
      <c r="H10" s="15" t="s">
        <v>247</v>
      </c>
      <c r="I10" s="15" t="s">
        <v>214</v>
      </c>
      <c r="J10" s="15" t="s">
        <v>215</v>
      </c>
      <c r="K10" s="15" t="s">
        <v>248</v>
      </c>
      <c r="L10" s="15" t="s">
        <v>217</v>
      </c>
      <c r="M10" s="15" t="s">
        <v>218</v>
      </c>
      <c r="N10" s="15" t="s">
        <v>219</v>
      </c>
      <c r="O10" s="15" t="s">
        <v>219</v>
      </c>
      <c r="P10" s="15" t="s">
        <v>219</v>
      </c>
      <c r="Q10" s="15" t="s">
        <v>219</v>
      </c>
      <c r="R10" s="15" t="s">
        <v>219</v>
      </c>
      <c r="S10" s="15" t="s">
        <v>219</v>
      </c>
      <c r="T10" s="15" t="s">
        <v>219</v>
      </c>
      <c r="U10" s="15" t="s">
        <v>219</v>
      </c>
      <c r="V10" s="15" t="s">
        <v>219</v>
      </c>
      <c r="W10" s="15">
        <v>1</v>
      </c>
      <c r="X10" s="15" t="str">
        <f>_xlfn.XLOOKUP(tblMeasure[[#This Row],[id_src]],tblSource[id_src],tblSource[org])</f>
        <v>NHS Digital</v>
      </c>
      <c r="Y10" s="15" t="str">
        <f>_xlfn.XLOOKUP(tblMeasure[[#This Row],[id_src]],tblSource[id_src],tblSource[source])</f>
        <v>Adult Social Care Activity and Finance Report</v>
      </c>
      <c r="Z10" s="15" t="str">
        <f>_xlfn.XLOOKUP(tblMeasure[[#This Row],[id_src]],tblSource[id_src],tblSource[url_source])</f>
        <v>https://digital.nhs.uk/data-and-information/publications/statistical/adult-social-care-activity-and-finance-report/2018-19</v>
      </c>
      <c r="AA10" s="15">
        <f>_xlfn.XLOOKUP(tblMeasure[[#This Row],[id_src]],tblSource[id_src],tblSource[year_first_published])</f>
        <v>2016</v>
      </c>
      <c r="AB10" s="15">
        <f>_xlfn.XLOOKUP(tblMeasure[[#This Row],[id_src]],tblSource[id_src],tblSource[year_last_published])</f>
        <v>2019</v>
      </c>
      <c r="AC10" s="15" t="str">
        <f>_xlfn.XLOOKUP(tblMeasure[[#This Row],[id_src]],tblSource[id_src],tblSource[discontinuity])</f>
        <v>None</v>
      </c>
      <c r="AD10" s="15" t="str">
        <f>_xlfn.XLOOKUP(tblMeasure[[#This Row],[id_src]],tblSource[id_src],tblSource[publication_frequency])</f>
        <v>Annual</v>
      </c>
      <c r="AE10" s="15">
        <f>_xlfn.XLOOKUP(tblMeasure[[#This Row],[id_src]],tblSource[id_src],tblSource[publication_lag_months])</f>
        <v>7</v>
      </c>
      <c r="AF10" s="25" t="str">
        <f>_xlfn.XLOOKUP(tblMeasure[[#This Row],[id_src]],tblSource[id_src],tblSource[data_providers])</f>
        <v>LA</v>
      </c>
      <c r="AG10" s="25" t="str">
        <f>_xlfn.XLOOKUP(tblMeasure[[#This Row],[id_src]],tblSource[id_src],tblSource[statistic_class])</f>
        <v>National (ASC-FR) + Official (SALT)</v>
      </c>
      <c r="AH10" s="25" t="str">
        <f>_xlfn.XLOOKUP(tblMeasure[[#This Row],[id_src]],tblSource[id_src],tblSource[methodology_link])</f>
        <v>https://digital.nhs.uk/data-and-information/publications/statistical/adult-social-care-activity-and-finance-report/2018-19/data-quality-statement</v>
      </c>
      <c r="AI10" s="25" t="str">
        <f>_xlfn.XLOOKUP(tblMeasure[[#This Row],[id_src]],tblSource[id_src],tblSource[quality_issues])</f>
        <v>https://digital.nhs.uk/data-and-information/publications/statistical/adult-social-care-activity-and-finance-report/2018-19/data-quality-statement#accuracy-and-reliability</v>
      </c>
      <c r="AJ10" s="25">
        <f>VLOOKUP(tblMeasure[[#This Row],[msr_population_or_survey]],strlu_msr_population_or_survey,2,FALSE)</f>
        <v>1</v>
      </c>
      <c r="AK10" s="25">
        <f>VLOOKUP(tblMeasure[[#This Row],[msr_min_geo_resolution]],strlu_msr_min_geo_resolution,2,FALSE)</f>
        <v>1</v>
      </c>
      <c r="AL10" s="25">
        <f>(MAX(tblMeasure[[#This Row],[src_year_last_published]]-2010+1,0)+MIN(2010-tblMeasure[[#This Row],[src_year_first_published]],0)-MAX(tblMeasure[[#This Row],[src_year_last_published]]-2019,0))/10</f>
        <v>0.4</v>
      </c>
      <c r="AM10" s="25">
        <f>IF(OR(tblMeasure[[#This Row],[src_discontinuity]]="None",tblMeasure[[#This Row],[src_discontinuity]]=0),1,0)</f>
        <v>1</v>
      </c>
      <c r="AN10" s="25">
        <f>VLOOKUP(tblMeasure[[#This Row],[src_pub_frequency]],strlu_src_pub_frequency,2,FALSE)</f>
        <v>0.8</v>
      </c>
      <c r="AO10" s="25">
        <f>VLOOKUP(tblMeasure[[#This Row],[src_pub_lag_months]],strlu_src_pub_lag_months,2,FALSE)</f>
        <v>0.3</v>
      </c>
      <c r="AP10" s="25">
        <f>VLOOKUP(tblMeasure[[#This Row],[src_statistic_class]],strlu_src_statistic_class,2,FALSE)</f>
        <v>1</v>
      </c>
      <c r="AQ10" s="25">
        <f>IF(tblMeasure[[#This Row],[src_methodology_url]]="TBD",0,1)</f>
        <v>1</v>
      </c>
      <c r="AR10" s="25">
        <f>IF(tblMeasure[[#This Row],[src_quality_url]]="TBD",0,1)</f>
        <v>1</v>
      </c>
      <c r="AS10" s="85" cm="1">
        <f t="array" ref="AS10">SUMPRODUCT(TRANSPOSE(tblMeasure[[#This Row],[str_msr_population_or_survey]:[str_src_quality_url]]),str_weights)/str_weights_total</f>
        <v>0.82307692307692304</v>
      </c>
    </row>
    <row r="11" spans="1:45" hidden="1" x14ac:dyDescent="0.15">
      <c r="A11" s="30">
        <v>9</v>
      </c>
      <c r="B11" s="15">
        <f>COUNTIF(requirement_measure_map!$D$3:$D$1514,measure!A11)</f>
        <v>11</v>
      </c>
      <c r="C11" s="30" t="s">
        <v>208</v>
      </c>
      <c r="D11" s="15" t="s">
        <v>244</v>
      </c>
      <c r="E11" s="15" t="s">
        <v>249</v>
      </c>
      <c r="F11" s="15" t="s">
        <v>250</v>
      </c>
      <c r="G11" s="29" t="s">
        <v>212</v>
      </c>
      <c r="H11" s="15" t="s">
        <v>247</v>
      </c>
      <c r="I11" s="15" t="s">
        <v>214</v>
      </c>
      <c r="J11" s="15" t="s">
        <v>215</v>
      </c>
      <c r="K11" s="15" t="s">
        <v>251</v>
      </c>
      <c r="L11" s="15" t="s">
        <v>233</v>
      </c>
      <c r="M11" s="15" t="s">
        <v>218</v>
      </c>
      <c r="N11" s="15" t="s">
        <v>219</v>
      </c>
      <c r="O11" s="15" t="s">
        <v>219</v>
      </c>
      <c r="P11" s="15" t="s">
        <v>219</v>
      </c>
      <c r="Q11" s="15" t="s">
        <v>219</v>
      </c>
      <c r="R11" s="15" t="s">
        <v>219</v>
      </c>
      <c r="S11" s="15" t="s">
        <v>219</v>
      </c>
      <c r="T11" s="15" t="s">
        <v>252</v>
      </c>
      <c r="U11" s="15" t="s">
        <v>253</v>
      </c>
      <c r="V11" s="15" t="s">
        <v>219</v>
      </c>
      <c r="W11" s="15">
        <v>1</v>
      </c>
      <c r="X11" s="15" t="str">
        <f>_xlfn.XLOOKUP(tblMeasure[[#This Row],[id_src]],tblSource[id_src],tblSource[org])</f>
        <v>NHS Digital</v>
      </c>
      <c r="Y11" s="15" t="str">
        <f>_xlfn.XLOOKUP(tblMeasure[[#This Row],[id_src]],tblSource[id_src],tblSource[source])</f>
        <v>Adult Social Care Activity and Finance Report</v>
      </c>
      <c r="Z11" s="15" t="str">
        <f>_xlfn.XLOOKUP(tblMeasure[[#This Row],[id_src]],tblSource[id_src],tblSource[url_source])</f>
        <v>https://digital.nhs.uk/data-and-information/publications/statistical/adult-social-care-activity-and-finance-report/2018-19</v>
      </c>
      <c r="AA11" s="15">
        <f>_xlfn.XLOOKUP(tblMeasure[[#This Row],[id_src]],tblSource[id_src],tblSource[year_first_published])</f>
        <v>2016</v>
      </c>
      <c r="AB11" s="15">
        <f>_xlfn.XLOOKUP(tblMeasure[[#This Row],[id_src]],tblSource[id_src],tblSource[year_last_published])</f>
        <v>2019</v>
      </c>
      <c r="AC11" s="15" t="str">
        <f>_xlfn.XLOOKUP(tblMeasure[[#This Row],[id_src]],tblSource[id_src],tblSource[discontinuity])</f>
        <v>None</v>
      </c>
      <c r="AD11" s="15" t="str">
        <f>_xlfn.XLOOKUP(tblMeasure[[#This Row],[id_src]],tblSource[id_src],tblSource[publication_frequency])</f>
        <v>Annual</v>
      </c>
      <c r="AE11" s="15">
        <f>_xlfn.XLOOKUP(tblMeasure[[#This Row],[id_src]],tblSource[id_src],tblSource[publication_lag_months])</f>
        <v>7</v>
      </c>
      <c r="AF11" s="25" t="str">
        <f>_xlfn.XLOOKUP(tblMeasure[[#This Row],[id_src]],tblSource[id_src],tblSource[data_providers])</f>
        <v>LA</v>
      </c>
      <c r="AG11" s="25" t="str">
        <f>_xlfn.XLOOKUP(tblMeasure[[#This Row],[id_src]],tblSource[id_src],tblSource[statistic_class])</f>
        <v>National (ASC-FR) + Official (SALT)</v>
      </c>
      <c r="AH11" s="25" t="str">
        <f>_xlfn.XLOOKUP(tblMeasure[[#This Row],[id_src]],tblSource[id_src],tblSource[methodology_link])</f>
        <v>https://digital.nhs.uk/data-and-information/publications/statistical/adult-social-care-activity-and-finance-report/2018-19/data-quality-statement</v>
      </c>
      <c r="AI11" s="25" t="str">
        <f>_xlfn.XLOOKUP(tblMeasure[[#This Row],[id_src]],tblSource[id_src],tblSource[quality_issues])</f>
        <v>https://digital.nhs.uk/data-and-information/publications/statistical/adult-social-care-activity-and-finance-report/2018-19/data-quality-statement#accuracy-and-reliability</v>
      </c>
      <c r="AJ11" s="25">
        <f>VLOOKUP(tblMeasure[[#This Row],[msr_population_or_survey]],strlu_msr_population_or_survey,2,FALSE)</f>
        <v>1</v>
      </c>
      <c r="AK11" s="25">
        <f>VLOOKUP(tblMeasure[[#This Row],[msr_min_geo_resolution]],strlu_msr_min_geo_resolution,2,FALSE)</f>
        <v>0</v>
      </c>
      <c r="AL11" s="25">
        <f>(MAX(tblMeasure[[#This Row],[src_year_last_published]]-2010+1,0)+MIN(2010-tblMeasure[[#This Row],[src_year_first_published]],0)-MAX(tblMeasure[[#This Row],[src_year_last_published]]-2019,0))/10</f>
        <v>0.4</v>
      </c>
      <c r="AM11" s="25">
        <f>IF(OR(tblMeasure[[#This Row],[src_discontinuity]]="None",tblMeasure[[#This Row],[src_discontinuity]]=0),1,0)</f>
        <v>1</v>
      </c>
      <c r="AN11" s="25">
        <f>VLOOKUP(tblMeasure[[#This Row],[src_pub_frequency]],strlu_src_pub_frequency,2,FALSE)</f>
        <v>0.8</v>
      </c>
      <c r="AO11" s="25">
        <f>VLOOKUP(tblMeasure[[#This Row],[src_pub_lag_months]],strlu_src_pub_lag_months,2,FALSE)</f>
        <v>0.3</v>
      </c>
      <c r="AP11" s="25">
        <f>VLOOKUP(tblMeasure[[#This Row],[src_statistic_class]],strlu_src_statistic_class,2,FALSE)</f>
        <v>1</v>
      </c>
      <c r="AQ11" s="25">
        <f>IF(tblMeasure[[#This Row],[src_methodology_url]]="TBD",0,1)</f>
        <v>1</v>
      </c>
      <c r="AR11" s="25">
        <f>IF(tblMeasure[[#This Row],[src_quality_url]]="TBD",0,1)</f>
        <v>1</v>
      </c>
      <c r="AS11" s="85" cm="1">
        <f t="array" ref="AS11">SUMPRODUCT(TRANSPOSE(tblMeasure[[#This Row],[str_msr_population_or_survey]:[str_src_quality_url]]),str_weights)/str_weights_total</f>
        <v>0.66923076923076918</v>
      </c>
    </row>
    <row r="12" spans="1:45" hidden="1" x14ac:dyDescent="0.15">
      <c r="A12" s="30">
        <v>10</v>
      </c>
      <c r="B12" s="15">
        <f>COUNTIF(requirement_measure_map!$D$3:$D$1514,measure!A12)</f>
        <v>11</v>
      </c>
      <c r="C12" s="30" t="s">
        <v>208</v>
      </c>
      <c r="D12" s="15" t="s">
        <v>244</v>
      </c>
      <c r="E12" s="15" t="s">
        <v>254</v>
      </c>
      <c r="F12" s="15" t="s">
        <v>255</v>
      </c>
      <c r="G12" s="29" t="s">
        <v>212</v>
      </c>
      <c r="H12" s="15" t="s">
        <v>247</v>
      </c>
      <c r="I12" s="15" t="s">
        <v>214</v>
      </c>
      <c r="J12" s="15" t="s">
        <v>215</v>
      </c>
      <c r="K12" s="15" t="s">
        <v>256</v>
      </c>
      <c r="L12" s="15" t="s">
        <v>217</v>
      </c>
      <c r="M12" s="15" t="s">
        <v>220</v>
      </c>
      <c r="N12" s="15" t="s">
        <v>219</v>
      </c>
      <c r="O12" s="15" t="s">
        <v>219</v>
      </c>
      <c r="P12" s="15" t="s">
        <v>219</v>
      </c>
      <c r="Q12" s="15" t="s">
        <v>219</v>
      </c>
      <c r="R12" s="15" t="s">
        <v>219</v>
      </c>
      <c r="S12" s="15" t="s">
        <v>219</v>
      </c>
      <c r="T12" s="15" t="s">
        <v>252</v>
      </c>
      <c r="U12" s="15" t="s">
        <v>253</v>
      </c>
      <c r="V12" s="15" t="s">
        <v>219</v>
      </c>
      <c r="W12" s="15">
        <v>1</v>
      </c>
      <c r="X12" s="15" t="str">
        <f>_xlfn.XLOOKUP(tblMeasure[[#This Row],[id_src]],tblSource[id_src],tblSource[org])</f>
        <v>NHS Digital</v>
      </c>
      <c r="Y12" s="15" t="str">
        <f>_xlfn.XLOOKUP(tblMeasure[[#This Row],[id_src]],tblSource[id_src],tblSource[source])</f>
        <v>Adult Social Care Activity and Finance Report</v>
      </c>
      <c r="Z12" s="15" t="str">
        <f>_xlfn.XLOOKUP(tblMeasure[[#This Row],[id_src]],tblSource[id_src],tblSource[url_source])</f>
        <v>https://digital.nhs.uk/data-and-information/publications/statistical/adult-social-care-activity-and-finance-report/2018-19</v>
      </c>
      <c r="AA12" s="15">
        <f>_xlfn.XLOOKUP(tblMeasure[[#This Row],[id_src]],tblSource[id_src],tblSource[year_first_published])</f>
        <v>2016</v>
      </c>
      <c r="AB12" s="15">
        <f>_xlfn.XLOOKUP(tblMeasure[[#This Row],[id_src]],tblSource[id_src],tblSource[year_last_published])</f>
        <v>2019</v>
      </c>
      <c r="AC12" s="15" t="str">
        <f>_xlfn.XLOOKUP(tblMeasure[[#This Row],[id_src]],tblSource[id_src],tblSource[discontinuity])</f>
        <v>None</v>
      </c>
      <c r="AD12" s="15" t="str">
        <f>_xlfn.XLOOKUP(tblMeasure[[#This Row],[id_src]],tblSource[id_src],tblSource[publication_frequency])</f>
        <v>Annual</v>
      </c>
      <c r="AE12" s="15">
        <f>_xlfn.XLOOKUP(tblMeasure[[#This Row],[id_src]],tblSource[id_src],tblSource[publication_lag_months])</f>
        <v>7</v>
      </c>
      <c r="AF12" s="25" t="str">
        <f>_xlfn.XLOOKUP(tblMeasure[[#This Row],[id_src]],tblSource[id_src],tblSource[data_providers])</f>
        <v>LA</v>
      </c>
      <c r="AG12" s="25" t="str">
        <f>_xlfn.XLOOKUP(tblMeasure[[#This Row],[id_src]],tblSource[id_src],tblSource[statistic_class])</f>
        <v>National (ASC-FR) + Official (SALT)</v>
      </c>
      <c r="AH12" s="25" t="str">
        <f>_xlfn.XLOOKUP(tblMeasure[[#This Row],[id_src]],tblSource[id_src],tblSource[methodology_link])</f>
        <v>https://digital.nhs.uk/data-and-information/publications/statistical/adult-social-care-activity-and-finance-report/2018-19/data-quality-statement</v>
      </c>
      <c r="AI12" s="25" t="str">
        <f>_xlfn.XLOOKUP(tblMeasure[[#This Row],[id_src]],tblSource[id_src],tblSource[quality_issues])</f>
        <v>https://digital.nhs.uk/data-and-information/publications/statistical/adult-social-care-activity-and-finance-report/2018-19/data-quality-statement#accuracy-and-reliability</v>
      </c>
      <c r="AJ12" s="25">
        <f>VLOOKUP(tblMeasure[[#This Row],[msr_population_or_survey]],strlu_msr_population_or_survey,2,FALSE)</f>
        <v>1</v>
      </c>
      <c r="AK12" s="25">
        <f>VLOOKUP(tblMeasure[[#This Row],[msr_min_geo_resolution]],strlu_msr_min_geo_resolution,2,FALSE)</f>
        <v>1</v>
      </c>
      <c r="AL12" s="25">
        <f>(MAX(tblMeasure[[#This Row],[src_year_last_published]]-2010+1,0)+MIN(2010-tblMeasure[[#This Row],[src_year_first_published]],0)-MAX(tblMeasure[[#This Row],[src_year_last_published]]-2019,0))/10</f>
        <v>0.4</v>
      </c>
      <c r="AM12" s="25">
        <f>IF(OR(tblMeasure[[#This Row],[src_discontinuity]]="None",tblMeasure[[#This Row],[src_discontinuity]]=0),1,0)</f>
        <v>1</v>
      </c>
      <c r="AN12" s="25">
        <f>VLOOKUP(tblMeasure[[#This Row],[src_pub_frequency]],strlu_src_pub_frequency,2,FALSE)</f>
        <v>0.8</v>
      </c>
      <c r="AO12" s="25">
        <f>VLOOKUP(tblMeasure[[#This Row],[src_pub_lag_months]],strlu_src_pub_lag_months,2,FALSE)</f>
        <v>0.3</v>
      </c>
      <c r="AP12" s="25">
        <f>VLOOKUP(tblMeasure[[#This Row],[src_statistic_class]],strlu_src_statistic_class,2,FALSE)</f>
        <v>1</v>
      </c>
      <c r="AQ12" s="25">
        <f>IF(tblMeasure[[#This Row],[src_methodology_url]]="TBD",0,1)</f>
        <v>1</v>
      </c>
      <c r="AR12" s="25">
        <f>IF(tblMeasure[[#This Row],[src_quality_url]]="TBD",0,1)</f>
        <v>1</v>
      </c>
      <c r="AS12" s="85" cm="1">
        <f t="array" ref="AS12">SUMPRODUCT(TRANSPOSE(tblMeasure[[#This Row],[str_msr_population_or_survey]:[str_src_quality_url]]),str_weights)/str_weights_total</f>
        <v>0.82307692307692304</v>
      </c>
    </row>
    <row r="13" spans="1:45" hidden="1" x14ac:dyDescent="0.15">
      <c r="A13" s="30">
        <v>11</v>
      </c>
      <c r="B13" s="15">
        <f>COUNTIF(requirement_measure_map!$D$3:$D$1514,measure!A13)</f>
        <v>11</v>
      </c>
      <c r="C13" s="30" t="s">
        <v>208</v>
      </c>
      <c r="D13" s="15" t="s">
        <v>244</v>
      </c>
      <c r="E13" s="15" t="s">
        <v>257</v>
      </c>
      <c r="F13" s="15" t="s">
        <v>258</v>
      </c>
      <c r="G13" s="29" t="s">
        <v>212</v>
      </c>
      <c r="H13" s="15" t="s">
        <v>247</v>
      </c>
      <c r="I13" s="15" t="s">
        <v>214</v>
      </c>
      <c r="J13" s="15" t="s">
        <v>215</v>
      </c>
      <c r="K13" s="15" t="s">
        <v>256</v>
      </c>
      <c r="L13" s="15" t="s">
        <v>217</v>
      </c>
      <c r="M13" s="15" t="s">
        <v>220</v>
      </c>
      <c r="N13" s="15" t="s">
        <v>219</v>
      </c>
      <c r="O13" s="15" t="s">
        <v>219</v>
      </c>
      <c r="P13" s="15" t="s">
        <v>219</v>
      </c>
      <c r="Q13" s="15" t="s">
        <v>219</v>
      </c>
      <c r="R13" s="15" t="s">
        <v>219</v>
      </c>
      <c r="S13" s="15" t="s">
        <v>219</v>
      </c>
      <c r="T13" s="15" t="s">
        <v>252</v>
      </c>
      <c r="U13" s="15" t="s">
        <v>253</v>
      </c>
      <c r="V13" s="15" t="s">
        <v>219</v>
      </c>
      <c r="W13" s="15">
        <v>1</v>
      </c>
      <c r="X13" s="15" t="str">
        <f>_xlfn.XLOOKUP(tblMeasure[[#This Row],[id_src]],tblSource[id_src],tblSource[org])</f>
        <v>NHS Digital</v>
      </c>
      <c r="Y13" s="15" t="str">
        <f>_xlfn.XLOOKUP(tblMeasure[[#This Row],[id_src]],tblSource[id_src],tblSource[source])</f>
        <v>Adult Social Care Activity and Finance Report</v>
      </c>
      <c r="Z13" s="15" t="str">
        <f>_xlfn.XLOOKUP(tblMeasure[[#This Row],[id_src]],tblSource[id_src],tblSource[url_source])</f>
        <v>https://digital.nhs.uk/data-and-information/publications/statistical/adult-social-care-activity-and-finance-report/2018-19</v>
      </c>
      <c r="AA13" s="15">
        <f>_xlfn.XLOOKUP(tblMeasure[[#This Row],[id_src]],tblSource[id_src],tblSource[year_first_published])</f>
        <v>2016</v>
      </c>
      <c r="AB13" s="15">
        <f>_xlfn.XLOOKUP(tblMeasure[[#This Row],[id_src]],tblSource[id_src],tblSource[year_last_published])</f>
        <v>2019</v>
      </c>
      <c r="AC13" s="15" t="str">
        <f>_xlfn.XLOOKUP(tblMeasure[[#This Row],[id_src]],tblSource[id_src],tblSource[discontinuity])</f>
        <v>None</v>
      </c>
      <c r="AD13" s="15" t="str">
        <f>_xlfn.XLOOKUP(tblMeasure[[#This Row],[id_src]],tblSource[id_src],tblSource[publication_frequency])</f>
        <v>Annual</v>
      </c>
      <c r="AE13" s="15">
        <f>_xlfn.XLOOKUP(tblMeasure[[#This Row],[id_src]],tblSource[id_src],tblSource[publication_lag_months])</f>
        <v>7</v>
      </c>
      <c r="AF13" s="25" t="str">
        <f>_xlfn.XLOOKUP(tblMeasure[[#This Row],[id_src]],tblSource[id_src],tblSource[data_providers])</f>
        <v>LA</v>
      </c>
      <c r="AG13" s="25" t="str">
        <f>_xlfn.XLOOKUP(tblMeasure[[#This Row],[id_src]],tblSource[id_src],tblSource[statistic_class])</f>
        <v>National (ASC-FR) + Official (SALT)</v>
      </c>
      <c r="AH13" s="25" t="str">
        <f>_xlfn.XLOOKUP(tblMeasure[[#This Row],[id_src]],tblSource[id_src],tblSource[methodology_link])</f>
        <v>https://digital.nhs.uk/data-and-information/publications/statistical/adult-social-care-activity-and-finance-report/2018-19/data-quality-statement</v>
      </c>
      <c r="AI13" s="25" t="str">
        <f>_xlfn.XLOOKUP(tblMeasure[[#This Row],[id_src]],tblSource[id_src],tblSource[quality_issues])</f>
        <v>https://digital.nhs.uk/data-and-information/publications/statistical/adult-social-care-activity-and-finance-report/2018-19/data-quality-statement#accuracy-and-reliability</v>
      </c>
      <c r="AJ13" s="25">
        <f>VLOOKUP(tblMeasure[[#This Row],[msr_population_or_survey]],strlu_msr_population_or_survey,2,FALSE)</f>
        <v>1</v>
      </c>
      <c r="AK13" s="25">
        <f>VLOOKUP(tblMeasure[[#This Row],[msr_min_geo_resolution]],strlu_msr_min_geo_resolution,2,FALSE)</f>
        <v>1</v>
      </c>
      <c r="AL13" s="25">
        <f>(MAX(tblMeasure[[#This Row],[src_year_last_published]]-2010+1,0)+MIN(2010-tblMeasure[[#This Row],[src_year_first_published]],0)-MAX(tblMeasure[[#This Row],[src_year_last_published]]-2019,0))/10</f>
        <v>0.4</v>
      </c>
      <c r="AM13" s="25">
        <f>IF(OR(tblMeasure[[#This Row],[src_discontinuity]]="None",tblMeasure[[#This Row],[src_discontinuity]]=0),1,0)</f>
        <v>1</v>
      </c>
      <c r="AN13" s="25">
        <f>VLOOKUP(tblMeasure[[#This Row],[src_pub_frequency]],strlu_src_pub_frequency,2,FALSE)</f>
        <v>0.8</v>
      </c>
      <c r="AO13" s="25">
        <f>VLOOKUP(tblMeasure[[#This Row],[src_pub_lag_months]],strlu_src_pub_lag_months,2,FALSE)</f>
        <v>0.3</v>
      </c>
      <c r="AP13" s="25">
        <f>VLOOKUP(tblMeasure[[#This Row],[src_statistic_class]],strlu_src_statistic_class,2,FALSE)</f>
        <v>1</v>
      </c>
      <c r="AQ13" s="25">
        <f>IF(tblMeasure[[#This Row],[src_methodology_url]]="TBD",0,1)</f>
        <v>1</v>
      </c>
      <c r="AR13" s="25">
        <f>IF(tblMeasure[[#This Row],[src_quality_url]]="TBD",0,1)</f>
        <v>1</v>
      </c>
      <c r="AS13" s="85" cm="1">
        <f t="array" ref="AS13">SUMPRODUCT(TRANSPOSE(tblMeasure[[#This Row],[str_msr_population_or_survey]:[str_src_quality_url]]),str_weights)/str_weights_total</f>
        <v>0.82307692307692304</v>
      </c>
    </row>
    <row r="14" spans="1:45" hidden="1" x14ac:dyDescent="0.15">
      <c r="A14" s="30">
        <v>12</v>
      </c>
      <c r="B14" s="15">
        <f>COUNTIF(requirement_measure_map!$D$3:$D$1514,measure!A14)</f>
        <v>2</v>
      </c>
      <c r="C14" s="30" t="s">
        <v>208</v>
      </c>
      <c r="D14" s="15" t="s">
        <v>244</v>
      </c>
      <c r="E14" s="15" t="s">
        <v>259</v>
      </c>
      <c r="F14" s="15" t="s">
        <v>260</v>
      </c>
      <c r="G14" s="29" t="s">
        <v>212</v>
      </c>
      <c r="H14" s="15" t="s">
        <v>247</v>
      </c>
      <c r="I14" s="15" t="s">
        <v>214</v>
      </c>
      <c r="J14" s="15" t="s">
        <v>215</v>
      </c>
      <c r="K14" s="15" t="s">
        <v>261</v>
      </c>
      <c r="L14" s="15" t="s">
        <v>217</v>
      </c>
      <c r="M14" s="15" t="s">
        <v>218</v>
      </c>
      <c r="N14" s="15" t="s">
        <v>219</v>
      </c>
      <c r="O14" s="15" t="s">
        <v>219</v>
      </c>
      <c r="P14" s="15" t="s">
        <v>219</v>
      </c>
      <c r="Q14" s="15" t="s">
        <v>219</v>
      </c>
      <c r="R14" s="15" t="s">
        <v>219</v>
      </c>
      <c r="S14" s="15" t="s">
        <v>219</v>
      </c>
      <c r="T14" s="15" t="s">
        <v>219</v>
      </c>
      <c r="U14" s="15" t="s">
        <v>219</v>
      </c>
      <c r="V14" s="15" t="s">
        <v>219</v>
      </c>
      <c r="W14" s="15">
        <v>1</v>
      </c>
      <c r="X14" s="15" t="str">
        <f>_xlfn.XLOOKUP(tblMeasure[[#This Row],[id_src]],tblSource[id_src],tblSource[org])</f>
        <v>NHS Digital</v>
      </c>
      <c r="Y14" s="15" t="str">
        <f>_xlfn.XLOOKUP(tblMeasure[[#This Row],[id_src]],tblSource[id_src],tblSource[source])</f>
        <v>Adult Social Care Activity and Finance Report</v>
      </c>
      <c r="Z14" s="15" t="str">
        <f>_xlfn.XLOOKUP(tblMeasure[[#This Row],[id_src]],tblSource[id_src],tblSource[url_source])</f>
        <v>https://digital.nhs.uk/data-and-information/publications/statistical/adult-social-care-activity-and-finance-report/2018-19</v>
      </c>
      <c r="AA14" s="15">
        <f>_xlfn.XLOOKUP(tblMeasure[[#This Row],[id_src]],tblSource[id_src],tblSource[year_first_published])</f>
        <v>2016</v>
      </c>
      <c r="AB14" s="15">
        <f>_xlfn.XLOOKUP(tblMeasure[[#This Row],[id_src]],tblSource[id_src],tblSource[year_last_published])</f>
        <v>2019</v>
      </c>
      <c r="AC14" s="15" t="str">
        <f>_xlfn.XLOOKUP(tblMeasure[[#This Row],[id_src]],tblSource[id_src],tblSource[discontinuity])</f>
        <v>None</v>
      </c>
      <c r="AD14" s="15" t="str">
        <f>_xlfn.XLOOKUP(tblMeasure[[#This Row],[id_src]],tblSource[id_src],tblSource[publication_frequency])</f>
        <v>Annual</v>
      </c>
      <c r="AE14" s="15">
        <f>_xlfn.XLOOKUP(tblMeasure[[#This Row],[id_src]],tblSource[id_src],tblSource[publication_lag_months])</f>
        <v>7</v>
      </c>
      <c r="AF14" s="25" t="str">
        <f>_xlfn.XLOOKUP(tblMeasure[[#This Row],[id_src]],tblSource[id_src],tblSource[data_providers])</f>
        <v>LA</v>
      </c>
      <c r="AG14" s="25" t="str">
        <f>_xlfn.XLOOKUP(tblMeasure[[#This Row],[id_src]],tblSource[id_src],tblSource[statistic_class])</f>
        <v>National (ASC-FR) + Official (SALT)</v>
      </c>
      <c r="AH14" s="25" t="str">
        <f>_xlfn.XLOOKUP(tblMeasure[[#This Row],[id_src]],tblSource[id_src],tblSource[methodology_link])</f>
        <v>https://digital.nhs.uk/data-and-information/publications/statistical/adult-social-care-activity-and-finance-report/2018-19/data-quality-statement</v>
      </c>
      <c r="AI14" s="25" t="str">
        <f>_xlfn.XLOOKUP(tblMeasure[[#This Row],[id_src]],tblSource[id_src],tblSource[quality_issues])</f>
        <v>https://digital.nhs.uk/data-and-information/publications/statistical/adult-social-care-activity-and-finance-report/2018-19/data-quality-statement#accuracy-and-reliability</v>
      </c>
      <c r="AJ14" s="25">
        <f>VLOOKUP(tblMeasure[[#This Row],[msr_population_or_survey]],strlu_msr_population_or_survey,2,FALSE)</f>
        <v>1</v>
      </c>
      <c r="AK14" s="25">
        <f>VLOOKUP(tblMeasure[[#This Row],[msr_min_geo_resolution]],strlu_msr_min_geo_resolution,2,FALSE)</f>
        <v>1</v>
      </c>
      <c r="AL14" s="25">
        <f>(MAX(tblMeasure[[#This Row],[src_year_last_published]]-2010+1,0)+MIN(2010-tblMeasure[[#This Row],[src_year_first_published]],0)-MAX(tblMeasure[[#This Row],[src_year_last_published]]-2019,0))/10</f>
        <v>0.4</v>
      </c>
      <c r="AM14" s="25">
        <f>IF(OR(tblMeasure[[#This Row],[src_discontinuity]]="None",tblMeasure[[#This Row],[src_discontinuity]]=0),1,0)</f>
        <v>1</v>
      </c>
      <c r="AN14" s="25">
        <f>VLOOKUP(tblMeasure[[#This Row],[src_pub_frequency]],strlu_src_pub_frequency,2,FALSE)</f>
        <v>0.8</v>
      </c>
      <c r="AO14" s="25">
        <f>VLOOKUP(tblMeasure[[#This Row],[src_pub_lag_months]],strlu_src_pub_lag_months,2,FALSE)</f>
        <v>0.3</v>
      </c>
      <c r="AP14" s="25">
        <f>VLOOKUP(tblMeasure[[#This Row],[src_statistic_class]],strlu_src_statistic_class,2,FALSE)</f>
        <v>1</v>
      </c>
      <c r="AQ14" s="25">
        <f>IF(tblMeasure[[#This Row],[src_methodology_url]]="TBD",0,1)</f>
        <v>1</v>
      </c>
      <c r="AR14" s="25">
        <f>IF(tblMeasure[[#This Row],[src_quality_url]]="TBD",0,1)</f>
        <v>1</v>
      </c>
      <c r="AS14" s="85" cm="1">
        <f t="array" ref="AS14">SUMPRODUCT(TRANSPOSE(tblMeasure[[#This Row],[str_msr_population_or_survey]:[str_src_quality_url]]),str_weights)/str_weights_total</f>
        <v>0.82307692307692304</v>
      </c>
    </row>
    <row r="15" spans="1:45" hidden="1" x14ac:dyDescent="0.15">
      <c r="A15" s="30">
        <v>13</v>
      </c>
      <c r="B15" s="15">
        <f>COUNTIF(requirement_measure_map!$D$3:$D$1514,measure!A15)</f>
        <v>2</v>
      </c>
      <c r="C15" s="30" t="s">
        <v>208</v>
      </c>
      <c r="D15" s="15" t="s">
        <v>244</v>
      </c>
      <c r="E15" s="15" t="s">
        <v>262</v>
      </c>
      <c r="F15" s="15" t="s">
        <v>263</v>
      </c>
      <c r="G15" s="29" t="s">
        <v>212</v>
      </c>
      <c r="H15" s="15" t="s">
        <v>247</v>
      </c>
      <c r="I15" s="15" t="s">
        <v>214</v>
      </c>
      <c r="J15" s="15" t="s">
        <v>215</v>
      </c>
      <c r="K15" s="15" t="s">
        <v>261</v>
      </c>
      <c r="L15" s="15" t="s">
        <v>217</v>
      </c>
      <c r="M15" s="15" t="s">
        <v>218</v>
      </c>
      <c r="N15" s="15" t="s">
        <v>219</v>
      </c>
      <c r="O15" s="15" t="s">
        <v>219</v>
      </c>
      <c r="P15" s="15" t="s">
        <v>219</v>
      </c>
      <c r="Q15" s="15" t="s">
        <v>219</v>
      </c>
      <c r="R15" s="15" t="s">
        <v>219</v>
      </c>
      <c r="S15" s="15" t="s">
        <v>219</v>
      </c>
      <c r="T15" s="15" t="s">
        <v>219</v>
      </c>
      <c r="U15" s="15" t="s">
        <v>219</v>
      </c>
      <c r="V15" s="15" t="s">
        <v>219</v>
      </c>
      <c r="W15" s="15">
        <v>1</v>
      </c>
      <c r="X15" s="15" t="str">
        <f>_xlfn.XLOOKUP(tblMeasure[[#This Row],[id_src]],tblSource[id_src],tblSource[org])</f>
        <v>NHS Digital</v>
      </c>
      <c r="Y15" s="15" t="str">
        <f>_xlfn.XLOOKUP(tblMeasure[[#This Row],[id_src]],tblSource[id_src],tblSource[source])</f>
        <v>Adult Social Care Activity and Finance Report</v>
      </c>
      <c r="Z15" s="15" t="str">
        <f>_xlfn.XLOOKUP(tblMeasure[[#This Row],[id_src]],tblSource[id_src],tblSource[url_source])</f>
        <v>https://digital.nhs.uk/data-and-information/publications/statistical/adult-social-care-activity-and-finance-report/2018-19</v>
      </c>
      <c r="AA15" s="15">
        <f>_xlfn.XLOOKUP(tblMeasure[[#This Row],[id_src]],tblSource[id_src],tblSource[year_first_published])</f>
        <v>2016</v>
      </c>
      <c r="AB15" s="15">
        <f>_xlfn.XLOOKUP(tblMeasure[[#This Row],[id_src]],tblSource[id_src],tblSource[year_last_published])</f>
        <v>2019</v>
      </c>
      <c r="AC15" s="15" t="str">
        <f>_xlfn.XLOOKUP(tblMeasure[[#This Row],[id_src]],tblSource[id_src],tblSource[discontinuity])</f>
        <v>None</v>
      </c>
      <c r="AD15" s="15" t="str">
        <f>_xlfn.XLOOKUP(tblMeasure[[#This Row],[id_src]],tblSource[id_src],tblSource[publication_frequency])</f>
        <v>Annual</v>
      </c>
      <c r="AE15" s="15">
        <f>_xlfn.XLOOKUP(tblMeasure[[#This Row],[id_src]],tblSource[id_src],tblSource[publication_lag_months])</f>
        <v>7</v>
      </c>
      <c r="AF15" s="25" t="str">
        <f>_xlfn.XLOOKUP(tblMeasure[[#This Row],[id_src]],tblSource[id_src],tblSource[data_providers])</f>
        <v>LA</v>
      </c>
      <c r="AG15" s="25" t="str">
        <f>_xlfn.XLOOKUP(tblMeasure[[#This Row],[id_src]],tblSource[id_src],tblSource[statistic_class])</f>
        <v>National (ASC-FR) + Official (SALT)</v>
      </c>
      <c r="AH15" s="25" t="str">
        <f>_xlfn.XLOOKUP(tblMeasure[[#This Row],[id_src]],tblSource[id_src],tblSource[methodology_link])</f>
        <v>https://digital.nhs.uk/data-and-information/publications/statistical/adult-social-care-activity-and-finance-report/2018-19/data-quality-statement</v>
      </c>
      <c r="AI15" s="25" t="str">
        <f>_xlfn.XLOOKUP(tblMeasure[[#This Row],[id_src]],tblSource[id_src],tblSource[quality_issues])</f>
        <v>https://digital.nhs.uk/data-and-information/publications/statistical/adult-social-care-activity-and-finance-report/2018-19/data-quality-statement#accuracy-and-reliability</v>
      </c>
      <c r="AJ15" s="25">
        <f>VLOOKUP(tblMeasure[[#This Row],[msr_population_or_survey]],strlu_msr_population_or_survey,2,FALSE)</f>
        <v>1</v>
      </c>
      <c r="AK15" s="25">
        <f>VLOOKUP(tblMeasure[[#This Row],[msr_min_geo_resolution]],strlu_msr_min_geo_resolution,2,FALSE)</f>
        <v>1</v>
      </c>
      <c r="AL15" s="25">
        <f>(MAX(tblMeasure[[#This Row],[src_year_last_published]]-2010+1,0)+MIN(2010-tblMeasure[[#This Row],[src_year_first_published]],0)-MAX(tblMeasure[[#This Row],[src_year_last_published]]-2019,0))/10</f>
        <v>0.4</v>
      </c>
      <c r="AM15" s="25">
        <f>IF(OR(tblMeasure[[#This Row],[src_discontinuity]]="None",tblMeasure[[#This Row],[src_discontinuity]]=0),1,0)</f>
        <v>1</v>
      </c>
      <c r="AN15" s="25">
        <f>VLOOKUP(tblMeasure[[#This Row],[src_pub_frequency]],strlu_src_pub_frequency,2,FALSE)</f>
        <v>0.8</v>
      </c>
      <c r="AO15" s="25">
        <f>VLOOKUP(tblMeasure[[#This Row],[src_pub_lag_months]],strlu_src_pub_lag_months,2,FALSE)</f>
        <v>0.3</v>
      </c>
      <c r="AP15" s="25">
        <f>VLOOKUP(tblMeasure[[#This Row],[src_statistic_class]],strlu_src_statistic_class,2,FALSE)</f>
        <v>1</v>
      </c>
      <c r="AQ15" s="25">
        <f>IF(tblMeasure[[#This Row],[src_methodology_url]]="TBD",0,1)</f>
        <v>1</v>
      </c>
      <c r="AR15" s="25">
        <f>IF(tblMeasure[[#This Row],[src_quality_url]]="TBD",0,1)</f>
        <v>1</v>
      </c>
      <c r="AS15" s="85" cm="1">
        <f t="array" ref="AS15">SUMPRODUCT(TRANSPOSE(tblMeasure[[#This Row],[str_msr_population_or_survey]:[str_src_quality_url]]),str_weights)/str_weights_total</f>
        <v>0.82307692307692304</v>
      </c>
    </row>
    <row r="16" spans="1:45" hidden="1" x14ac:dyDescent="0.15">
      <c r="A16" s="30">
        <v>14</v>
      </c>
      <c r="B16" s="15">
        <f>COUNTIF(requirement_measure_map!$D$3:$D$1514,measure!A16)</f>
        <v>4</v>
      </c>
      <c r="C16" s="30" t="s">
        <v>208</v>
      </c>
      <c r="D16" s="15" t="s">
        <v>264</v>
      </c>
      <c r="E16" s="15" t="s">
        <v>265</v>
      </c>
      <c r="F16" s="15" t="s">
        <v>266</v>
      </c>
      <c r="G16" s="29" t="s">
        <v>212</v>
      </c>
      <c r="H16" s="15" t="s">
        <v>228</v>
      </c>
      <c r="I16" s="15" t="s">
        <v>214</v>
      </c>
      <c r="J16" s="15" t="s">
        <v>215</v>
      </c>
      <c r="K16" s="15" t="s">
        <v>232</v>
      </c>
      <c r="L16" s="15" t="s">
        <v>217</v>
      </c>
      <c r="M16" s="15" t="s">
        <v>219</v>
      </c>
      <c r="N16" s="15" t="s">
        <v>219</v>
      </c>
      <c r="O16" s="15" t="s">
        <v>219</v>
      </c>
      <c r="P16" s="15" t="s">
        <v>219</v>
      </c>
      <c r="Q16" s="15" t="s">
        <v>219</v>
      </c>
      <c r="R16" s="15" t="s">
        <v>219</v>
      </c>
      <c r="S16" s="15" t="s">
        <v>219</v>
      </c>
      <c r="T16" s="15" t="s">
        <v>267</v>
      </c>
      <c r="U16" s="15" t="s">
        <v>219</v>
      </c>
      <c r="V16" s="15" t="s">
        <v>219</v>
      </c>
      <c r="W16" s="15">
        <v>1</v>
      </c>
      <c r="X16" s="15" t="str">
        <f>_xlfn.XLOOKUP(tblMeasure[[#This Row],[id_src]],tblSource[id_src],tblSource[org])</f>
        <v>NHS Digital</v>
      </c>
      <c r="Y16" s="15" t="str">
        <f>_xlfn.XLOOKUP(tblMeasure[[#This Row],[id_src]],tblSource[id_src],tblSource[source])</f>
        <v>Adult Social Care Activity and Finance Report</v>
      </c>
      <c r="Z16" s="15" t="str">
        <f>_xlfn.XLOOKUP(tblMeasure[[#This Row],[id_src]],tblSource[id_src],tblSource[url_source])</f>
        <v>https://digital.nhs.uk/data-and-information/publications/statistical/adult-social-care-activity-and-finance-report/2018-19</v>
      </c>
      <c r="AA16" s="15">
        <f>_xlfn.XLOOKUP(tblMeasure[[#This Row],[id_src]],tblSource[id_src],tblSource[year_first_published])</f>
        <v>2016</v>
      </c>
      <c r="AB16" s="15">
        <f>_xlfn.XLOOKUP(tblMeasure[[#This Row],[id_src]],tblSource[id_src],tblSource[year_last_published])</f>
        <v>2019</v>
      </c>
      <c r="AC16" s="15" t="str">
        <f>_xlfn.XLOOKUP(tblMeasure[[#This Row],[id_src]],tblSource[id_src],tblSource[discontinuity])</f>
        <v>None</v>
      </c>
      <c r="AD16" s="15" t="str">
        <f>_xlfn.XLOOKUP(tblMeasure[[#This Row],[id_src]],tblSource[id_src],tblSource[publication_frequency])</f>
        <v>Annual</v>
      </c>
      <c r="AE16" s="15">
        <f>_xlfn.XLOOKUP(tblMeasure[[#This Row],[id_src]],tblSource[id_src],tblSource[publication_lag_months])</f>
        <v>7</v>
      </c>
      <c r="AF16" s="25" t="str">
        <f>_xlfn.XLOOKUP(tblMeasure[[#This Row],[id_src]],tblSource[id_src],tblSource[data_providers])</f>
        <v>LA</v>
      </c>
      <c r="AG16" s="25" t="str">
        <f>_xlfn.XLOOKUP(tblMeasure[[#This Row],[id_src]],tblSource[id_src],tblSource[statistic_class])</f>
        <v>National (ASC-FR) + Official (SALT)</v>
      </c>
      <c r="AH16" s="25" t="str">
        <f>_xlfn.XLOOKUP(tblMeasure[[#This Row],[id_src]],tblSource[id_src],tblSource[methodology_link])</f>
        <v>https://digital.nhs.uk/data-and-information/publications/statistical/adult-social-care-activity-and-finance-report/2018-19/data-quality-statement</v>
      </c>
      <c r="AI16" s="25" t="str">
        <f>_xlfn.XLOOKUP(tblMeasure[[#This Row],[id_src]],tblSource[id_src],tblSource[quality_issues])</f>
        <v>https://digital.nhs.uk/data-and-information/publications/statistical/adult-social-care-activity-and-finance-report/2018-19/data-quality-statement#accuracy-and-reliability</v>
      </c>
      <c r="AJ16" s="25">
        <f>VLOOKUP(tblMeasure[[#This Row],[msr_population_or_survey]],strlu_msr_population_or_survey,2,FALSE)</f>
        <v>1</v>
      </c>
      <c r="AK16" s="25">
        <f>VLOOKUP(tblMeasure[[#This Row],[msr_min_geo_resolution]],strlu_msr_min_geo_resolution,2,FALSE)</f>
        <v>1</v>
      </c>
      <c r="AL16" s="25">
        <f>(MAX(tblMeasure[[#This Row],[src_year_last_published]]-2010+1,0)+MIN(2010-tblMeasure[[#This Row],[src_year_first_published]],0)-MAX(tblMeasure[[#This Row],[src_year_last_published]]-2019,0))/10</f>
        <v>0.4</v>
      </c>
      <c r="AM16" s="25">
        <f>IF(OR(tblMeasure[[#This Row],[src_discontinuity]]="None",tblMeasure[[#This Row],[src_discontinuity]]=0),1,0)</f>
        <v>1</v>
      </c>
      <c r="AN16" s="25">
        <f>VLOOKUP(tblMeasure[[#This Row],[src_pub_frequency]],strlu_src_pub_frequency,2,FALSE)</f>
        <v>0.8</v>
      </c>
      <c r="AO16" s="25">
        <f>VLOOKUP(tblMeasure[[#This Row],[src_pub_lag_months]],strlu_src_pub_lag_months,2,FALSE)</f>
        <v>0.3</v>
      </c>
      <c r="AP16" s="25">
        <f>VLOOKUP(tblMeasure[[#This Row],[src_statistic_class]],strlu_src_statistic_class,2,FALSE)</f>
        <v>1</v>
      </c>
      <c r="AQ16" s="25">
        <f>IF(tblMeasure[[#This Row],[src_methodology_url]]="TBD",0,1)</f>
        <v>1</v>
      </c>
      <c r="AR16" s="25">
        <f>IF(tblMeasure[[#This Row],[src_quality_url]]="TBD",0,1)</f>
        <v>1</v>
      </c>
      <c r="AS16" s="85" cm="1">
        <f t="array" ref="AS16">SUMPRODUCT(TRANSPOSE(tblMeasure[[#This Row],[str_msr_population_or_survey]:[str_src_quality_url]]),str_weights)/str_weights_total</f>
        <v>0.82307692307692304</v>
      </c>
    </row>
    <row r="17" spans="1:45" hidden="1" x14ac:dyDescent="0.15">
      <c r="A17" s="30">
        <v>15</v>
      </c>
      <c r="B17" s="15">
        <f>COUNTIF(requirement_measure_map!$D$3:$D$1514,measure!A17)</f>
        <v>0</v>
      </c>
      <c r="C17" s="30" t="s">
        <v>221</v>
      </c>
      <c r="D17" s="15" t="s">
        <v>264</v>
      </c>
      <c r="E17" s="15" t="s">
        <v>268</v>
      </c>
      <c r="F17" s="15" t="s">
        <v>269</v>
      </c>
      <c r="G17" s="29" t="s">
        <v>212</v>
      </c>
      <c r="H17" s="15" t="s">
        <v>228</v>
      </c>
      <c r="I17" s="15" t="s">
        <v>214</v>
      </c>
      <c r="J17" s="15" t="s">
        <v>215</v>
      </c>
      <c r="K17" s="15" t="s">
        <v>232</v>
      </c>
      <c r="L17" s="15" t="s">
        <v>217</v>
      </c>
      <c r="M17" s="15" t="s">
        <v>219</v>
      </c>
      <c r="N17" s="15" t="s">
        <v>219</v>
      </c>
      <c r="O17" s="15" t="s">
        <v>219</v>
      </c>
      <c r="P17" s="15" t="s">
        <v>219</v>
      </c>
      <c r="Q17" s="15" t="s">
        <v>219</v>
      </c>
      <c r="R17" s="15" t="s">
        <v>219</v>
      </c>
      <c r="S17" s="15" t="s">
        <v>219</v>
      </c>
      <c r="T17" s="15" t="s">
        <v>267</v>
      </c>
      <c r="U17" s="15" t="s">
        <v>219</v>
      </c>
      <c r="V17" s="15" t="s">
        <v>219</v>
      </c>
      <c r="W17" s="15">
        <v>1</v>
      </c>
      <c r="X17" s="15" t="str">
        <f>_xlfn.XLOOKUP(tblMeasure[[#This Row],[id_src]],tblSource[id_src],tblSource[org])</f>
        <v>NHS Digital</v>
      </c>
      <c r="Y17" s="15" t="str">
        <f>_xlfn.XLOOKUP(tblMeasure[[#This Row],[id_src]],tblSource[id_src],tblSource[source])</f>
        <v>Adult Social Care Activity and Finance Report</v>
      </c>
      <c r="Z17" s="15" t="str">
        <f>_xlfn.XLOOKUP(tblMeasure[[#This Row],[id_src]],tblSource[id_src],tblSource[url_source])</f>
        <v>https://digital.nhs.uk/data-and-information/publications/statistical/adult-social-care-activity-and-finance-report/2018-19</v>
      </c>
      <c r="AA17" s="15">
        <f>_xlfn.XLOOKUP(tblMeasure[[#This Row],[id_src]],tblSource[id_src],tblSource[year_first_published])</f>
        <v>2016</v>
      </c>
      <c r="AB17" s="15">
        <f>_xlfn.XLOOKUP(tblMeasure[[#This Row],[id_src]],tblSource[id_src],tblSource[year_last_published])</f>
        <v>2019</v>
      </c>
      <c r="AC17" s="15" t="str">
        <f>_xlfn.XLOOKUP(tblMeasure[[#This Row],[id_src]],tblSource[id_src],tblSource[discontinuity])</f>
        <v>None</v>
      </c>
      <c r="AD17" s="15" t="str">
        <f>_xlfn.XLOOKUP(tblMeasure[[#This Row],[id_src]],tblSource[id_src],tblSource[publication_frequency])</f>
        <v>Annual</v>
      </c>
      <c r="AE17" s="15">
        <f>_xlfn.XLOOKUP(tblMeasure[[#This Row],[id_src]],tblSource[id_src],tblSource[publication_lag_months])</f>
        <v>7</v>
      </c>
      <c r="AF17" s="25" t="str">
        <f>_xlfn.XLOOKUP(tblMeasure[[#This Row],[id_src]],tblSource[id_src],tblSource[data_providers])</f>
        <v>LA</v>
      </c>
      <c r="AG17" s="25" t="str">
        <f>_xlfn.XLOOKUP(tblMeasure[[#This Row],[id_src]],tblSource[id_src],tblSource[statistic_class])</f>
        <v>National (ASC-FR) + Official (SALT)</v>
      </c>
      <c r="AH17" s="25" t="str">
        <f>_xlfn.XLOOKUP(tblMeasure[[#This Row],[id_src]],tblSource[id_src],tblSource[methodology_link])</f>
        <v>https://digital.nhs.uk/data-and-information/publications/statistical/adult-social-care-activity-and-finance-report/2018-19/data-quality-statement</v>
      </c>
      <c r="AI17" s="25" t="str">
        <f>_xlfn.XLOOKUP(tblMeasure[[#This Row],[id_src]],tblSource[id_src],tblSource[quality_issues])</f>
        <v>https://digital.nhs.uk/data-and-information/publications/statistical/adult-social-care-activity-and-finance-report/2018-19/data-quality-statement#accuracy-and-reliability</v>
      </c>
      <c r="AJ17" s="25">
        <f>VLOOKUP(tblMeasure[[#This Row],[msr_population_or_survey]],strlu_msr_population_or_survey,2,FALSE)</f>
        <v>1</v>
      </c>
      <c r="AK17" s="25">
        <f>VLOOKUP(tblMeasure[[#This Row],[msr_min_geo_resolution]],strlu_msr_min_geo_resolution,2,FALSE)</f>
        <v>1</v>
      </c>
      <c r="AL17" s="25">
        <f>(MAX(tblMeasure[[#This Row],[src_year_last_published]]-2010+1,0)+MIN(2010-tblMeasure[[#This Row],[src_year_first_published]],0)-MAX(tblMeasure[[#This Row],[src_year_last_published]]-2019,0))/10</f>
        <v>0.4</v>
      </c>
      <c r="AM17" s="25">
        <f>IF(OR(tblMeasure[[#This Row],[src_discontinuity]]="None",tblMeasure[[#This Row],[src_discontinuity]]=0),1,0)</f>
        <v>1</v>
      </c>
      <c r="AN17" s="25">
        <f>VLOOKUP(tblMeasure[[#This Row],[src_pub_frequency]],strlu_src_pub_frequency,2,FALSE)</f>
        <v>0.8</v>
      </c>
      <c r="AO17" s="25">
        <f>VLOOKUP(tblMeasure[[#This Row],[src_pub_lag_months]],strlu_src_pub_lag_months,2,FALSE)</f>
        <v>0.3</v>
      </c>
      <c r="AP17" s="25">
        <f>VLOOKUP(tblMeasure[[#This Row],[src_statistic_class]],strlu_src_statistic_class,2,FALSE)</f>
        <v>1</v>
      </c>
      <c r="AQ17" s="25">
        <f>IF(tblMeasure[[#This Row],[src_methodology_url]]="TBD",0,1)</f>
        <v>1</v>
      </c>
      <c r="AR17" s="25">
        <f>IF(tblMeasure[[#This Row],[src_quality_url]]="TBD",0,1)</f>
        <v>1</v>
      </c>
      <c r="AS17" s="85" cm="1">
        <f t="array" ref="AS17">SUMPRODUCT(TRANSPOSE(tblMeasure[[#This Row],[str_msr_population_or_survey]:[str_src_quality_url]]),str_weights)/str_weights_total</f>
        <v>0.82307692307692304</v>
      </c>
    </row>
    <row r="18" spans="1:45" hidden="1" x14ac:dyDescent="0.15">
      <c r="A18" s="30">
        <v>16</v>
      </c>
      <c r="B18" s="15">
        <f>COUNTIF(requirement_measure_map!$D$3:$D$1514,measure!A18)</f>
        <v>0</v>
      </c>
      <c r="C18" s="30" t="s">
        <v>221</v>
      </c>
      <c r="D18" s="15" t="s">
        <v>264</v>
      </c>
      <c r="E18" s="15" t="s">
        <v>270</v>
      </c>
      <c r="F18" s="15" t="s">
        <v>271</v>
      </c>
      <c r="G18" s="29" t="s">
        <v>212</v>
      </c>
      <c r="H18" s="15" t="s">
        <v>228</v>
      </c>
      <c r="I18" s="15" t="s">
        <v>214</v>
      </c>
      <c r="J18" s="15" t="s">
        <v>215</v>
      </c>
      <c r="K18" s="15" t="s">
        <v>232</v>
      </c>
      <c r="L18" s="15" t="s">
        <v>217</v>
      </c>
      <c r="M18" s="15" t="s">
        <v>219</v>
      </c>
      <c r="N18" s="15" t="s">
        <v>219</v>
      </c>
      <c r="O18" s="15" t="s">
        <v>219</v>
      </c>
      <c r="P18" s="15" t="s">
        <v>219</v>
      </c>
      <c r="Q18" s="15" t="s">
        <v>219</v>
      </c>
      <c r="R18" s="15" t="s">
        <v>219</v>
      </c>
      <c r="S18" s="15" t="s">
        <v>219</v>
      </c>
      <c r="T18" s="15" t="s">
        <v>219</v>
      </c>
      <c r="U18" s="15" t="s">
        <v>219</v>
      </c>
      <c r="V18" s="15" t="s">
        <v>219</v>
      </c>
      <c r="W18" s="15">
        <v>1</v>
      </c>
      <c r="X18" s="15" t="str">
        <f>_xlfn.XLOOKUP(tblMeasure[[#This Row],[id_src]],tblSource[id_src],tblSource[org])</f>
        <v>NHS Digital</v>
      </c>
      <c r="Y18" s="15" t="str">
        <f>_xlfn.XLOOKUP(tblMeasure[[#This Row],[id_src]],tblSource[id_src],tblSource[source])</f>
        <v>Adult Social Care Activity and Finance Report</v>
      </c>
      <c r="Z18" s="15" t="str">
        <f>_xlfn.XLOOKUP(tblMeasure[[#This Row],[id_src]],tblSource[id_src],tblSource[url_source])</f>
        <v>https://digital.nhs.uk/data-and-information/publications/statistical/adult-social-care-activity-and-finance-report/2018-19</v>
      </c>
      <c r="AA18" s="15">
        <f>_xlfn.XLOOKUP(tblMeasure[[#This Row],[id_src]],tblSource[id_src],tblSource[year_first_published])</f>
        <v>2016</v>
      </c>
      <c r="AB18" s="15">
        <f>_xlfn.XLOOKUP(tblMeasure[[#This Row],[id_src]],tblSource[id_src],tblSource[year_last_published])</f>
        <v>2019</v>
      </c>
      <c r="AC18" s="15" t="str">
        <f>_xlfn.XLOOKUP(tblMeasure[[#This Row],[id_src]],tblSource[id_src],tblSource[discontinuity])</f>
        <v>None</v>
      </c>
      <c r="AD18" s="15" t="str">
        <f>_xlfn.XLOOKUP(tblMeasure[[#This Row],[id_src]],tblSource[id_src],tblSource[publication_frequency])</f>
        <v>Annual</v>
      </c>
      <c r="AE18" s="15">
        <f>_xlfn.XLOOKUP(tblMeasure[[#This Row],[id_src]],tblSource[id_src],tblSource[publication_lag_months])</f>
        <v>7</v>
      </c>
      <c r="AF18" s="25" t="str">
        <f>_xlfn.XLOOKUP(tblMeasure[[#This Row],[id_src]],tblSource[id_src],tblSource[data_providers])</f>
        <v>LA</v>
      </c>
      <c r="AG18" s="25" t="str">
        <f>_xlfn.XLOOKUP(tblMeasure[[#This Row],[id_src]],tblSource[id_src],tblSource[statistic_class])</f>
        <v>National (ASC-FR) + Official (SALT)</v>
      </c>
      <c r="AH18" s="25" t="str">
        <f>_xlfn.XLOOKUP(tblMeasure[[#This Row],[id_src]],tblSource[id_src],tblSource[methodology_link])</f>
        <v>https://digital.nhs.uk/data-and-information/publications/statistical/adult-social-care-activity-and-finance-report/2018-19/data-quality-statement</v>
      </c>
      <c r="AI18" s="25" t="str">
        <f>_xlfn.XLOOKUP(tblMeasure[[#This Row],[id_src]],tblSource[id_src],tblSource[quality_issues])</f>
        <v>https://digital.nhs.uk/data-and-information/publications/statistical/adult-social-care-activity-and-finance-report/2018-19/data-quality-statement#accuracy-and-reliability</v>
      </c>
      <c r="AJ18" s="25">
        <f>VLOOKUP(tblMeasure[[#This Row],[msr_population_or_survey]],strlu_msr_population_or_survey,2,FALSE)</f>
        <v>1</v>
      </c>
      <c r="AK18" s="25">
        <f>VLOOKUP(tblMeasure[[#This Row],[msr_min_geo_resolution]],strlu_msr_min_geo_resolution,2,FALSE)</f>
        <v>1</v>
      </c>
      <c r="AL18" s="25">
        <f>(MAX(tblMeasure[[#This Row],[src_year_last_published]]-2010+1,0)+MIN(2010-tblMeasure[[#This Row],[src_year_first_published]],0)-MAX(tblMeasure[[#This Row],[src_year_last_published]]-2019,0))/10</f>
        <v>0.4</v>
      </c>
      <c r="AM18" s="25">
        <f>IF(OR(tblMeasure[[#This Row],[src_discontinuity]]="None",tblMeasure[[#This Row],[src_discontinuity]]=0),1,0)</f>
        <v>1</v>
      </c>
      <c r="AN18" s="25">
        <f>VLOOKUP(tblMeasure[[#This Row],[src_pub_frequency]],strlu_src_pub_frequency,2,FALSE)</f>
        <v>0.8</v>
      </c>
      <c r="AO18" s="25">
        <f>VLOOKUP(tblMeasure[[#This Row],[src_pub_lag_months]],strlu_src_pub_lag_months,2,FALSE)</f>
        <v>0.3</v>
      </c>
      <c r="AP18" s="25">
        <f>VLOOKUP(tblMeasure[[#This Row],[src_statistic_class]],strlu_src_statistic_class,2,FALSE)</f>
        <v>1</v>
      </c>
      <c r="AQ18" s="25">
        <f>IF(tblMeasure[[#This Row],[src_methodology_url]]="TBD",0,1)</f>
        <v>1</v>
      </c>
      <c r="AR18" s="25">
        <f>IF(tblMeasure[[#This Row],[src_quality_url]]="TBD",0,1)</f>
        <v>1</v>
      </c>
      <c r="AS18" s="85" cm="1">
        <f t="array" ref="AS18">SUMPRODUCT(TRANSPOSE(tblMeasure[[#This Row],[str_msr_population_or_survey]:[str_src_quality_url]]),str_weights)/str_weights_total</f>
        <v>0.82307692307692304</v>
      </c>
    </row>
    <row r="19" spans="1:45" hidden="1" x14ac:dyDescent="0.15">
      <c r="A19" s="30">
        <v>17</v>
      </c>
      <c r="B19" s="15">
        <f>COUNTIF(requirement_measure_map!$D$3:$D$1514,measure!A19)</f>
        <v>0</v>
      </c>
      <c r="C19" s="30" t="s">
        <v>221</v>
      </c>
      <c r="D19" s="15" t="s">
        <v>264</v>
      </c>
      <c r="E19" s="15" t="s">
        <v>272</v>
      </c>
      <c r="F19" s="15" t="s">
        <v>273</v>
      </c>
      <c r="G19" s="29" t="s">
        <v>212</v>
      </c>
      <c r="H19" s="15" t="s">
        <v>274</v>
      </c>
      <c r="I19" s="15" t="s">
        <v>214</v>
      </c>
      <c r="J19" s="15" t="s">
        <v>215</v>
      </c>
      <c r="K19" s="15" t="s">
        <v>232</v>
      </c>
      <c r="L19" s="15" t="s">
        <v>217</v>
      </c>
      <c r="M19" s="15" t="s">
        <v>218</v>
      </c>
      <c r="N19" s="15" t="s">
        <v>219</v>
      </c>
      <c r="O19" s="15" t="s">
        <v>219</v>
      </c>
      <c r="P19" s="15" t="s">
        <v>219</v>
      </c>
      <c r="Q19" s="15" t="s">
        <v>219</v>
      </c>
      <c r="R19" s="15" t="s">
        <v>219</v>
      </c>
      <c r="S19" s="15" t="s">
        <v>219</v>
      </c>
      <c r="T19" s="15" t="s">
        <v>218</v>
      </c>
      <c r="U19" s="15" t="s">
        <v>219</v>
      </c>
      <c r="V19" s="15" t="s">
        <v>219</v>
      </c>
      <c r="W19" s="15">
        <v>1</v>
      </c>
      <c r="X19" s="15" t="str">
        <f>_xlfn.XLOOKUP(tblMeasure[[#This Row],[id_src]],tblSource[id_src],tblSource[org])</f>
        <v>NHS Digital</v>
      </c>
      <c r="Y19" s="15" t="str">
        <f>_xlfn.XLOOKUP(tblMeasure[[#This Row],[id_src]],tblSource[id_src],tblSource[source])</f>
        <v>Adult Social Care Activity and Finance Report</v>
      </c>
      <c r="Z19" s="15" t="str">
        <f>_xlfn.XLOOKUP(tblMeasure[[#This Row],[id_src]],tblSource[id_src],tblSource[url_source])</f>
        <v>https://digital.nhs.uk/data-and-information/publications/statistical/adult-social-care-activity-and-finance-report/2018-19</v>
      </c>
      <c r="AA19" s="15">
        <f>_xlfn.XLOOKUP(tblMeasure[[#This Row],[id_src]],tblSource[id_src],tblSource[year_first_published])</f>
        <v>2016</v>
      </c>
      <c r="AB19" s="15">
        <f>_xlfn.XLOOKUP(tblMeasure[[#This Row],[id_src]],tblSource[id_src],tblSource[year_last_published])</f>
        <v>2019</v>
      </c>
      <c r="AC19" s="15" t="str">
        <f>_xlfn.XLOOKUP(tblMeasure[[#This Row],[id_src]],tblSource[id_src],tblSource[discontinuity])</f>
        <v>None</v>
      </c>
      <c r="AD19" s="15" t="str">
        <f>_xlfn.XLOOKUP(tblMeasure[[#This Row],[id_src]],tblSource[id_src],tblSource[publication_frequency])</f>
        <v>Annual</v>
      </c>
      <c r="AE19" s="15">
        <f>_xlfn.XLOOKUP(tblMeasure[[#This Row],[id_src]],tblSource[id_src],tblSource[publication_lag_months])</f>
        <v>7</v>
      </c>
      <c r="AF19" s="25" t="str">
        <f>_xlfn.XLOOKUP(tblMeasure[[#This Row],[id_src]],tblSource[id_src],tblSource[data_providers])</f>
        <v>LA</v>
      </c>
      <c r="AG19" s="25" t="str">
        <f>_xlfn.XLOOKUP(tblMeasure[[#This Row],[id_src]],tblSource[id_src],tblSource[statistic_class])</f>
        <v>National (ASC-FR) + Official (SALT)</v>
      </c>
      <c r="AH19" s="25" t="str">
        <f>_xlfn.XLOOKUP(tblMeasure[[#This Row],[id_src]],tblSource[id_src],tblSource[methodology_link])</f>
        <v>https://digital.nhs.uk/data-and-information/publications/statistical/adult-social-care-activity-and-finance-report/2018-19/data-quality-statement</v>
      </c>
      <c r="AI19" s="25" t="str">
        <f>_xlfn.XLOOKUP(tblMeasure[[#This Row],[id_src]],tblSource[id_src],tblSource[quality_issues])</f>
        <v>https://digital.nhs.uk/data-and-information/publications/statistical/adult-social-care-activity-and-finance-report/2018-19/data-quality-statement#accuracy-and-reliability</v>
      </c>
      <c r="AJ19" s="25">
        <f>VLOOKUP(tblMeasure[[#This Row],[msr_population_or_survey]],strlu_msr_population_or_survey,2,FALSE)</f>
        <v>1</v>
      </c>
      <c r="AK19" s="25">
        <f>VLOOKUP(tblMeasure[[#This Row],[msr_min_geo_resolution]],strlu_msr_min_geo_resolution,2,FALSE)</f>
        <v>1</v>
      </c>
      <c r="AL19" s="25">
        <f>(MAX(tblMeasure[[#This Row],[src_year_last_published]]-2010+1,0)+MIN(2010-tblMeasure[[#This Row],[src_year_first_published]],0)-MAX(tblMeasure[[#This Row],[src_year_last_published]]-2019,0))/10</f>
        <v>0.4</v>
      </c>
      <c r="AM19" s="25">
        <f>IF(OR(tblMeasure[[#This Row],[src_discontinuity]]="None",tblMeasure[[#This Row],[src_discontinuity]]=0),1,0)</f>
        <v>1</v>
      </c>
      <c r="AN19" s="25">
        <f>VLOOKUP(tblMeasure[[#This Row],[src_pub_frequency]],strlu_src_pub_frequency,2,FALSE)</f>
        <v>0.8</v>
      </c>
      <c r="AO19" s="25">
        <f>VLOOKUP(tblMeasure[[#This Row],[src_pub_lag_months]],strlu_src_pub_lag_months,2,FALSE)</f>
        <v>0.3</v>
      </c>
      <c r="AP19" s="25">
        <f>VLOOKUP(tblMeasure[[#This Row],[src_statistic_class]],strlu_src_statistic_class,2,FALSE)</f>
        <v>1</v>
      </c>
      <c r="AQ19" s="25">
        <f>IF(tblMeasure[[#This Row],[src_methodology_url]]="TBD",0,1)</f>
        <v>1</v>
      </c>
      <c r="AR19" s="25">
        <f>IF(tblMeasure[[#This Row],[src_quality_url]]="TBD",0,1)</f>
        <v>1</v>
      </c>
      <c r="AS19" s="85" cm="1">
        <f t="array" ref="AS19">SUMPRODUCT(TRANSPOSE(tblMeasure[[#This Row],[str_msr_population_or_survey]:[str_src_quality_url]]),str_weights)/str_weights_total</f>
        <v>0.82307692307692304</v>
      </c>
    </row>
    <row r="20" spans="1:45" x14ac:dyDescent="0.15">
      <c r="A20" s="30">
        <v>18</v>
      </c>
      <c r="B20" s="15">
        <f>COUNTIF(requirement_measure_map!$D$3:$D$1514,measure!A20)</f>
        <v>0</v>
      </c>
      <c r="C20" s="30" t="s">
        <v>275</v>
      </c>
      <c r="D20" s="15" t="s">
        <v>264</v>
      </c>
      <c r="E20" s="15" t="s">
        <v>276</v>
      </c>
      <c r="F20" s="15" t="s">
        <v>277</v>
      </c>
      <c r="G20" s="29" t="s">
        <v>212</v>
      </c>
      <c r="H20" s="15" t="s">
        <v>274</v>
      </c>
      <c r="I20" s="15" t="s">
        <v>214</v>
      </c>
      <c r="J20" s="15" t="s">
        <v>215</v>
      </c>
      <c r="K20" s="15" t="s">
        <v>232</v>
      </c>
      <c r="L20" s="15" t="s">
        <v>217</v>
      </c>
      <c r="M20" s="15" t="s">
        <v>218</v>
      </c>
      <c r="N20" s="15" t="s">
        <v>219</v>
      </c>
      <c r="O20" s="15" t="s">
        <v>219</v>
      </c>
      <c r="P20" s="15" t="s">
        <v>243</v>
      </c>
      <c r="Q20" s="15" t="s">
        <v>219</v>
      </c>
      <c r="R20" s="15" t="s">
        <v>219</v>
      </c>
      <c r="S20" s="15" t="s">
        <v>219</v>
      </c>
      <c r="T20" s="15" t="s">
        <v>219</v>
      </c>
      <c r="U20" s="15" t="s">
        <v>219</v>
      </c>
      <c r="V20" s="15" t="s">
        <v>219</v>
      </c>
      <c r="W20" s="15">
        <v>1</v>
      </c>
      <c r="X20" s="15" t="str">
        <f>_xlfn.XLOOKUP(tblMeasure[[#This Row],[id_src]],tblSource[id_src],tblSource[org])</f>
        <v>NHS Digital</v>
      </c>
      <c r="Y20" s="15" t="str">
        <f>_xlfn.XLOOKUP(tblMeasure[[#This Row],[id_src]],tblSource[id_src],tblSource[source])</f>
        <v>Adult Social Care Activity and Finance Report</v>
      </c>
      <c r="Z20" s="15" t="str">
        <f>_xlfn.XLOOKUP(tblMeasure[[#This Row],[id_src]],tblSource[id_src],tblSource[url_source])</f>
        <v>https://digital.nhs.uk/data-and-information/publications/statistical/adult-social-care-activity-and-finance-report/2018-19</v>
      </c>
      <c r="AA20" s="15">
        <f>_xlfn.XLOOKUP(tblMeasure[[#This Row],[id_src]],tblSource[id_src],tblSource[year_first_published])</f>
        <v>2016</v>
      </c>
      <c r="AB20" s="15">
        <f>_xlfn.XLOOKUP(tblMeasure[[#This Row],[id_src]],tblSource[id_src],tblSource[year_last_published])</f>
        <v>2019</v>
      </c>
      <c r="AC20" s="15" t="str">
        <f>_xlfn.XLOOKUP(tblMeasure[[#This Row],[id_src]],tblSource[id_src],tblSource[discontinuity])</f>
        <v>None</v>
      </c>
      <c r="AD20" s="15" t="str">
        <f>_xlfn.XLOOKUP(tblMeasure[[#This Row],[id_src]],tblSource[id_src],tblSource[publication_frequency])</f>
        <v>Annual</v>
      </c>
      <c r="AE20" s="15">
        <f>_xlfn.XLOOKUP(tblMeasure[[#This Row],[id_src]],tblSource[id_src],tblSource[publication_lag_months])</f>
        <v>7</v>
      </c>
      <c r="AF20" s="25" t="str">
        <f>_xlfn.XLOOKUP(tblMeasure[[#This Row],[id_src]],tblSource[id_src],tblSource[data_providers])</f>
        <v>LA</v>
      </c>
      <c r="AG20" s="25" t="str">
        <f>_xlfn.XLOOKUP(tblMeasure[[#This Row],[id_src]],tblSource[id_src],tblSource[statistic_class])</f>
        <v>National (ASC-FR) + Official (SALT)</v>
      </c>
      <c r="AH20" s="25" t="str">
        <f>_xlfn.XLOOKUP(tblMeasure[[#This Row],[id_src]],tblSource[id_src],tblSource[methodology_link])</f>
        <v>https://digital.nhs.uk/data-and-information/publications/statistical/adult-social-care-activity-and-finance-report/2018-19/data-quality-statement</v>
      </c>
      <c r="AI20" s="25" t="str">
        <f>_xlfn.XLOOKUP(tblMeasure[[#This Row],[id_src]],tblSource[id_src],tblSource[quality_issues])</f>
        <v>https://digital.nhs.uk/data-and-information/publications/statistical/adult-social-care-activity-and-finance-report/2018-19/data-quality-statement#accuracy-and-reliability</v>
      </c>
      <c r="AJ20" s="25">
        <f>VLOOKUP(tblMeasure[[#This Row],[msr_population_or_survey]],strlu_msr_population_or_survey,2,FALSE)</f>
        <v>1</v>
      </c>
      <c r="AK20" s="25">
        <f>VLOOKUP(tblMeasure[[#This Row],[msr_min_geo_resolution]],strlu_msr_min_geo_resolution,2,FALSE)</f>
        <v>1</v>
      </c>
      <c r="AL20" s="25">
        <f>(MAX(tblMeasure[[#This Row],[src_year_last_published]]-2010+1,0)+MIN(2010-tblMeasure[[#This Row],[src_year_first_published]],0)-MAX(tblMeasure[[#This Row],[src_year_last_published]]-2019,0))/10</f>
        <v>0.4</v>
      </c>
      <c r="AM20" s="25">
        <f>IF(OR(tblMeasure[[#This Row],[src_discontinuity]]="None",tblMeasure[[#This Row],[src_discontinuity]]=0),1,0)</f>
        <v>1</v>
      </c>
      <c r="AN20" s="25">
        <f>VLOOKUP(tblMeasure[[#This Row],[src_pub_frequency]],strlu_src_pub_frequency,2,FALSE)</f>
        <v>0.8</v>
      </c>
      <c r="AO20" s="25">
        <f>VLOOKUP(tblMeasure[[#This Row],[src_pub_lag_months]],strlu_src_pub_lag_months,2,FALSE)</f>
        <v>0.3</v>
      </c>
      <c r="AP20" s="25">
        <f>VLOOKUP(tblMeasure[[#This Row],[src_statistic_class]],strlu_src_statistic_class,2,FALSE)</f>
        <v>1</v>
      </c>
      <c r="AQ20" s="25">
        <f>IF(tblMeasure[[#This Row],[src_methodology_url]]="TBD",0,1)</f>
        <v>1</v>
      </c>
      <c r="AR20" s="25">
        <f>IF(tblMeasure[[#This Row],[src_quality_url]]="TBD",0,1)</f>
        <v>1</v>
      </c>
      <c r="AS20" s="85" cm="1">
        <f t="array" ref="AS20">SUMPRODUCT(TRANSPOSE(tblMeasure[[#This Row],[str_msr_population_or_survey]:[str_src_quality_url]]),str_weights)/str_weights_total</f>
        <v>0.82307692307692304</v>
      </c>
    </row>
    <row r="21" spans="1:45" x14ac:dyDescent="0.15">
      <c r="A21" s="30">
        <v>19</v>
      </c>
      <c r="B21" s="15">
        <f>COUNTIF(requirement_measure_map!$D$3:$D$1514,measure!A21)</f>
        <v>5</v>
      </c>
      <c r="C21" s="30" t="s">
        <v>208</v>
      </c>
      <c r="D21" s="15" t="s">
        <v>264</v>
      </c>
      <c r="E21" s="15" t="s">
        <v>278</v>
      </c>
      <c r="F21" s="15" t="s">
        <v>279</v>
      </c>
      <c r="G21" s="29" t="s">
        <v>212</v>
      </c>
      <c r="H21" s="15" t="s">
        <v>274</v>
      </c>
      <c r="I21" s="15" t="s">
        <v>214</v>
      </c>
      <c r="J21" s="15" t="s">
        <v>215</v>
      </c>
      <c r="K21" s="15" t="s">
        <v>232</v>
      </c>
      <c r="L21" s="15" t="s">
        <v>217</v>
      </c>
      <c r="M21" s="15" t="s">
        <v>220</v>
      </c>
      <c r="N21" s="15" t="s">
        <v>219</v>
      </c>
      <c r="O21" s="15" t="s">
        <v>219</v>
      </c>
      <c r="P21" s="15" t="s">
        <v>243</v>
      </c>
      <c r="Q21" s="15" t="s">
        <v>219</v>
      </c>
      <c r="R21" s="15" t="s">
        <v>219</v>
      </c>
      <c r="S21" s="15" t="s">
        <v>219</v>
      </c>
      <c r="T21" s="15" t="s">
        <v>218</v>
      </c>
      <c r="U21" s="15" t="s">
        <v>219</v>
      </c>
      <c r="V21" s="15" t="s">
        <v>219</v>
      </c>
      <c r="W21" s="15">
        <v>1</v>
      </c>
      <c r="X21" s="15" t="str">
        <f>_xlfn.XLOOKUP(tblMeasure[[#This Row],[id_src]],tblSource[id_src],tblSource[org])</f>
        <v>NHS Digital</v>
      </c>
      <c r="Y21" s="15" t="str">
        <f>_xlfn.XLOOKUP(tblMeasure[[#This Row],[id_src]],tblSource[id_src],tblSource[source])</f>
        <v>Adult Social Care Activity and Finance Report</v>
      </c>
      <c r="Z21" s="15" t="str">
        <f>_xlfn.XLOOKUP(tblMeasure[[#This Row],[id_src]],tblSource[id_src],tblSource[url_source])</f>
        <v>https://digital.nhs.uk/data-and-information/publications/statistical/adult-social-care-activity-and-finance-report/2018-19</v>
      </c>
      <c r="AA21" s="15">
        <f>_xlfn.XLOOKUP(tblMeasure[[#This Row],[id_src]],tblSource[id_src],tblSource[year_first_published])</f>
        <v>2016</v>
      </c>
      <c r="AB21" s="15">
        <f>_xlfn.XLOOKUP(tblMeasure[[#This Row],[id_src]],tblSource[id_src],tblSource[year_last_published])</f>
        <v>2019</v>
      </c>
      <c r="AC21" s="15" t="str">
        <f>_xlfn.XLOOKUP(tblMeasure[[#This Row],[id_src]],tblSource[id_src],tblSource[discontinuity])</f>
        <v>None</v>
      </c>
      <c r="AD21" s="15" t="str">
        <f>_xlfn.XLOOKUP(tblMeasure[[#This Row],[id_src]],tblSource[id_src],tblSource[publication_frequency])</f>
        <v>Annual</v>
      </c>
      <c r="AE21" s="15">
        <f>_xlfn.XLOOKUP(tblMeasure[[#This Row],[id_src]],tblSource[id_src],tblSource[publication_lag_months])</f>
        <v>7</v>
      </c>
      <c r="AF21" s="25" t="str">
        <f>_xlfn.XLOOKUP(tblMeasure[[#This Row],[id_src]],tblSource[id_src],tblSource[data_providers])</f>
        <v>LA</v>
      </c>
      <c r="AG21" s="25" t="str">
        <f>_xlfn.XLOOKUP(tblMeasure[[#This Row],[id_src]],tblSource[id_src],tblSource[statistic_class])</f>
        <v>National (ASC-FR) + Official (SALT)</v>
      </c>
      <c r="AH21" s="25" t="str">
        <f>_xlfn.XLOOKUP(tblMeasure[[#This Row],[id_src]],tblSource[id_src],tblSource[methodology_link])</f>
        <v>https://digital.nhs.uk/data-and-information/publications/statistical/adult-social-care-activity-and-finance-report/2018-19/data-quality-statement</v>
      </c>
      <c r="AI21" s="25" t="str">
        <f>_xlfn.XLOOKUP(tblMeasure[[#This Row],[id_src]],tblSource[id_src],tblSource[quality_issues])</f>
        <v>https://digital.nhs.uk/data-and-information/publications/statistical/adult-social-care-activity-and-finance-report/2018-19/data-quality-statement#accuracy-and-reliability</v>
      </c>
      <c r="AJ21" s="25">
        <f>VLOOKUP(tblMeasure[[#This Row],[msr_population_or_survey]],strlu_msr_population_or_survey,2,FALSE)</f>
        <v>1</v>
      </c>
      <c r="AK21" s="25">
        <f>VLOOKUP(tblMeasure[[#This Row],[msr_min_geo_resolution]],strlu_msr_min_geo_resolution,2,FALSE)</f>
        <v>1</v>
      </c>
      <c r="AL21" s="25">
        <f>(MAX(tblMeasure[[#This Row],[src_year_last_published]]-2010+1,0)+MIN(2010-tblMeasure[[#This Row],[src_year_first_published]],0)-MAX(tblMeasure[[#This Row],[src_year_last_published]]-2019,0))/10</f>
        <v>0.4</v>
      </c>
      <c r="AM21" s="25">
        <f>IF(OR(tblMeasure[[#This Row],[src_discontinuity]]="None",tblMeasure[[#This Row],[src_discontinuity]]=0),1,0)</f>
        <v>1</v>
      </c>
      <c r="AN21" s="25">
        <f>VLOOKUP(tblMeasure[[#This Row],[src_pub_frequency]],strlu_src_pub_frequency,2,FALSE)</f>
        <v>0.8</v>
      </c>
      <c r="AO21" s="25">
        <f>VLOOKUP(tblMeasure[[#This Row],[src_pub_lag_months]],strlu_src_pub_lag_months,2,FALSE)</f>
        <v>0.3</v>
      </c>
      <c r="AP21" s="25">
        <f>VLOOKUP(tblMeasure[[#This Row],[src_statistic_class]],strlu_src_statistic_class,2,FALSE)</f>
        <v>1</v>
      </c>
      <c r="AQ21" s="25">
        <f>IF(tblMeasure[[#This Row],[src_methodology_url]]="TBD",0,1)</f>
        <v>1</v>
      </c>
      <c r="AR21" s="25">
        <f>IF(tblMeasure[[#This Row],[src_quality_url]]="TBD",0,1)</f>
        <v>1</v>
      </c>
      <c r="AS21" s="85" cm="1">
        <f t="array" ref="AS21">SUMPRODUCT(TRANSPOSE(tblMeasure[[#This Row],[str_msr_population_or_survey]:[str_src_quality_url]]),str_weights)/str_weights_total</f>
        <v>0.82307692307692304</v>
      </c>
    </row>
    <row r="22" spans="1:45" x14ac:dyDescent="0.15">
      <c r="A22" s="30">
        <v>20</v>
      </c>
      <c r="B22" s="15">
        <f>COUNTIF(requirement_measure_map!$D$3:$D$1514,measure!A22)</f>
        <v>5</v>
      </c>
      <c r="C22" s="30" t="s">
        <v>208</v>
      </c>
      <c r="D22" s="15" t="s">
        <v>264</v>
      </c>
      <c r="E22" s="15" t="s">
        <v>280</v>
      </c>
      <c r="F22" s="15" t="s">
        <v>281</v>
      </c>
      <c r="G22" s="29" t="s">
        <v>212</v>
      </c>
      <c r="H22" s="15" t="s">
        <v>274</v>
      </c>
      <c r="I22" s="15" t="s">
        <v>214</v>
      </c>
      <c r="J22" s="15" t="s">
        <v>215</v>
      </c>
      <c r="K22" s="15" t="s">
        <v>232</v>
      </c>
      <c r="L22" s="15" t="s">
        <v>217</v>
      </c>
      <c r="M22" s="15" t="s">
        <v>220</v>
      </c>
      <c r="N22" s="15" t="s">
        <v>219</v>
      </c>
      <c r="O22" s="15" t="s">
        <v>219</v>
      </c>
      <c r="P22" s="15" t="s">
        <v>243</v>
      </c>
      <c r="Q22" s="15" t="s">
        <v>219</v>
      </c>
      <c r="R22" s="15" t="s">
        <v>219</v>
      </c>
      <c r="S22" s="15" t="s">
        <v>219</v>
      </c>
      <c r="T22" s="15" t="s">
        <v>218</v>
      </c>
      <c r="U22" s="15" t="s">
        <v>219</v>
      </c>
      <c r="V22" s="15" t="s">
        <v>219</v>
      </c>
      <c r="W22" s="15">
        <v>1</v>
      </c>
      <c r="X22" s="15" t="str">
        <f>_xlfn.XLOOKUP(tblMeasure[[#This Row],[id_src]],tblSource[id_src],tblSource[org])</f>
        <v>NHS Digital</v>
      </c>
      <c r="Y22" s="15" t="str">
        <f>_xlfn.XLOOKUP(tblMeasure[[#This Row],[id_src]],tblSource[id_src],tblSource[source])</f>
        <v>Adult Social Care Activity and Finance Report</v>
      </c>
      <c r="Z22" s="15" t="str">
        <f>_xlfn.XLOOKUP(tblMeasure[[#This Row],[id_src]],tblSource[id_src],tblSource[url_source])</f>
        <v>https://digital.nhs.uk/data-and-information/publications/statistical/adult-social-care-activity-and-finance-report/2018-19</v>
      </c>
      <c r="AA22" s="15">
        <f>_xlfn.XLOOKUP(tblMeasure[[#This Row],[id_src]],tblSource[id_src],tblSource[year_first_published])</f>
        <v>2016</v>
      </c>
      <c r="AB22" s="15">
        <f>_xlfn.XLOOKUP(tblMeasure[[#This Row],[id_src]],tblSource[id_src],tblSource[year_last_published])</f>
        <v>2019</v>
      </c>
      <c r="AC22" s="15" t="str">
        <f>_xlfn.XLOOKUP(tblMeasure[[#This Row],[id_src]],tblSource[id_src],tblSource[discontinuity])</f>
        <v>None</v>
      </c>
      <c r="AD22" s="15" t="str">
        <f>_xlfn.XLOOKUP(tblMeasure[[#This Row],[id_src]],tblSource[id_src],tblSource[publication_frequency])</f>
        <v>Annual</v>
      </c>
      <c r="AE22" s="15">
        <f>_xlfn.XLOOKUP(tblMeasure[[#This Row],[id_src]],tblSource[id_src],tblSource[publication_lag_months])</f>
        <v>7</v>
      </c>
      <c r="AF22" s="25" t="str">
        <f>_xlfn.XLOOKUP(tblMeasure[[#This Row],[id_src]],tblSource[id_src],tblSource[data_providers])</f>
        <v>LA</v>
      </c>
      <c r="AG22" s="25" t="str">
        <f>_xlfn.XLOOKUP(tblMeasure[[#This Row],[id_src]],tblSource[id_src],tblSource[statistic_class])</f>
        <v>National (ASC-FR) + Official (SALT)</v>
      </c>
      <c r="AH22" s="25" t="str">
        <f>_xlfn.XLOOKUP(tblMeasure[[#This Row],[id_src]],tblSource[id_src],tblSource[methodology_link])</f>
        <v>https://digital.nhs.uk/data-and-information/publications/statistical/adult-social-care-activity-and-finance-report/2018-19/data-quality-statement</v>
      </c>
      <c r="AI22" s="25" t="str">
        <f>_xlfn.XLOOKUP(tblMeasure[[#This Row],[id_src]],tblSource[id_src],tblSource[quality_issues])</f>
        <v>https://digital.nhs.uk/data-and-information/publications/statistical/adult-social-care-activity-and-finance-report/2018-19/data-quality-statement#accuracy-and-reliability</v>
      </c>
      <c r="AJ22" s="25">
        <f>VLOOKUP(tblMeasure[[#This Row],[msr_population_or_survey]],strlu_msr_population_or_survey,2,FALSE)</f>
        <v>1</v>
      </c>
      <c r="AK22" s="25">
        <f>VLOOKUP(tblMeasure[[#This Row],[msr_min_geo_resolution]],strlu_msr_min_geo_resolution,2,FALSE)</f>
        <v>1</v>
      </c>
      <c r="AL22" s="25">
        <f>(MAX(tblMeasure[[#This Row],[src_year_last_published]]-2010+1,0)+MIN(2010-tblMeasure[[#This Row],[src_year_first_published]],0)-MAX(tblMeasure[[#This Row],[src_year_last_published]]-2019,0))/10</f>
        <v>0.4</v>
      </c>
      <c r="AM22" s="25">
        <f>IF(OR(tblMeasure[[#This Row],[src_discontinuity]]="None",tblMeasure[[#This Row],[src_discontinuity]]=0),1,0)</f>
        <v>1</v>
      </c>
      <c r="AN22" s="25">
        <f>VLOOKUP(tblMeasure[[#This Row],[src_pub_frequency]],strlu_src_pub_frequency,2,FALSE)</f>
        <v>0.8</v>
      </c>
      <c r="AO22" s="25">
        <f>VLOOKUP(tblMeasure[[#This Row],[src_pub_lag_months]],strlu_src_pub_lag_months,2,FALSE)</f>
        <v>0.3</v>
      </c>
      <c r="AP22" s="25">
        <f>VLOOKUP(tblMeasure[[#This Row],[src_statistic_class]],strlu_src_statistic_class,2,FALSE)</f>
        <v>1</v>
      </c>
      <c r="AQ22" s="25">
        <f>IF(tblMeasure[[#This Row],[src_methodology_url]]="TBD",0,1)</f>
        <v>1</v>
      </c>
      <c r="AR22" s="25">
        <f>IF(tblMeasure[[#This Row],[src_quality_url]]="TBD",0,1)</f>
        <v>1</v>
      </c>
      <c r="AS22" s="85" cm="1">
        <f t="array" ref="AS22">SUMPRODUCT(TRANSPOSE(tblMeasure[[#This Row],[str_msr_population_or_survey]:[str_src_quality_url]]),str_weights)/str_weights_total</f>
        <v>0.82307692307692304</v>
      </c>
    </row>
    <row r="23" spans="1:45" hidden="1" x14ac:dyDescent="0.15">
      <c r="A23" s="30">
        <v>21</v>
      </c>
      <c r="B23" s="15">
        <f>COUNTIF(requirement_measure_map!$D$3:$D$1514,measure!A23)</f>
        <v>3</v>
      </c>
      <c r="C23" s="30" t="s">
        <v>208</v>
      </c>
      <c r="D23" s="15" t="s">
        <v>282</v>
      </c>
      <c r="E23" s="15" t="s">
        <v>283</v>
      </c>
      <c r="F23" s="15" t="s">
        <v>284</v>
      </c>
      <c r="G23" s="29" t="s">
        <v>212</v>
      </c>
      <c r="H23" s="15" t="s">
        <v>285</v>
      </c>
      <c r="I23" s="15" t="s">
        <v>214</v>
      </c>
      <c r="J23" s="15" t="s">
        <v>215</v>
      </c>
      <c r="K23" s="15" t="s">
        <v>286</v>
      </c>
      <c r="L23" s="15" t="s">
        <v>287</v>
      </c>
      <c r="M23" s="15" t="s">
        <v>218</v>
      </c>
      <c r="N23" s="15" t="s">
        <v>219</v>
      </c>
      <c r="O23" s="15" t="s">
        <v>219</v>
      </c>
      <c r="P23" s="15" t="s">
        <v>219</v>
      </c>
      <c r="Q23" s="15" t="s">
        <v>219</v>
      </c>
      <c r="R23" s="15" t="s">
        <v>219</v>
      </c>
      <c r="S23" s="15" t="s">
        <v>219</v>
      </c>
      <c r="T23" s="15" t="s">
        <v>220</v>
      </c>
      <c r="U23" s="15" t="s">
        <v>219</v>
      </c>
      <c r="V23" s="15" t="s">
        <v>219</v>
      </c>
      <c r="W23" s="15">
        <v>1</v>
      </c>
      <c r="X23" s="15" t="str">
        <f>_xlfn.XLOOKUP(tblMeasure[[#This Row],[id_src]],tblSource[id_src],tblSource[org])</f>
        <v>NHS Digital</v>
      </c>
      <c r="Y23" s="15" t="str">
        <f>_xlfn.XLOOKUP(tblMeasure[[#This Row],[id_src]],tblSource[id_src],tblSource[source])</f>
        <v>Adult Social Care Activity and Finance Report</v>
      </c>
      <c r="Z23" s="15" t="str">
        <f>_xlfn.XLOOKUP(tblMeasure[[#This Row],[id_src]],tblSource[id_src],tblSource[url_source])</f>
        <v>https://digital.nhs.uk/data-and-information/publications/statistical/adult-social-care-activity-and-finance-report/2018-19</v>
      </c>
      <c r="AA23" s="15">
        <f>_xlfn.XLOOKUP(tblMeasure[[#This Row],[id_src]],tblSource[id_src],tblSource[year_first_published])</f>
        <v>2016</v>
      </c>
      <c r="AB23" s="15">
        <f>_xlfn.XLOOKUP(tblMeasure[[#This Row],[id_src]],tblSource[id_src],tblSource[year_last_published])</f>
        <v>2019</v>
      </c>
      <c r="AC23" s="15" t="str">
        <f>_xlfn.XLOOKUP(tblMeasure[[#This Row],[id_src]],tblSource[id_src],tblSource[discontinuity])</f>
        <v>None</v>
      </c>
      <c r="AD23" s="15" t="str">
        <f>_xlfn.XLOOKUP(tblMeasure[[#This Row],[id_src]],tblSource[id_src],tblSource[publication_frequency])</f>
        <v>Annual</v>
      </c>
      <c r="AE23" s="15">
        <f>_xlfn.XLOOKUP(tblMeasure[[#This Row],[id_src]],tblSource[id_src],tblSource[publication_lag_months])</f>
        <v>7</v>
      </c>
      <c r="AF23" s="25" t="str">
        <f>_xlfn.XLOOKUP(tblMeasure[[#This Row],[id_src]],tblSource[id_src],tblSource[data_providers])</f>
        <v>LA</v>
      </c>
      <c r="AG23" s="25" t="str">
        <f>_xlfn.XLOOKUP(tblMeasure[[#This Row],[id_src]],tblSource[id_src],tblSource[statistic_class])</f>
        <v>National (ASC-FR) + Official (SALT)</v>
      </c>
      <c r="AH23" s="25" t="str">
        <f>_xlfn.XLOOKUP(tblMeasure[[#This Row],[id_src]],tblSource[id_src],tblSource[methodology_link])</f>
        <v>https://digital.nhs.uk/data-and-information/publications/statistical/adult-social-care-activity-and-finance-report/2018-19/data-quality-statement</v>
      </c>
      <c r="AI23" s="25" t="str">
        <f>_xlfn.XLOOKUP(tblMeasure[[#This Row],[id_src]],tblSource[id_src],tblSource[quality_issues])</f>
        <v>https://digital.nhs.uk/data-and-information/publications/statistical/adult-social-care-activity-and-finance-report/2018-19/data-quality-statement#accuracy-and-reliability</v>
      </c>
      <c r="AJ23" s="25">
        <f>VLOOKUP(tblMeasure[[#This Row],[msr_population_or_survey]],strlu_msr_population_or_survey,2,FALSE)</f>
        <v>1</v>
      </c>
      <c r="AK23" s="25">
        <f>VLOOKUP(tblMeasure[[#This Row],[msr_min_geo_resolution]],strlu_msr_min_geo_resolution,2,FALSE)</f>
        <v>0.5</v>
      </c>
      <c r="AL23" s="25">
        <f>(MAX(tblMeasure[[#This Row],[src_year_last_published]]-2010+1,0)+MIN(2010-tblMeasure[[#This Row],[src_year_first_published]],0)-MAX(tblMeasure[[#This Row],[src_year_last_published]]-2019,0))/10</f>
        <v>0.4</v>
      </c>
      <c r="AM23" s="25">
        <f>IF(OR(tblMeasure[[#This Row],[src_discontinuity]]="None",tblMeasure[[#This Row],[src_discontinuity]]=0),1,0)</f>
        <v>1</v>
      </c>
      <c r="AN23" s="25">
        <f>VLOOKUP(tblMeasure[[#This Row],[src_pub_frequency]],strlu_src_pub_frequency,2,FALSE)</f>
        <v>0.8</v>
      </c>
      <c r="AO23" s="25">
        <f>VLOOKUP(tblMeasure[[#This Row],[src_pub_lag_months]],strlu_src_pub_lag_months,2,FALSE)</f>
        <v>0.3</v>
      </c>
      <c r="AP23" s="25">
        <f>VLOOKUP(tblMeasure[[#This Row],[src_statistic_class]],strlu_src_statistic_class,2,FALSE)</f>
        <v>1</v>
      </c>
      <c r="AQ23" s="25">
        <f>IF(tblMeasure[[#This Row],[src_methodology_url]]="TBD",0,1)</f>
        <v>1</v>
      </c>
      <c r="AR23" s="25">
        <f>IF(tblMeasure[[#This Row],[src_quality_url]]="TBD",0,1)</f>
        <v>1</v>
      </c>
      <c r="AS23" s="85" cm="1">
        <f t="array" ref="AS23">SUMPRODUCT(TRANSPOSE(tblMeasure[[#This Row],[str_msr_population_or_survey]:[str_src_quality_url]]),str_weights)/str_weights_total</f>
        <v>0.74615384615384606</v>
      </c>
    </row>
    <row r="24" spans="1:45" hidden="1" x14ac:dyDescent="0.15">
      <c r="A24" s="30">
        <v>22</v>
      </c>
      <c r="B24" s="15">
        <f>COUNTIF(requirement_measure_map!$D$3:$D$1514,measure!A24)</f>
        <v>2</v>
      </c>
      <c r="C24" s="30" t="s">
        <v>208</v>
      </c>
      <c r="D24" s="15" t="s">
        <v>282</v>
      </c>
      <c r="E24" s="15" t="s">
        <v>288</v>
      </c>
      <c r="F24" s="15" t="s">
        <v>289</v>
      </c>
      <c r="G24" s="29" t="s">
        <v>212</v>
      </c>
      <c r="H24" s="15" t="s">
        <v>285</v>
      </c>
      <c r="I24" s="15" t="s">
        <v>214</v>
      </c>
      <c r="J24" s="15" t="s">
        <v>215</v>
      </c>
      <c r="K24" s="15" t="s">
        <v>286</v>
      </c>
      <c r="L24" s="15" t="s">
        <v>217</v>
      </c>
      <c r="M24" s="15" t="s">
        <v>219</v>
      </c>
      <c r="N24" s="15" t="s">
        <v>219</v>
      </c>
      <c r="O24" s="15" t="s">
        <v>219</v>
      </c>
      <c r="P24" s="15" t="s">
        <v>219</v>
      </c>
      <c r="Q24" s="15" t="s">
        <v>219</v>
      </c>
      <c r="R24" s="15" t="s">
        <v>219</v>
      </c>
      <c r="S24" s="15" t="s">
        <v>219</v>
      </c>
      <c r="T24" s="15" t="s">
        <v>220</v>
      </c>
      <c r="U24" s="15" t="s">
        <v>219</v>
      </c>
      <c r="V24" s="15" t="s">
        <v>219</v>
      </c>
      <c r="W24" s="15">
        <v>1</v>
      </c>
      <c r="X24" s="15" t="str">
        <f>_xlfn.XLOOKUP(tblMeasure[[#This Row],[id_src]],tblSource[id_src],tblSource[org])</f>
        <v>NHS Digital</v>
      </c>
      <c r="Y24" s="15" t="str">
        <f>_xlfn.XLOOKUP(tblMeasure[[#This Row],[id_src]],tblSource[id_src],tblSource[source])</f>
        <v>Adult Social Care Activity and Finance Report</v>
      </c>
      <c r="Z24" s="15" t="str">
        <f>_xlfn.XLOOKUP(tblMeasure[[#This Row],[id_src]],tblSource[id_src],tblSource[url_source])</f>
        <v>https://digital.nhs.uk/data-and-information/publications/statistical/adult-social-care-activity-and-finance-report/2018-19</v>
      </c>
      <c r="AA24" s="15">
        <f>_xlfn.XLOOKUP(tblMeasure[[#This Row],[id_src]],tblSource[id_src],tblSource[year_first_published])</f>
        <v>2016</v>
      </c>
      <c r="AB24" s="15">
        <f>_xlfn.XLOOKUP(tblMeasure[[#This Row],[id_src]],tblSource[id_src],tblSource[year_last_published])</f>
        <v>2019</v>
      </c>
      <c r="AC24" s="15" t="str">
        <f>_xlfn.XLOOKUP(tblMeasure[[#This Row],[id_src]],tblSource[id_src],tblSource[discontinuity])</f>
        <v>None</v>
      </c>
      <c r="AD24" s="15" t="str">
        <f>_xlfn.XLOOKUP(tblMeasure[[#This Row],[id_src]],tblSource[id_src],tblSource[publication_frequency])</f>
        <v>Annual</v>
      </c>
      <c r="AE24" s="15">
        <f>_xlfn.XLOOKUP(tblMeasure[[#This Row],[id_src]],tblSource[id_src],tblSource[publication_lag_months])</f>
        <v>7</v>
      </c>
      <c r="AF24" s="25" t="str">
        <f>_xlfn.XLOOKUP(tblMeasure[[#This Row],[id_src]],tblSource[id_src],tblSource[data_providers])</f>
        <v>LA</v>
      </c>
      <c r="AG24" s="25" t="str">
        <f>_xlfn.XLOOKUP(tblMeasure[[#This Row],[id_src]],tblSource[id_src],tblSource[statistic_class])</f>
        <v>National (ASC-FR) + Official (SALT)</v>
      </c>
      <c r="AH24" s="25" t="str">
        <f>_xlfn.XLOOKUP(tblMeasure[[#This Row],[id_src]],tblSource[id_src],tblSource[methodology_link])</f>
        <v>https://digital.nhs.uk/data-and-information/publications/statistical/adult-social-care-activity-and-finance-report/2018-19/data-quality-statement</v>
      </c>
      <c r="AI24" s="25" t="str">
        <f>_xlfn.XLOOKUP(tblMeasure[[#This Row],[id_src]],tblSource[id_src],tblSource[quality_issues])</f>
        <v>https://digital.nhs.uk/data-and-information/publications/statistical/adult-social-care-activity-and-finance-report/2018-19/data-quality-statement#accuracy-and-reliability</v>
      </c>
      <c r="AJ24" s="25">
        <f>VLOOKUP(tblMeasure[[#This Row],[msr_population_or_survey]],strlu_msr_population_or_survey,2,FALSE)</f>
        <v>1</v>
      </c>
      <c r="AK24" s="25">
        <f>VLOOKUP(tblMeasure[[#This Row],[msr_min_geo_resolution]],strlu_msr_min_geo_resolution,2,FALSE)</f>
        <v>1</v>
      </c>
      <c r="AL24" s="25">
        <f>(MAX(tblMeasure[[#This Row],[src_year_last_published]]-2010+1,0)+MIN(2010-tblMeasure[[#This Row],[src_year_first_published]],0)-MAX(tblMeasure[[#This Row],[src_year_last_published]]-2019,0))/10</f>
        <v>0.4</v>
      </c>
      <c r="AM24" s="25">
        <f>IF(OR(tblMeasure[[#This Row],[src_discontinuity]]="None",tblMeasure[[#This Row],[src_discontinuity]]=0),1,0)</f>
        <v>1</v>
      </c>
      <c r="AN24" s="25">
        <f>VLOOKUP(tblMeasure[[#This Row],[src_pub_frequency]],strlu_src_pub_frequency,2,FALSE)</f>
        <v>0.8</v>
      </c>
      <c r="AO24" s="25">
        <f>VLOOKUP(tblMeasure[[#This Row],[src_pub_lag_months]],strlu_src_pub_lag_months,2,FALSE)</f>
        <v>0.3</v>
      </c>
      <c r="AP24" s="25">
        <f>VLOOKUP(tblMeasure[[#This Row],[src_statistic_class]],strlu_src_statistic_class,2,FALSE)</f>
        <v>1</v>
      </c>
      <c r="AQ24" s="25">
        <f>IF(tblMeasure[[#This Row],[src_methodology_url]]="TBD",0,1)</f>
        <v>1</v>
      </c>
      <c r="AR24" s="25">
        <f>IF(tblMeasure[[#This Row],[src_quality_url]]="TBD",0,1)</f>
        <v>1</v>
      </c>
      <c r="AS24" s="85" cm="1">
        <f t="array" ref="AS24">SUMPRODUCT(TRANSPOSE(tblMeasure[[#This Row],[str_msr_population_or_survey]:[str_src_quality_url]]),str_weights)/str_weights_total</f>
        <v>0.82307692307692304</v>
      </c>
    </row>
    <row r="25" spans="1:45" x14ac:dyDescent="0.15">
      <c r="A25" s="30">
        <v>23</v>
      </c>
      <c r="B25" s="15">
        <f>COUNTIF(requirement_measure_map!$D$3:$D$1514,measure!A25)</f>
        <v>4</v>
      </c>
      <c r="C25" s="30" t="s">
        <v>208</v>
      </c>
      <c r="D25" s="15" t="s">
        <v>282</v>
      </c>
      <c r="E25" s="15" t="s">
        <v>290</v>
      </c>
      <c r="F25" s="15" t="s">
        <v>291</v>
      </c>
      <c r="G25" s="29" t="s">
        <v>212</v>
      </c>
      <c r="H25" s="15" t="s">
        <v>285</v>
      </c>
      <c r="I25" s="15" t="s">
        <v>214</v>
      </c>
      <c r="J25" s="15" t="s">
        <v>215</v>
      </c>
      <c r="K25" s="15" t="s">
        <v>286</v>
      </c>
      <c r="L25" s="15" t="s">
        <v>233</v>
      </c>
      <c r="M25" s="15" t="s">
        <v>218</v>
      </c>
      <c r="N25" s="15" t="s">
        <v>219</v>
      </c>
      <c r="O25" s="15" t="s">
        <v>219</v>
      </c>
      <c r="P25" s="15" t="s">
        <v>292</v>
      </c>
      <c r="Q25" s="15" t="s">
        <v>219</v>
      </c>
      <c r="R25" s="15" t="s">
        <v>219</v>
      </c>
      <c r="S25" s="15" t="s">
        <v>219</v>
      </c>
      <c r="T25" s="15" t="s">
        <v>220</v>
      </c>
      <c r="U25" s="15" t="s">
        <v>219</v>
      </c>
      <c r="V25" s="15" t="s">
        <v>219</v>
      </c>
      <c r="W25" s="15">
        <v>1</v>
      </c>
      <c r="X25" s="15" t="str">
        <f>_xlfn.XLOOKUP(tblMeasure[[#This Row],[id_src]],tblSource[id_src],tblSource[org])</f>
        <v>NHS Digital</v>
      </c>
      <c r="Y25" s="15" t="str">
        <f>_xlfn.XLOOKUP(tblMeasure[[#This Row],[id_src]],tblSource[id_src],tblSource[source])</f>
        <v>Adult Social Care Activity and Finance Report</v>
      </c>
      <c r="Z25" s="15" t="str">
        <f>_xlfn.XLOOKUP(tblMeasure[[#This Row],[id_src]],tblSource[id_src],tblSource[url_source])</f>
        <v>https://digital.nhs.uk/data-and-information/publications/statistical/adult-social-care-activity-and-finance-report/2018-19</v>
      </c>
      <c r="AA25" s="15">
        <f>_xlfn.XLOOKUP(tblMeasure[[#This Row],[id_src]],tblSource[id_src],tblSource[year_first_published])</f>
        <v>2016</v>
      </c>
      <c r="AB25" s="15">
        <f>_xlfn.XLOOKUP(tblMeasure[[#This Row],[id_src]],tblSource[id_src],tblSource[year_last_published])</f>
        <v>2019</v>
      </c>
      <c r="AC25" s="15" t="str">
        <f>_xlfn.XLOOKUP(tblMeasure[[#This Row],[id_src]],tblSource[id_src],tblSource[discontinuity])</f>
        <v>None</v>
      </c>
      <c r="AD25" s="15" t="str">
        <f>_xlfn.XLOOKUP(tblMeasure[[#This Row],[id_src]],tblSource[id_src],tblSource[publication_frequency])</f>
        <v>Annual</v>
      </c>
      <c r="AE25" s="15">
        <f>_xlfn.XLOOKUP(tblMeasure[[#This Row],[id_src]],tblSource[id_src],tblSource[publication_lag_months])</f>
        <v>7</v>
      </c>
      <c r="AF25" s="25" t="str">
        <f>_xlfn.XLOOKUP(tblMeasure[[#This Row],[id_src]],tblSource[id_src],tblSource[data_providers])</f>
        <v>LA</v>
      </c>
      <c r="AG25" s="25" t="str">
        <f>_xlfn.XLOOKUP(tblMeasure[[#This Row],[id_src]],tblSource[id_src],tblSource[statistic_class])</f>
        <v>National (ASC-FR) + Official (SALT)</v>
      </c>
      <c r="AH25" s="25" t="str">
        <f>_xlfn.XLOOKUP(tblMeasure[[#This Row],[id_src]],tblSource[id_src],tblSource[methodology_link])</f>
        <v>https://digital.nhs.uk/data-and-information/publications/statistical/adult-social-care-activity-and-finance-report/2018-19/data-quality-statement</v>
      </c>
      <c r="AI25" s="25" t="str">
        <f>_xlfn.XLOOKUP(tblMeasure[[#This Row],[id_src]],tblSource[id_src],tblSource[quality_issues])</f>
        <v>https://digital.nhs.uk/data-and-information/publications/statistical/adult-social-care-activity-and-finance-report/2018-19/data-quality-statement#accuracy-and-reliability</v>
      </c>
      <c r="AJ25" s="25">
        <f>VLOOKUP(tblMeasure[[#This Row],[msr_population_or_survey]],strlu_msr_population_or_survey,2,FALSE)</f>
        <v>1</v>
      </c>
      <c r="AK25" s="25">
        <f>VLOOKUP(tblMeasure[[#This Row],[msr_min_geo_resolution]],strlu_msr_min_geo_resolution,2,FALSE)</f>
        <v>0</v>
      </c>
      <c r="AL25" s="25">
        <f>(MAX(tblMeasure[[#This Row],[src_year_last_published]]-2010+1,0)+MIN(2010-tblMeasure[[#This Row],[src_year_first_published]],0)-MAX(tblMeasure[[#This Row],[src_year_last_published]]-2019,0))/10</f>
        <v>0.4</v>
      </c>
      <c r="AM25" s="25">
        <f>IF(OR(tblMeasure[[#This Row],[src_discontinuity]]="None",tblMeasure[[#This Row],[src_discontinuity]]=0),1,0)</f>
        <v>1</v>
      </c>
      <c r="AN25" s="25">
        <f>VLOOKUP(tblMeasure[[#This Row],[src_pub_frequency]],strlu_src_pub_frequency,2,FALSE)</f>
        <v>0.8</v>
      </c>
      <c r="AO25" s="25">
        <f>VLOOKUP(tblMeasure[[#This Row],[src_pub_lag_months]],strlu_src_pub_lag_months,2,FALSE)</f>
        <v>0.3</v>
      </c>
      <c r="AP25" s="25">
        <f>VLOOKUP(tblMeasure[[#This Row],[src_statistic_class]],strlu_src_statistic_class,2,FALSE)</f>
        <v>1</v>
      </c>
      <c r="AQ25" s="25">
        <f>IF(tblMeasure[[#This Row],[src_methodology_url]]="TBD",0,1)</f>
        <v>1</v>
      </c>
      <c r="AR25" s="25">
        <f>IF(tblMeasure[[#This Row],[src_quality_url]]="TBD",0,1)</f>
        <v>1</v>
      </c>
      <c r="AS25" s="85" cm="1">
        <f t="array" ref="AS25">SUMPRODUCT(TRANSPOSE(tblMeasure[[#This Row],[str_msr_population_or_survey]:[str_src_quality_url]]),str_weights)/str_weights_total</f>
        <v>0.66923076923076918</v>
      </c>
    </row>
    <row r="26" spans="1:45" hidden="1" x14ac:dyDescent="0.15">
      <c r="A26" s="30">
        <v>24</v>
      </c>
      <c r="B26" s="15">
        <f>COUNTIF(requirement_measure_map!$D$3:$D$1514,measure!A26)</f>
        <v>0</v>
      </c>
      <c r="C26" s="30" t="s">
        <v>293</v>
      </c>
      <c r="D26" s="15" t="s">
        <v>282</v>
      </c>
      <c r="E26" s="15" t="s">
        <v>294</v>
      </c>
      <c r="F26" s="15" t="s">
        <v>295</v>
      </c>
      <c r="G26" s="29" t="s">
        <v>212</v>
      </c>
      <c r="H26" s="15" t="s">
        <v>285</v>
      </c>
      <c r="I26" s="15" t="s">
        <v>214</v>
      </c>
      <c r="J26" s="15" t="s">
        <v>215</v>
      </c>
      <c r="K26" s="15" t="s">
        <v>296</v>
      </c>
      <c r="L26" s="15" t="s">
        <v>217</v>
      </c>
      <c r="M26" s="15" t="s">
        <v>219</v>
      </c>
      <c r="N26" s="15" t="s">
        <v>219</v>
      </c>
      <c r="O26" s="15" t="s">
        <v>219</v>
      </c>
      <c r="P26" s="15" t="s">
        <v>219</v>
      </c>
      <c r="Q26" s="15" t="s">
        <v>219</v>
      </c>
      <c r="R26" s="15" t="s">
        <v>219</v>
      </c>
      <c r="S26" s="15" t="s">
        <v>219</v>
      </c>
      <c r="T26" s="15" t="s">
        <v>220</v>
      </c>
      <c r="U26" s="15" t="s">
        <v>219</v>
      </c>
      <c r="V26" s="15" t="s">
        <v>219</v>
      </c>
      <c r="W26" s="15">
        <v>1</v>
      </c>
      <c r="X26" s="15" t="str">
        <f>_xlfn.XLOOKUP(tblMeasure[[#This Row],[id_src]],tblSource[id_src],tblSource[org])</f>
        <v>NHS Digital</v>
      </c>
      <c r="Y26" s="15" t="str">
        <f>_xlfn.XLOOKUP(tblMeasure[[#This Row],[id_src]],tblSource[id_src],tblSource[source])</f>
        <v>Adult Social Care Activity and Finance Report</v>
      </c>
      <c r="Z26" s="15" t="str">
        <f>_xlfn.XLOOKUP(tblMeasure[[#This Row],[id_src]],tblSource[id_src],tblSource[url_source])</f>
        <v>https://digital.nhs.uk/data-and-information/publications/statistical/adult-social-care-activity-and-finance-report/2018-19</v>
      </c>
      <c r="AA26" s="15">
        <f>_xlfn.XLOOKUP(tblMeasure[[#This Row],[id_src]],tblSource[id_src],tblSource[year_first_published])</f>
        <v>2016</v>
      </c>
      <c r="AB26" s="15">
        <f>_xlfn.XLOOKUP(tblMeasure[[#This Row],[id_src]],tblSource[id_src],tblSource[year_last_published])</f>
        <v>2019</v>
      </c>
      <c r="AC26" s="15" t="str">
        <f>_xlfn.XLOOKUP(tblMeasure[[#This Row],[id_src]],tblSource[id_src],tblSource[discontinuity])</f>
        <v>None</v>
      </c>
      <c r="AD26" s="15" t="str">
        <f>_xlfn.XLOOKUP(tblMeasure[[#This Row],[id_src]],tblSource[id_src],tblSource[publication_frequency])</f>
        <v>Annual</v>
      </c>
      <c r="AE26" s="15">
        <f>_xlfn.XLOOKUP(tblMeasure[[#This Row],[id_src]],tblSource[id_src],tblSource[publication_lag_months])</f>
        <v>7</v>
      </c>
      <c r="AF26" s="25" t="str">
        <f>_xlfn.XLOOKUP(tblMeasure[[#This Row],[id_src]],tblSource[id_src],tblSource[data_providers])</f>
        <v>LA</v>
      </c>
      <c r="AG26" s="25" t="str">
        <f>_xlfn.XLOOKUP(tblMeasure[[#This Row],[id_src]],tblSource[id_src],tblSource[statistic_class])</f>
        <v>National (ASC-FR) + Official (SALT)</v>
      </c>
      <c r="AH26" s="25" t="str">
        <f>_xlfn.XLOOKUP(tblMeasure[[#This Row],[id_src]],tblSource[id_src],tblSource[methodology_link])</f>
        <v>https://digital.nhs.uk/data-and-information/publications/statistical/adult-social-care-activity-and-finance-report/2018-19/data-quality-statement</v>
      </c>
      <c r="AI26" s="25" t="str">
        <f>_xlfn.XLOOKUP(tblMeasure[[#This Row],[id_src]],tblSource[id_src],tblSource[quality_issues])</f>
        <v>https://digital.nhs.uk/data-and-information/publications/statistical/adult-social-care-activity-and-finance-report/2018-19/data-quality-statement#accuracy-and-reliability</v>
      </c>
      <c r="AJ26" s="25">
        <f>VLOOKUP(tblMeasure[[#This Row],[msr_population_or_survey]],strlu_msr_population_or_survey,2,FALSE)</f>
        <v>1</v>
      </c>
      <c r="AK26" s="25">
        <f>VLOOKUP(tblMeasure[[#This Row],[msr_min_geo_resolution]],strlu_msr_min_geo_resolution,2,FALSE)</f>
        <v>1</v>
      </c>
      <c r="AL26" s="25">
        <f>(MAX(tblMeasure[[#This Row],[src_year_last_published]]-2010+1,0)+MIN(2010-tblMeasure[[#This Row],[src_year_first_published]],0)-MAX(tblMeasure[[#This Row],[src_year_last_published]]-2019,0))/10</f>
        <v>0.4</v>
      </c>
      <c r="AM26" s="25">
        <f>IF(OR(tblMeasure[[#This Row],[src_discontinuity]]="None",tblMeasure[[#This Row],[src_discontinuity]]=0),1,0)</f>
        <v>1</v>
      </c>
      <c r="AN26" s="25">
        <f>VLOOKUP(tblMeasure[[#This Row],[src_pub_frequency]],strlu_src_pub_frequency,2,FALSE)</f>
        <v>0.8</v>
      </c>
      <c r="AO26" s="25">
        <f>VLOOKUP(tblMeasure[[#This Row],[src_pub_lag_months]],strlu_src_pub_lag_months,2,FALSE)</f>
        <v>0.3</v>
      </c>
      <c r="AP26" s="25">
        <f>VLOOKUP(tblMeasure[[#This Row],[src_statistic_class]],strlu_src_statistic_class,2,FALSE)</f>
        <v>1</v>
      </c>
      <c r="AQ26" s="25">
        <f>IF(tblMeasure[[#This Row],[src_methodology_url]]="TBD",0,1)</f>
        <v>1</v>
      </c>
      <c r="AR26" s="25">
        <f>IF(tblMeasure[[#This Row],[src_quality_url]]="TBD",0,1)</f>
        <v>1</v>
      </c>
      <c r="AS26" s="85" cm="1">
        <f t="array" ref="AS26">SUMPRODUCT(TRANSPOSE(tblMeasure[[#This Row],[str_msr_population_or_survey]:[str_src_quality_url]]),str_weights)/str_weights_total</f>
        <v>0.82307692307692304</v>
      </c>
    </row>
    <row r="27" spans="1:45" x14ac:dyDescent="0.15">
      <c r="A27" s="30">
        <v>25</v>
      </c>
      <c r="B27" s="15">
        <f>COUNTIF(requirement_measure_map!$D$3:$D$1514,measure!A27)</f>
        <v>4</v>
      </c>
      <c r="C27" s="30" t="s">
        <v>208</v>
      </c>
      <c r="D27" s="15" t="s">
        <v>282</v>
      </c>
      <c r="E27" s="15" t="s">
        <v>297</v>
      </c>
      <c r="F27" s="15" t="s">
        <v>298</v>
      </c>
      <c r="G27" s="29" t="s">
        <v>212</v>
      </c>
      <c r="H27" s="15" t="s">
        <v>299</v>
      </c>
      <c r="I27" s="15" t="s">
        <v>214</v>
      </c>
      <c r="J27" s="15" t="s">
        <v>215</v>
      </c>
      <c r="K27" s="15" t="s">
        <v>300</v>
      </c>
      <c r="L27" s="15" t="s">
        <v>217</v>
      </c>
      <c r="M27" s="15" t="s">
        <v>220</v>
      </c>
      <c r="N27" s="15" t="s">
        <v>219</v>
      </c>
      <c r="O27" s="15" t="s">
        <v>219</v>
      </c>
      <c r="P27" s="15" t="s">
        <v>292</v>
      </c>
      <c r="Q27" s="15" t="s">
        <v>219</v>
      </c>
      <c r="R27" s="15" t="s">
        <v>219</v>
      </c>
      <c r="S27" s="15" t="s">
        <v>219</v>
      </c>
      <c r="T27" s="15" t="s">
        <v>220</v>
      </c>
      <c r="U27" s="15" t="s">
        <v>219</v>
      </c>
      <c r="V27" s="15" t="s">
        <v>219</v>
      </c>
      <c r="W27" s="15">
        <v>1</v>
      </c>
      <c r="X27" s="15" t="str">
        <f>_xlfn.XLOOKUP(tblMeasure[[#This Row],[id_src]],tblSource[id_src],tblSource[org])</f>
        <v>NHS Digital</v>
      </c>
      <c r="Y27" s="15" t="str">
        <f>_xlfn.XLOOKUP(tblMeasure[[#This Row],[id_src]],tblSource[id_src],tblSource[source])</f>
        <v>Adult Social Care Activity and Finance Report</v>
      </c>
      <c r="Z27" s="15" t="str">
        <f>_xlfn.XLOOKUP(tblMeasure[[#This Row],[id_src]],tblSource[id_src],tblSource[url_source])</f>
        <v>https://digital.nhs.uk/data-and-information/publications/statistical/adult-social-care-activity-and-finance-report/2018-19</v>
      </c>
      <c r="AA27" s="15">
        <f>_xlfn.XLOOKUP(tblMeasure[[#This Row],[id_src]],tblSource[id_src],tblSource[year_first_published])</f>
        <v>2016</v>
      </c>
      <c r="AB27" s="15">
        <f>_xlfn.XLOOKUP(tblMeasure[[#This Row],[id_src]],tblSource[id_src],tblSource[year_last_published])</f>
        <v>2019</v>
      </c>
      <c r="AC27" s="15" t="str">
        <f>_xlfn.XLOOKUP(tblMeasure[[#This Row],[id_src]],tblSource[id_src],tblSource[discontinuity])</f>
        <v>None</v>
      </c>
      <c r="AD27" s="15" t="str">
        <f>_xlfn.XLOOKUP(tblMeasure[[#This Row],[id_src]],tblSource[id_src],tblSource[publication_frequency])</f>
        <v>Annual</v>
      </c>
      <c r="AE27" s="15">
        <f>_xlfn.XLOOKUP(tblMeasure[[#This Row],[id_src]],tblSource[id_src],tblSource[publication_lag_months])</f>
        <v>7</v>
      </c>
      <c r="AF27" s="25" t="str">
        <f>_xlfn.XLOOKUP(tblMeasure[[#This Row],[id_src]],tblSource[id_src],tblSource[data_providers])</f>
        <v>LA</v>
      </c>
      <c r="AG27" s="25" t="str">
        <f>_xlfn.XLOOKUP(tblMeasure[[#This Row],[id_src]],tblSource[id_src],tblSource[statistic_class])</f>
        <v>National (ASC-FR) + Official (SALT)</v>
      </c>
      <c r="AH27" s="25" t="str">
        <f>_xlfn.XLOOKUP(tblMeasure[[#This Row],[id_src]],tblSource[id_src],tblSource[methodology_link])</f>
        <v>https://digital.nhs.uk/data-and-information/publications/statistical/adult-social-care-activity-and-finance-report/2018-19/data-quality-statement</v>
      </c>
      <c r="AI27" s="25" t="str">
        <f>_xlfn.XLOOKUP(tblMeasure[[#This Row],[id_src]],tblSource[id_src],tblSource[quality_issues])</f>
        <v>https://digital.nhs.uk/data-and-information/publications/statistical/adult-social-care-activity-and-finance-report/2018-19/data-quality-statement#accuracy-and-reliability</v>
      </c>
      <c r="AJ27" s="25">
        <f>VLOOKUP(tblMeasure[[#This Row],[msr_population_or_survey]],strlu_msr_population_or_survey,2,FALSE)</f>
        <v>1</v>
      </c>
      <c r="AK27" s="25">
        <f>VLOOKUP(tblMeasure[[#This Row],[msr_min_geo_resolution]],strlu_msr_min_geo_resolution,2,FALSE)</f>
        <v>1</v>
      </c>
      <c r="AL27" s="25">
        <f>(MAX(tblMeasure[[#This Row],[src_year_last_published]]-2010+1,0)+MIN(2010-tblMeasure[[#This Row],[src_year_first_published]],0)-MAX(tblMeasure[[#This Row],[src_year_last_published]]-2019,0))/10</f>
        <v>0.4</v>
      </c>
      <c r="AM27" s="25">
        <f>IF(OR(tblMeasure[[#This Row],[src_discontinuity]]="None",tblMeasure[[#This Row],[src_discontinuity]]=0),1,0)</f>
        <v>1</v>
      </c>
      <c r="AN27" s="25">
        <f>VLOOKUP(tblMeasure[[#This Row],[src_pub_frequency]],strlu_src_pub_frequency,2,FALSE)</f>
        <v>0.8</v>
      </c>
      <c r="AO27" s="25">
        <f>VLOOKUP(tblMeasure[[#This Row],[src_pub_lag_months]],strlu_src_pub_lag_months,2,FALSE)</f>
        <v>0.3</v>
      </c>
      <c r="AP27" s="25">
        <f>VLOOKUP(tblMeasure[[#This Row],[src_statistic_class]],strlu_src_statistic_class,2,FALSE)</f>
        <v>1</v>
      </c>
      <c r="AQ27" s="25">
        <f>IF(tblMeasure[[#This Row],[src_methodology_url]]="TBD",0,1)</f>
        <v>1</v>
      </c>
      <c r="AR27" s="25">
        <f>IF(tblMeasure[[#This Row],[src_quality_url]]="TBD",0,1)</f>
        <v>1</v>
      </c>
      <c r="AS27" s="85" cm="1">
        <f t="array" ref="AS27">SUMPRODUCT(TRANSPOSE(tblMeasure[[#This Row],[str_msr_population_or_survey]:[str_src_quality_url]]),str_weights)/str_weights_total</f>
        <v>0.82307692307692304</v>
      </c>
    </row>
    <row r="28" spans="1:45" x14ac:dyDescent="0.15">
      <c r="A28" s="30">
        <v>26</v>
      </c>
      <c r="B28" s="15">
        <f>COUNTIF(requirement_measure_map!$D$3:$D$1514,measure!A28)</f>
        <v>4</v>
      </c>
      <c r="C28" s="30" t="s">
        <v>208</v>
      </c>
      <c r="D28" s="15" t="s">
        <v>282</v>
      </c>
      <c r="E28" s="15" t="s">
        <v>301</v>
      </c>
      <c r="F28" s="15" t="s">
        <v>302</v>
      </c>
      <c r="G28" s="29" t="s">
        <v>212</v>
      </c>
      <c r="H28" s="15" t="s">
        <v>299</v>
      </c>
      <c r="I28" s="15" t="s">
        <v>214</v>
      </c>
      <c r="J28" s="15" t="s">
        <v>215</v>
      </c>
      <c r="K28" s="15" t="s">
        <v>300</v>
      </c>
      <c r="L28" s="15" t="s">
        <v>217</v>
      </c>
      <c r="M28" s="15" t="s">
        <v>220</v>
      </c>
      <c r="N28" s="15" t="s">
        <v>219</v>
      </c>
      <c r="O28" s="15" t="s">
        <v>219</v>
      </c>
      <c r="P28" s="15" t="s">
        <v>292</v>
      </c>
      <c r="Q28" s="15" t="s">
        <v>219</v>
      </c>
      <c r="R28" s="15" t="s">
        <v>219</v>
      </c>
      <c r="S28" s="15" t="s">
        <v>219</v>
      </c>
      <c r="T28" s="15" t="s">
        <v>220</v>
      </c>
      <c r="U28" s="15" t="s">
        <v>219</v>
      </c>
      <c r="V28" s="15" t="s">
        <v>219</v>
      </c>
      <c r="W28" s="15">
        <v>1</v>
      </c>
      <c r="X28" s="15" t="str">
        <f>_xlfn.XLOOKUP(tblMeasure[[#This Row],[id_src]],tblSource[id_src],tblSource[org])</f>
        <v>NHS Digital</v>
      </c>
      <c r="Y28" s="15" t="str">
        <f>_xlfn.XLOOKUP(tblMeasure[[#This Row],[id_src]],tblSource[id_src],tblSource[source])</f>
        <v>Adult Social Care Activity and Finance Report</v>
      </c>
      <c r="Z28" s="15" t="str">
        <f>_xlfn.XLOOKUP(tblMeasure[[#This Row],[id_src]],tblSource[id_src],tblSource[url_source])</f>
        <v>https://digital.nhs.uk/data-and-information/publications/statistical/adult-social-care-activity-and-finance-report/2018-19</v>
      </c>
      <c r="AA28" s="15">
        <f>_xlfn.XLOOKUP(tblMeasure[[#This Row],[id_src]],tblSource[id_src],tblSource[year_first_published])</f>
        <v>2016</v>
      </c>
      <c r="AB28" s="15">
        <f>_xlfn.XLOOKUP(tblMeasure[[#This Row],[id_src]],tblSource[id_src],tblSource[year_last_published])</f>
        <v>2019</v>
      </c>
      <c r="AC28" s="15" t="str">
        <f>_xlfn.XLOOKUP(tblMeasure[[#This Row],[id_src]],tblSource[id_src],tblSource[discontinuity])</f>
        <v>None</v>
      </c>
      <c r="AD28" s="15" t="str">
        <f>_xlfn.XLOOKUP(tblMeasure[[#This Row],[id_src]],tblSource[id_src],tblSource[publication_frequency])</f>
        <v>Annual</v>
      </c>
      <c r="AE28" s="15">
        <f>_xlfn.XLOOKUP(tblMeasure[[#This Row],[id_src]],tblSource[id_src],tblSource[publication_lag_months])</f>
        <v>7</v>
      </c>
      <c r="AF28" s="25" t="str">
        <f>_xlfn.XLOOKUP(tblMeasure[[#This Row],[id_src]],tblSource[id_src],tblSource[data_providers])</f>
        <v>LA</v>
      </c>
      <c r="AG28" s="25" t="str">
        <f>_xlfn.XLOOKUP(tblMeasure[[#This Row],[id_src]],tblSource[id_src],tblSource[statistic_class])</f>
        <v>National (ASC-FR) + Official (SALT)</v>
      </c>
      <c r="AH28" s="25" t="str">
        <f>_xlfn.XLOOKUP(tblMeasure[[#This Row],[id_src]],tblSource[id_src],tblSource[methodology_link])</f>
        <v>https://digital.nhs.uk/data-and-information/publications/statistical/adult-social-care-activity-and-finance-report/2018-19/data-quality-statement</v>
      </c>
      <c r="AI28" s="25" t="str">
        <f>_xlfn.XLOOKUP(tblMeasure[[#This Row],[id_src]],tblSource[id_src],tblSource[quality_issues])</f>
        <v>https://digital.nhs.uk/data-and-information/publications/statistical/adult-social-care-activity-and-finance-report/2018-19/data-quality-statement#accuracy-and-reliability</v>
      </c>
      <c r="AJ28" s="25">
        <f>VLOOKUP(tblMeasure[[#This Row],[msr_population_or_survey]],strlu_msr_population_or_survey,2,FALSE)</f>
        <v>1</v>
      </c>
      <c r="AK28" s="25">
        <f>VLOOKUP(tblMeasure[[#This Row],[msr_min_geo_resolution]],strlu_msr_min_geo_resolution,2,FALSE)</f>
        <v>1</v>
      </c>
      <c r="AL28" s="25">
        <f>(MAX(tblMeasure[[#This Row],[src_year_last_published]]-2010+1,0)+MIN(2010-tblMeasure[[#This Row],[src_year_first_published]],0)-MAX(tblMeasure[[#This Row],[src_year_last_published]]-2019,0))/10</f>
        <v>0.4</v>
      </c>
      <c r="AM28" s="25">
        <f>IF(OR(tblMeasure[[#This Row],[src_discontinuity]]="None",tblMeasure[[#This Row],[src_discontinuity]]=0),1,0)</f>
        <v>1</v>
      </c>
      <c r="AN28" s="25">
        <f>VLOOKUP(tblMeasure[[#This Row],[src_pub_frequency]],strlu_src_pub_frequency,2,FALSE)</f>
        <v>0.8</v>
      </c>
      <c r="AO28" s="25">
        <f>VLOOKUP(tblMeasure[[#This Row],[src_pub_lag_months]],strlu_src_pub_lag_months,2,FALSE)</f>
        <v>0.3</v>
      </c>
      <c r="AP28" s="25">
        <f>VLOOKUP(tblMeasure[[#This Row],[src_statistic_class]],strlu_src_statistic_class,2,FALSE)</f>
        <v>1</v>
      </c>
      <c r="AQ28" s="25">
        <f>IF(tblMeasure[[#This Row],[src_methodology_url]]="TBD",0,1)</f>
        <v>1</v>
      </c>
      <c r="AR28" s="25">
        <f>IF(tblMeasure[[#This Row],[src_quality_url]]="TBD",0,1)</f>
        <v>1</v>
      </c>
      <c r="AS28" s="85" cm="1">
        <f t="array" ref="AS28">SUMPRODUCT(TRANSPOSE(tblMeasure[[#This Row],[str_msr_population_or_survey]:[str_src_quality_url]]),str_weights)/str_weights_total</f>
        <v>0.82307692307692304</v>
      </c>
    </row>
    <row r="29" spans="1:45" hidden="1" x14ac:dyDescent="0.15">
      <c r="A29" s="30">
        <v>27</v>
      </c>
      <c r="B29" s="15">
        <f>COUNTIF(requirement_measure_map!$D$3:$D$1514,measure!A29)</f>
        <v>5</v>
      </c>
      <c r="C29" s="30" t="s">
        <v>208</v>
      </c>
      <c r="D29" s="15" t="s">
        <v>282</v>
      </c>
      <c r="E29" s="15" t="s">
        <v>303</v>
      </c>
      <c r="F29" s="15" t="s">
        <v>304</v>
      </c>
      <c r="G29" s="29" t="s">
        <v>212</v>
      </c>
      <c r="H29" s="15" t="s">
        <v>299</v>
      </c>
      <c r="I29" s="15" t="s">
        <v>214</v>
      </c>
      <c r="J29" s="15" t="s">
        <v>215</v>
      </c>
      <c r="K29" s="15" t="s">
        <v>305</v>
      </c>
      <c r="L29" s="15" t="s">
        <v>287</v>
      </c>
      <c r="M29" s="15" t="s">
        <v>218</v>
      </c>
      <c r="N29" s="15" t="s">
        <v>219</v>
      </c>
      <c r="O29" s="15" t="s">
        <v>219</v>
      </c>
      <c r="P29" s="15" t="s">
        <v>219</v>
      </c>
      <c r="Q29" s="15" t="s">
        <v>219</v>
      </c>
      <c r="R29" s="15" t="s">
        <v>219</v>
      </c>
      <c r="S29" s="15" t="s">
        <v>219</v>
      </c>
      <c r="T29" s="15" t="s">
        <v>220</v>
      </c>
      <c r="U29" s="15" t="s">
        <v>219</v>
      </c>
      <c r="V29" s="15" t="s">
        <v>219</v>
      </c>
      <c r="W29" s="15">
        <v>1</v>
      </c>
      <c r="X29" s="15" t="str">
        <f>_xlfn.XLOOKUP(tblMeasure[[#This Row],[id_src]],tblSource[id_src],tblSource[org])</f>
        <v>NHS Digital</v>
      </c>
      <c r="Y29" s="15" t="str">
        <f>_xlfn.XLOOKUP(tblMeasure[[#This Row],[id_src]],tblSource[id_src],tblSource[source])</f>
        <v>Adult Social Care Activity and Finance Report</v>
      </c>
      <c r="Z29" s="15" t="str">
        <f>_xlfn.XLOOKUP(tblMeasure[[#This Row],[id_src]],tblSource[id_src],tblSource[url_source])</f>
        <v>https://digital.nhs.uk/data-and-information/publications/statistical/adult-social-care-activity-and-finance-report/2018-19</v>
      </c>
      <c r="AA29" s="15">
        <f>_xlfn.XLOOKUP(tblMeasure[[#This Row],[id_src]],tblSource[id_src],tblSource[year_first_published])</f>
        <v>2016</v>
      </c>
      <c r="AB29" s="15">
        <f>_xlfn.XLOOKUP(tblMeasure[[#This Row],[id_src]],tblSource[id_src],tblSource[year_last_published])</f>
        <v>2019</v>
      </c>
      <c r="AC29" s="15" t="str">
        <f>_xlfn.XLOOKUP(tblMeasure[[#This Row],[id_src]],tblSource[id_src],tblSource[discontinuity])</f>
        <v>None</v>
      </c>
      <c r="AD29" s="15" t="str">
        <f>_xlfn.XLOOKUP(tblMeasure[[#This Row],[id_src]],tblSource[id_src],tblSource[publication_frequency])</f>
        <v>Annual</v>
      </c>
      <c r="AE29" s="15">
        <f>_xlfn.XLOOKUP(tblMeasure[[#This Row],[id_src]],tblSource[id_src],tblSource[publication_lag_months])</f>
        <v>7</v>
      </c>
      <c r="AF29" s="25" t="str">
        <f>_xlfn.XLOOKUP(tblMeasure[[#This Row],[id_src]],tblSource[id_src],tblSource[data_providers])</f>
        <v>LA</v>
      </c>
      <c r="AG29" s="25" t="str">
        <f>_xlfn.XLOOKUP(tblMeasure[[#This Row],[id_src]],tblSource[id_src],tblSource[statistic_class])</f>
        <v>National (ASC-FR) + Official (SALT)</v>
      </c>
      <c r="AH29" s="25" t="str">
        <f>_xlfn.XLOOKUP(tblMeasure[[#This Row],[id_src]],tblSource[id_src],tblSource[methodology_link])</f>
        <v>https://digital.nhs.uk/data-and-information/publications/statistical/adult-social-care-activity-and-finance-report/2018-19/data-quality-statement</v>
      </c>
      <c r="AI29" s="25" t="str">
        <f>_xlfn.XLOOKUP(tblMeasure[[#This Row],[id_src]],tblSource[id_src],tblSource[quality_issues])</f>
        <v>https://digital.nhs.uk/data-and-information/publications/statistical/adult-social-care-activity-and-finance-report/2018-19/data-quality-statement#accuracy-and-reliability</v>
      </c>
      <c r="AJ29" s="25">
        <f>VLOOKUP(tblMeasure[[#This Row],[msr_population_or_survey]],strlu_msr_population_or_survey,2,FALSE)</f>
        <v>1</v>
      </c>
      <c r="AK29" s="25">
        <f>VLOOKUP(tblMeasure[[#This Row],[msr_min_geo_resolution]],strlu_msr_min_geo_resolution,2,FALSE)</f>
        <v>0.5</v>
      </c>
      <c r="AL29" s="25">
        <f>(MAX(tblMeasure[[#This Row],[src_year_last_published]]-2010+1,0)+MIN(2010-tblMeasure[[#This Row],[src_year_first_published]],0)-MAX(tblMeasure[[#This Row],[src_year_last_published]]-2019,0))/10</f>
        <v>0.4</v>
      </c>
      <c r="AM29" s="25">
        <f>IF(OR(tblMeasure[[#This Row],[src_discontinuity]]="None",tblMeasure[[#This Row],[src_discontinuity]]=0),1,0)</f>
        <v>1</v>
      </c>
      <c r="AN29" s="25">
        <f>VLOOKUP(tblMeasure[[#This Row],[src_pub_frequency]],strlu_src_pub_frequency,2,FALSE)</f>
        <v>0.8</v>
      </c>
      <c r="AO29" s="25">
        <f>VLOOKUP(tblMeasure[[#This Row],[src_pub_lag_months]],strlu_src_pub_lag_months,2,FALSE)</f>
        <v>0.3</v>
      </c>
      <c r="AP29" s="25">
        <f>VLOOKUP(tblMeasure[[#This Row],[src_statistic_class]],strlu_src_statistic_class,2,FALSE)</f>
        <v>1</v>
      </c>
      <c r="AQ29" s="25">
        <f>IF(tblMeasure[[#This Row],[src_methodology_url]]="TBD",0,1)</f>
        <v>1</v>
      </c>
      <c r="AR29" s="25">
        <f>IF(tblMeasure[[#This Row],[src_quality_url]]="TBD",0,1)</f>
        <v>1</v>
      </c>
      <c r="AS29" s="85" cm="1">
        <f t="array" ref="AS29">SUMPRODUCT(TRANSPOSE(tblMeasure[[#This Row],[str_msr_population_or_survey]:[str_src_quality_url]]),str_weights)/str_weights_total</f>
        <v>0.74615384615384606</v>
      </c>
    </row>
    <row r="30" spans="1:45" hidden="1" x14ac:dyDescent="0.15">
      <c r="A30" s="30">
        <v>28</v>
      </c>
      <c r="B30" s="15">
        <f>COUNTIF(requirement_measure_map!$D$3:$D$1514,measure!A30)</f>
        <v>3</v>
      </c>
      <c r="C30" s="30" t="s">
        <v>208</v>
      </c>
      <c r="D30" s="15" t="s">
        <v>282</v>
      </c>
      <c r="E30" s="15" t="s">
        <v>306</v>
      </c>
      <c r="F30" s="15" t="s">
        <v>307</v>
      </c>
      <c r="G30" s="29" t="s">
        <v>212</v>
      </c>
      <c r="H30" s="15" t="s">
        <v>308</v>
      </c>
      <c r="I30" s="15" t="s">
        <v>214</v>
      </c>
      <c r="J30" s="15" t="s">
        <v>215</v>
      </c>
      <c r="K30" s="15" t="s">
        <v>309</v>
      </c>
      <c r="L30" s="15" t="s">
        <v>217</v>
      </c>
      <c r="M30" s="15" t="s">
        <v>218</v>
      </c>
      <c r="N30" s="15" t="s">
        <v>219</v>
      </c>
      <c r="O30" s="15" t="s">
        <v>219</v>
      </c>
      <c r="P30" s="15" t="s">
        <v>219</v>
      </c>
      <c r="Q30" s="15" t="s">
        <v>219</v>
      </c>
      <c r="R30" s="15" t="s">
        <v>219</v>
      </c>
      <c r="S30" s="15" t="s">
        <v>219</v>
      </c>
      <c r="T30" s="15" t="s">
        <v>220</v>
      </c>
      <c r="U30" s="15" t="s">
        <v>219</v>
      </c>
      <c r="V30" s="15" t="s">
        <v>219</v>
      </c>
      <c r="W30" s="15">
        <v>1</v>
      </c>
      <c r="X30" s="15" t="str">
        <f>_xlfn.XLOOKUP(tblMeasure[[#This Row],[id_src]],tblSource[id_src],tblSource[org])</f>
        <v>NHS Digital</v>
      </c>
      <c r="Y30" s="15" t="str">
        <f>_xlfn.XLOOKUP(tblMeasure[[#This Row],[id_src]],tblSource[id_src],tblSource[source])</f>
        <v>Adult Social Care Activity and Finance Report</v>
      </c>
      <c r="Z30" s="15" t="str">
        <f>_xlfn.XLOOKUP(tblMeasure[[#This Row],[id_src]],tblSource[id_src],tblSource[url_source])</f>
        <v>https://digital.nhs.uk/data-and-information/publications/statistical/adult-social-care-activity-and-finance-report/2018-19</v>
      </c>
      <c r="AA30" s="15">
        <f>_xlfn.XLOOKUP(tblMeasure[[#This Row],[id_src]],tblSource[id_src],tblSource[year_first_published])</f>
        <v>2016</v>
      </c>
      <c r="AB30" s="15">
        <f>_xlfn.XLOOKUP(tblMeasure[[#This Row],[id_src]],tblSource[id_src],tblSource[year_last_published])</f>
        <v>2019</v>
      </c>
      <c r="AC30" s="15" t="str">
        <f>_xlfn.XLOOKUP(tblMeasure[[#This Row],[id_src]],tblSource[id_src],tblSource[discontinuity])</f>
        <v>None</v>
      </c>
      <c r="AD30" s="15" t="str">
        <f>_xlfn.XLOOKUP(tblMeasure[[#This Row],[id_src]],tblSource[id_src],tblSource[publication_frequency])</f>
        <v>Annual</v>
      </c>
      <c r="AE30" s="15">
        <f>_xlfn.XLOOKUP(tblMeasure[[#This Row],[id_src]],tblSource[id_src],tblSource[publication_lag_months])</f>
        <v>7</v>
      </c>
      <c r="AF30" s="25" t="str">
        <f>_xlfn.XLOOKUP(tblMeasure[[#This Row],[id_src]],tblSource[id_src],tblSource[data_providers])</f>
        <v>LA</v>
      </c>
      <c r="AG30" s="25" t="str">
        <f>_xlfn.XLOOKUP(tblMeasure[[#This Row],[id_src]],tblSource[id_src],tblSource[statistic_class])</f>
        <v>National (ASC-FR) + Official (SALT)</v>
      </c>
      <c r="AH30" s="25" t="str">
        <f>_xlfn.XLOOKUP(tblMeasure[[#This Row],[id_src]],tblSource[id_src],tblSource[methodology_link])</f>
        <v>https://digital.nhs.uk/data-and-information/publications/statistical/adult-social-care-activity-and-finance-report/2018-19/data-quality-statement</v>
      </c>
      <c r="AI30" s="25" t="str">
        <f>_xlfn.XLOOKUP(tblMeasure[[#This Row],[id_src]],tblSource[id_src],tblSource[quality_issues])</f>
        <v>https://digital.nhs.uk/data-and-information/publications/statistical/adult-social-care-activity-and-finance-report/2018-19/data-quality-statement#accuracy-and-reliability</v>
      </c>
      <c r="AJ30" s="25">
        <f>VLOOKUP(tblMeasure[[#This Row],[msr_population_or_survey]],strlu_msr_population_or_survey,2,FALSE)</f>
        <v>1</v>
      </c>
      <c r="AK30" s="25">
        <f>VLOOKUP(tblMeasure[[#This Row],[msr_min_geo_resolution]],strlu_msr_min_geo_resolution,2,FALSE)</f>
        <v>1</v>
      </c>
      <c r="AL30" s="25">
        <f>(MAX(tblMeasure[[#This Row],[src_year_last_published]]-2010+1,0)+MIN(2010-tblMeasure[[#This Row],[src_year_first_published]],0)-MAX(tblMeasure[[#This Row],[src_year_last_published]]-2019,0))/10</f>
        <v>0.4</v>
      </c>
      <c r="AM30" s="25">
        <f>IF(OR(tblMeasure[[#This Row],[src_discontinuity]]="None",tblMeasure[[#This Row],[src_discontinuity]]=0),1,0)</f>
        <v>1</v>
      </c>
      <c r="AN30" s="25">
        <f>VLOOKUP(tblMeasure[[#This Row],[src_pub_frequency]],strlu_src_pub_frequency,2,FALSE)</f>
        <v>0.8</v>
      </c>
      <c r="AO30" s="25">
        <f>VLOOKUP(tblMeasure[[#This Row],[src_pub_lag_months]],strlu_src_pub_lag_months,2,FALSE)</f>
        <v>0.3</v>
      </c>
      <c r="AP30" s="25">
        <f>VLOOKUP(tblMeasure[[#This Row],[src_statistic_class]],strlu_src_statistic_class,2,FALSE)</f>
        <v>1</v>
      </c>
      <c r="AQ30" s="25">
        <f>IF(tblMeasure[[#This Row],[src_methodology_url]]="TBD",0,1)</f>
        <v>1</v>
      </c>
      <c r="AR30" s="25">
        <f>IF(tblMeasure[[#This Row],[src_quality_url]]="TBD",0,1)</f>
        <v>1</v>
      </c>
      <c r="AS30" s="85" cm="1">
        <f t="array" ref="AS30">SUMPRODUCT(TRANSPOSE(tblMeasure[[#This Row],[str_msr_population_or_survey]:[str_src_quality_url]]),str_weights)/str_weights_total</f>
        <v>0.82307692307692304</v>
      </c>
    </row>
    <row r="31" spans="1:45" x14ac:dyDescent="0.15">
      <c r="A31" s="30">
        <v>29</v>
      </c>
      <c r="B31" s="15">
        <f>COUNTIF(requirement_measure_map!$D$3:$D$1514,measure!A31)</f>
        <v>5</v>
      </c>
      <c r="C31" s="30" t="s">
        <v>208</v>
      </c>
      <c r="D31" s="15" t="s">
        <v>310</v>
      </c>
      <c r="E31" s="15" t="s">
        <v>311</v>
      </c>
      <c r="F31" s="15" t="s">
        <v>312</v>
      </c>
      <c r="G31" s="29" t="s">
        <v>212</v>
      </c>
      <c r="H31" s="15" t="s">
        <v>313</v>
      </c>
      <c r="I31" s="15" t="s">
        <v>214</v>
      </c>
      <c r="J31" s="15" t="s">
        <v>215</v>
      </c>
      <c r="K31" s="15" t="s">
        <v>314</v>
      </c>
      <c r="L31" s="15" t="s">
        <v>233</v>
      </c>
      <c r="M31" s="15" t="s">
        <v>218</v>
      </c>
      <c r="N31" s="15" t="s">
        <v>219</v>
      </c>
      <c r="O31" s="15" t="s">
        <v>219</v>
      </c>
      <c r="P31" s="15" t="s">
        <v>243</v>
      </c>
      <c r="Q31" s="15" t="s">
        <v>219</v>
      </c>
      <c r="R31" s="15" t="s">
        <v>219</v>
      </c>
      <c r="S31" s="15" t="s">
        <v>219</v>
      </c>
      <c r="T31" s="15" t="s">
        <v>218</v>
      </c>
      <c r="U31" s="15" t="s">
        <v>219</v>
      </c>
      <c r="V31" s="15" t="s">
        <v>219</v>
      </c>
      <c r="W31" s="15">
        <v>1</v>
      </c>
      <c r="X31" s="15" t="str">
        <f>_xlfn.XLOOKUP(tblMeasure[[#This Row],[id_src]],tblSource[id_src],tblSource[org])</f>
        <v>NHS Digital</v>
      </c>
      <c r="Y31" s="15" t="str">
        <f>_xlfn.XLOOKUP(tblMeasure[[#This Row],[id_src]],tblSource[id_src],tblSource[source])</f>
        <v>Adult Social Care Activity and Finance Report</v>
      </c>
      <c r="Z31" s="15" t="str">
        <f>_xlfn.XLOOKUP(tblMeasure[[#This Row],[id_src]],tblSource[id_src],tblSource[url_source])</f>
        <v>https://digital.nhs.uk/data-and-information/publications/statistical/adult-social-care-activity-and-finance-report/2018-19</v>
      </c>
      <c r="AA31" s="15">
        <f>_xlfn.XLOOKUP(tblMeasure[[#This Row],[id_src]],tblSource[id_src],tblSource[year_first_published])</f>
        <v>2016</v>
      </c>
      <c r="AB31" s="15">
        <f>_xlfn.XLOOKUP(tblMeasure[[#This Row],[id_src]],tblSource[id_src],tblSource[year_last_published])</f>
        <v>2019</v>
      </c>
      <c r="AC31" s="15" t="str">
        <f>_xlfn.XLOOKUP(tblMeasure[[#This Row],[id_src]],tblSource[id_src],tblSource[discontinuity])</f>
        <v>None</v>
      </c>
      <c r="AD31" s="15" t="str">
        <f>_xlfn.XLOOKUP(tblMeasure[[#This Row],[id_src]],tblSource[id_src],tblSource[publication_frequency])</f>
        <v>Annual</v>
      </c>
      <c r="AE31" s="15">
        <f>_xlfn.XLOOKUP(tblMeasure[[#This Row],[id_src]],tblSource[id_src],tblSource[publication_lag_months])</f>
        <v>7</v>
      </c>
      <c r="AF31" s="25" t="str">
        <f>_xlfn.XLOOKUP(tblMeasure[[#This Row],[id_src]],tblSource[id_src],tblSource[data_providers])</f>
        <v>LA</v>
      </c>
      <c r="AG31" s="25" t="str">
        <f>_xlfn.XLOOKUP(tblMeasure[[#This Row],[id_src]],tblSource[id_src],tblSource[statistic_class])</f>
        <v>National (ASC-FR) + Official (SALT)</v>
      </c>
      <c r="AH31" s="25" t="str">
        <f>_xlfn.XLOOKUP(tblMeasure[[#This Row],[id_src]],tblSource[id_src],tblSource[methodology_link])</f>
        <v>https://digital.nhs.uk/data-and-information/publications/statistical/adult-social-care-activity-and-finance-report/2018-19/data-quality-statement</v>
      </c>
      <c r="AI31" s="25" t="str">
        <f>_xlfn.XLOOKUP(tblMeasure[[#This Row],[id_src]],tblSource[id_src],tblSource[quality_issues])</f>
        <v>https://digital.nhs.uk/data-and-information/publications/statistical/adult-social-care-activity-and-finance-report/2018-19/data-quality-statement#accuracy-and-reliability</v>
      </c>
      <c r="AJ31" s="25">
        <f>VLOOKUP(tblMeasure[[#This Row],[msr_population_or_survey]],strlu_msr_population_or_survey,2,FALSE)</f>
        <v>1</v>
      </c>
      <c r="AK31" s="25">
        <f>VLOOKUP(tblMeasure[[#This Row],[msr_min_geo_resolution]],strlu_msr_min_geo_resolution,2,FALSE)</f>
        <v>0</v>
      </c>
      <c r="AL31" s="25">
        <f>(MAX(tblMeasure[[#This Row],[src_year_last_published]]-2010+1,0)+MIN(2010-tblMeasure[[#This Row],[src_year_first_published]],0)-MAX(tblMeasure[[#This Row],[src_year_last_published]]-2019,0))/10</f>
        <v>0.4</v>
      </c>
      <c r="AM31" s="25">
        <f>IF(OR(tblMeasure[[#This Row],[src_discontinuity]]="None",tblMeasure[[#This Row],[src_discontinuity]]=0),1,0)</f>
        <v>1</v>
      </c>
      <c r="AN31" s="25">
        <f>VLOOKUP(tblMeasure[[#This Row],[src_pub_frequency]],strlu_src_pub_frequency,2,FALSE)</f>
        <v>0.8</v>
      </c>
      <c r="AO31" s="25">
        <f>VLOOKUP(tblMeasure[[#This Row],[src_pub_lag_months]],strlu_src_pub_lag_months,2,FALSE)</f>
        <v>0.3</v>
      </c>
      <c r="AP31" s="25">
        <f>VLOOKUP(tblMeasure[[#This Row],[src_statistic_class]],strlu_src_statistic_class,2,FALSE)</f>
        <v>1</v>
      </c>
      <c r="AQ31" s="25">
        <f>IF(tblMeasure[[#This Row],[src_methodology_url]]="TBD",0,1)</f>
        <v>1</v>
      </c>
      <c r="AR31" s="25">
        <f>IF(tblMeasure[[#This Row],[src_quality_url]]="TBD",0,1)</f>
        <v>1</v>
      </c>
      <c r="AS31" s="85" cm="1">
        <f t="array" ref="AS31">SUMPRODUCT(TRANSPOSE(tblMeasure[[#This Row],[str_msr_population_or_survey]:[str_src_quality_url]]),str_weights)/str_weights_total</f>
        <v>0.66923076923076918</v>
      </c>
    </row>
    <row r="32" spans="1:45" x14ac:dyDescent="0.15">
      <c r="A32" s="30">
        <v>30</v>
      </c>
      <c r="B32" s="15">
        <f>COUNTIF(requirement_measure_map!$D$3:$D$1514,measure!A32)</f>
        <v>5</v>
      </c>
      <c r="C32" s="30" t="s">
        <v>315</v>
      </c>
      <c r="D32" s="15" t="s">
        <v>310</v>
      </c>
      <c r="E32" s="15" t="s">
        <v>316</v>
      </c>
      <c r="F32" s="15" t="s">
        <v>317</v>
      </c>
      <c r="G32" s="29" t="s">
        <v>212</v>
      </c>
      <c r="H32" s="15" t="s">
        <v>313</v>
      </c>
      <c r="I32" s="15" t="s">
        <v>214</v>
      </c>
      <c r="J32" s="15" t="s">
        <v>215</v>
      </c>
      <c r="K32" s="15" t="s">
        <v>314</v>
      </c>
      <c r="L32" s="15" t="s">
        <v>217</v>
      </c>
      <c r="M32" s="15" t="s">
        <v>220</v>
      </c>
      <c r="N32" s="15" t="s">
        <v>219</v>
      </c>
      <c r="O32" s="15" t="s">
        <v>219</v>
      </c>
      <c r="P32" s="15" t="s">
        <v>243</v>
      </c>
      <c r="Q32" s="15" t="s">
        <v>219</v>
      </c>
      <c r="R32" s="15" t="s">
        <v>219</v>
      </c>
      <c r="S32" s="15" t="s">
        <v>219</v>
      </c>
      <c r="T32" s="15" t="s">
        <v>218</v>
      </c>
      <c r="U32" s="15" t="s">
        <v>219</v>
      </c>
      <c r="V32" s="15" t="s">
        <v>219</v>
      </c>
      <c r="W32" s="15">
        <v>1</v>
      </c>
      <c r="X32" s="15" t="str">
        <f>_xlfn.XLOOKUP(tblMeasure[[#This Row],[id_src]],tblSource[id_src],tblSource[org])</f>
        <v>NHS Digital</v>
      </c>
      <c r="Y32" s="15" t="str">
        <f>_xlfn.XLOOKUP(tblMeasure[[#This Row],[id_src]],tblSource[id_src],tblSource[source])</f>
        <v>Adult Social Care Activity and Finance Report</v>
      </c>
      <c r="Z32" s="15" t="str">
        <f>_xlfn.XLOOKUP(tblMeasure[[#This Row],[id_src]],tblSource[id_src],tblSource[url_source])</f>
        <v>https://digital.nhs.uk/data-and-information/publications/statistical/adult-social-care-activity-and-finance-report/2018-19</v>
      </c>
      <c r="AA32" s="15">
        <f>_xlfn.XLOOKUP(tblMeasure[[#This Row],[id_src]],tblSource[id_src],tblSource[year_first_published])</f>
        <v>2016</v>
      </c>
      <c r="AB32" s="15">
        <f>_xlfn.XLOOKUP(tblMeasure[[#This Row],[id_src]],tblSource[id_src],tblSource[year_last_published])</f>
        <v>2019</v>
      </c>
      <c r="AC32" s="15" t="str">
        <f>_xlfn.XLOOKUP(tblMeasure[[#This Row],[id_src]],tblSource[id_src],tblSource[discontinuity])</f>
        <v>None</v>
      </c>
      <c r="AD32" s="15" t="str">
        <f>_xlfn.XLOOKUP(tblMeasure[[#This Row],[id_src]],tblSource[id_src],tblSource[publication_frequency])</f>
        <v>Annual</v>
      </c>
      <c r="AE32" s="15">
        <f>_xlfn.XLOOKUP(tblMeasure[[#This Row],[id_src]],tblSource[id_src],tblSource[publication_lag_months])</f>
        <v>7</v>
      </c>
      <c r="AF32" s="25" t="str">
        <f>_xlfn.XLOOKUP(tblMeasure[[#This Row],[id_src]],tblSource[id_src],tblSource[data_providers])</f>
        <v>LA</v>
      </c>
      <c r="AG32" s="25" t="str">
        <f>_xlfn.XLOOKUP(tblMeasure[[#This Row],[id_src]],tblSource[id_src],tblSource[statistic_class])</f>
        <v>National (ASC-FR) + Official (SALT)</v>
      </c>
      <c r="AH32" s="25" t="str">
        <f>_xlfn.XLOOKUP(tblMeasure[[#This Row],[id_src]],tblSource[id_src],tblSource[methodology_link])</f>
        <v>https://digital.nhs.uk/data-and-information/publications/statistical/adult-social-care-activity-and-finance-report/2018-19/data-quality-statement</v>
      </c>
      <c r="AI32" s="25" t="str">
        <f>_xlfn.XLOOKUP(tblMeasure[[#This Row],[id_src]],tblSource[id_src],tblSource[quality_issues])</f>
        <v>https://digital.nhs.uk/data-and-information/publications/statistical/adult-social-care-activity-and-finance-report/2018-19/data-quality-statement#accuracy-and-reliability</v>
      </c>
      <c r="AJ32" s="25">
        <f>VLOOKUP(tblMeasure[[#This Row],[msr_population_or_survey]],strlu_msr_population_or_survey,2,FALSE)</f>
        <v>1</v>
      </c>
      <c r="AK32" s="25">
        <f>VLOOKUP(tblMeasure[[#This Row],[msr_min_geo_resolution]],strlu_msr_min_geo_resolution,2,FALSE)</f>
        <v>1</v>
      </c>
      <c r="AL32" s="25">
        <f>(MAX(tblMeasure[[#This Row],[src_year_last_published]]-2010+1,0)+MIN(2010-tblMeasure[[#This Row],[src_year_first_published]],0)-MAX(tblMeasure[[#This Row],[src_year_last_published]]-2019,0))/10</f>
        <v>0.4</v>
      </c>
      <c r="AM32" s="25">
        <f>IF(OR(tblMeasure[[#This Row],[src_discontinuity]]="None",tblMeasure[[#This Row],[src_discontinuity]]=0),1,0)</f>
        <v>1</v>
      </c>
      <c r="AN32" s="25">
        <f>VLOOKUP(tblMeasure[[#This Row],[src_pub_frequency]],strlu_src_pub_frequency,2,FALSE)</f>
        <v>0.8</v>
      </c>
      <c r="AO32" s="25">
        <f>VLOOKUP(tblMeasure[[#This Row],[src_pub_lag_months]],strlu_src_pub_lag_months,2,FALSE)</f>
        <v>0.3</v>
      </c>
      <c r="AP32" s="25">
        <f>VLOOKUP(tblMeasure[[#This Row],[src_statistic_class]],strlu_src_statistic_class,2,FALSE)</f>
        <v>1</v>
      </c>
      <c r="AQ32" s="25">
        <f>IF(tblMeasure[[#This Row],[src_methodology_url]]="TBD",0,1)</f>
        <v>1</v>
      </c>
      <c r="AR32" s="25">
        <f>IF(tblMeasure[[#This Row],[src_quality_url]]="TBD",0,1)</f>
        <v>1</v>
      </c>
      <c r="AS32" s="85" cm="1">
        <f t="array" ref="AS32">SUMPRODUCT(TRANSPOSE(tblMeasure[[#This Row],[str_msr_population_or_survey]:[str_src_quality_url]]),str_weights)/str_weights_total</f>
        <v>0.82307692307692304</v>
      </c>
    </row>
    <row r="33" spans="1:45" x14ac:dyDescent="0.15">
      <c r="A33" s="30">
        <v>31</v>
      </c>
      <c r="B33" s="15">
        <f>COUNTIF(requirement_measure_map!$D$3:$D$1514,measure!A33)</f>
        <v>5</v>
      </c>
      <c r="C33" s="30" t="s">
        <v>315</v>
      </c>
      <c r="D33" s="15" t="s">
        <v>310</v>
      </c>
      <c r="E33" s="15" t="s">
        <v>318</v>
      </c>
      <c r="F33" s="15" t="s">
        <v>319</v>
      </c>
      <c r="G33" s="29" t="s">
        <v>212</v>
      </c>
      <c r="H33" s="15" t="s">
        <v>313</v>
      </c>
      <c r="I33" s="15" t="s">
        <v>214</v>
      </c>
      <c r="J33" s="15" t="s">
        <v>215</v>
      </c>
      <c r="K33" s="15" t="s">
        <v>314</v>
      </c>
      <c r="L33" s="15" t="s">
        <v>217</v>
      </c>
      <c r="M33" s="15" t="s">
        <v>220</v>
      </c>
      <c r="N33" s="15" t="s">
        <v>219</v>
      </c>
      <c r="O33" s="15" t="s">
        <v>219</v>
      </c>
      <c r="P33" s="15" t="s">
        <v>243</v>
      </c>
      <c r="Q33" s="15" t="s">
        <v>219</v>
      </c>
      <c r="R33" s="15" t="s">
        <v>219</v>
      </c>
      <c r="S33" s="15" t="s">
        <v>219</v>
      </c>
      <c r="T33" s="15" t="s">
        <v>218</v>
      </c>
      <c r="U33" s="15" t="s">
        <v>219</v>
      </c>
      <c r="V33" s="15" t="s">
        <v>219</v>
      </c>
      <c r="W33" s="15">
        <v>1</v>
      </c>
      <c r="X33" s="15" t="str">
        <f>_xlfn.XLOOKUP(tblMeasure[[#This Row],[id_src]],tblSource[id_src],tblSource[org])</f>
        <v>NHS Digital</v>
      </c>
      <c r="Y33" s="15" t="str">
        <f>_xlfn.XLOOKUP(tblMeasure[[#This Row],[id_src]],tblSource[id_src],tblSource[source])</f>
        <v>Adult Social Care Activity and Finance Report</v>
      </c>
      <c r="Z33" s="15" t="str">
        <f>_xlfn.XLOOKUP(tblMeasure[[#This Row],[id_src]],tblSource[id_src],tblSource[url_source])</f>
        <v>https://digital.nhs.uk/data-and-information/publications/statistical/adult-social-care-activity-and-finance-report/2018-19</v>
      </c>
      <c r="AA33" s="15">
        <f>_xlfn.XLOOKUP(tblMeasure[[#This Row],[id_src]],tblSource[id_src],tblSource[year_first_published])</f>
        <v>2016</v>
      </c>
      <c r="AB33" s="15">
        <f>_xlfn.XLOOKUP(tblMeasure[[#This Row],[id_src]],tblSource[id_src],tblSource[year_last_published])</f>
        <v>2019</v>
      </c>
      <c r="AC33" s="15" t="str">
        <f>_xlfn.XLOOKUP(tblMeasure[[#This Row],[id_src]],tblSource[id_src],tblSource[discontinuity])</f>
        <v>None</v>
      </c>
      <c r="AD33" s="15" t="str">
        <f>_xlfn.XLOOKUP(tblMeasure[[#This Row],[id_src]],tblSource[id_src],tblSource[publication_frequency])</f>
        <v>Annual</v>
      </c>
      <c r="AE33" s="15">
        <f>_xlfn.XLOOKUP(tblMeasure[[#This Row],[id_src]],tblSource[id_src],tblSource[publication_lag_months])</f>
        <v>7</v>
      </c>
      <c r="AF33" s="25" t="str">
        <f>_xlfn.XLOOKUP(tblMeasure[[#This Row],[id_src]],tblSource[id_src],tblSource[data_providers])</f>
        <v>LA</v>
      </c>
      <c r="AG33" s="25" t="str">
        <f>_xlfn.XLOOKUP(tblMeasure[[#This Row],[id_src]],tblSource[id_src],tblSource[statistic_class])</f>
        <v>National (ASC-FR) + Official (SALT)</v>
      </c>
      <c r="AH33" s="25" t="str">
        <f>_xlfn.XLOOKUP(tblMeasure[[#This Row],[id_src]],tblSource[id_src],tblSource[methodology_link])</f>
        <v>https://digital.nhs.uk/data-and-information/publications/statistical/adult-social-care-activity-and-finance-report/2018-19/data-quality-statement</v>
      </c>
      <c r="AI33" s="25" t="str">
        <f>_xlfn.XLOOKUP(tblMeasure[[#This Row],[id_src]],tblSource[id_src],tblSource[quality_issues])</f>
        <v>https://digital.nhs.uk/data-and-information/publications/statistical/adult-social-care-activity-and-finance-report/2018-19/data-quality-statement#accuracy-and-reliability</v>
      </c>
      <c r="AJ33" s="25">
        <f>VLOOKUP(tblMeasure[[#This Row],[msr_population_or_survey]],strlu_msr_population_or_survey,2,FALSE)</f>
        <v>1</v>
      </c>
      <c r="AK33" s="25">
        <f>VLOOKUP(tblMeasure[[#This Row],[msr_min_geo_resolution]],strlu_msr_min_geo_resolution,2,FALSE)</f>
        <v>1</v>
      </c>
      <c r="AL33" s="25">
        <f>(MAX(tblMeasure[[#This Row],[src_year_last_published]]-2010+1,0)+MIN(2010-tblMeasure[[#This Row],[src_year_first_published]],0)-MAX(tblMeasure[[#This Row],[src_year_last_published]]-2019,0))/10</f>
        <v>0.4</v>
      </c>
      <c r="AM33" s="25">
        <f>IF(OR(tblMeasure[[#This Row],[src_discontinuity]]="None",tblMeasure[[#This Row],[src_discontinuity]]=0),1,0)</f>
        <v>1</v>
      </c>
      <c r="AN33" s="25">
        <f>VLOOKUP(tblMeasure[[#This Row],[src_pub_frequency]],strlu_src_pub_frequency,2,FALSE)</f>
        <v>0.8</v>
      </c>
      <c r="AO33" s="25">
        <f>VLOOKUP(tblMeasure[[#This Row],[src_pub_lag_months]],strlu_src_pub_lag_months,2,FALSE)</f>
        <v>0.3</v>
      </c>
      <c r="AP33" s="25">
        <f>VLOOKUP(tblMeasure[[#This Row],[src_statistic_class]],strlu_src_statistic_class,2,FALSE)</f>
        <v>1</v>
      </c>
      <c r="AQ33" s="25">
        <f>IF(tblMeasure[[#This Row],[src_methodology_url]]="TBD",0,1)</f>
        <v>1</v>
      </c>
      <c r="AR33" s="25">
        <f>IF(tblMeasure[[#This Row],[src_quality_url]]="TBD",0,1)</f>
        <v>1</v>
      </c>
      <c r="AS33" s="85" cm="1">
        <f t="array" ref="AS33">SUMPRODUCT(TRANSPOSE(tblMeasure[[#This Row],[str_msr_population_or_survey]:[str_src_quality_url]]),str_weights)/str_weights_total</f>
        <v>0.82307692307692304</v>
      </c>
    </row>
    <row r="34" spans="1:45" hidden="1" x14ac:dyDescent="0.15">
      <c r="A34" s="30">
        <v>32</v>
      </c>
      <c r="B34" s="15">
        <f>COUNTIF(requirement_measure_map!$D$3:$D$1514,measure!A34)</f>
        <v>0</v>
      </c>
      <c r="C34" s="30" t="s">
        <v>293</v>
      </c>
      <c r="D34" s="15" t="s">
        <v>310</v>
      </c>
      <c r="E34" s="15" t="s">
        <v>320</v>
      </c>
      <c r="F34" s="15" t="s">
        <v>321</v>
      </c>
      <c r="G34" s="29" t="s">
        <v>212</v>
      </c>
      <c r="H34" s="15" t="s">
        <v>313</v>
      </c>
      <c r="I34" s="15" t="s">
        <v>214</v>
      </c>
      <c r="J34" s="15" t="s">
        <v>215</v>
      </c>
      <c r="K34" s="15" t="s">
        <v>232</v>
      </c>
      <c r="L34" s="15" t="s">
        <v>217</v>
      </c>
      <c r="M34" s="15" t="s">
        <v>219</v>
      </c>
      <c r="N34" s="15" t="s">
        <v>219</v>
      </c>
      <c r="O34" s="15" t="s">
        <v>219</v>
      </c>
      <c r="P34" s="15" t="s">
        <v>219</v>
      </c>
      <c r="Q34" s="15" t="s">
        <v>219</v>
      </c>
      <c r="R34" s="15" t="s">
        <v>219</v>
      </c>
      <c r="S34" s="15" t="s">
        <v>219</v>
      </c>
      <c r="T34" s="15" t="s">
        <v>220</v>
      </c>
      <c r="U34" s="15" t="s">
        <v>219</v>
      </c>
      <c r="V34" s="15" t="s">
        <v>219</v>
      </c>
      <c r="W34" s="15">
        <v>1</v>
      </c>
      <c r="X34" s="15" t="str">
        <f>_xlfn.XLOOKUP(tblMeasure[[#This Row],[id_src]],tblSource[id_src],tblSource[org])</f>
        <v>NHS Digital</v>
      </c>
      <c r="Y34" s="15" t="str">
        <f>_xlfn.XLOOKUP(tblMeasure[[#This Row],[id_src]],tblSource[id_src],tblSource[source])</f>
        <v>Adult Social Care Activity and Finance Report</v>
      </c>
      <c r="Z34" s="15" t="str">
        <f>_xlfn.XLOOKUP(tblMeasure[[#This Row],[id_src]],tblSource[id_src],tblSource[url_source])</f>
        <v>https://digital.nhs.uk/data-and-information/publications/statistical/adult-social-care-activity-and-finance-report/2018-19</v>
      </c>
      <c r="AA34" s="15">
        <f>_xlfn.XLOOKUP(tblMeasure[[#This Row],[id_src]],tblSource[id_src],tblSource[year_first_published])</f>
        <v>2016</v>
      </c>
      <c r="AB34" s="15">
        <f>_xlfn.XLOOKUP(tblMeasure[[#This Row],[id_src]],tblSource[id_src],tblSource[year_last_published])</f>
        <v>2019</v>
      </c>
      <c r="AC34" s="15" t="str">
        <f>_xlfn.XLOOKUP(tblMeasure[[#This Row],[id_src]],tblSource[id_src],tblSource[discontinuity])</f>
        <v>None</v>
      </c>
      <c r="AD34" s="15" t="str">
        <f>_xlfn.XLOOKUP(tblMeasure[[#This Row],[id_src]],tblSource[id_src],tblSource[publication_frequency])</f>
        <v>Annual</v>
      </c>
      <c r="AE34" s="15">
        <f>_xlfn.XLOOKUP(tblMeasure[[#This Row],[id_src]],tblSource[id_src],tblSource[publication_lag_months])</f>
        <v>7</v>
      </c>
      <c r="AF34" s="25" t="str">
        <f>_xlfn.XLOOKUP(tblMeasure[[#This Row],[id_src]],tblSource[id_src],tblSource[data_providers])</f>
        <v>LA</v>
      </c>
      <c r="AG34" s="25" t="str">
        <f>_xlfn.XLOOKUP(tblMeasure[[#This Row],[id_src]],tblSource[id_src],tblSource[statistic_class])</f>
        <v>National (ASC-FR) + Official (SALT)</v>
      </c>
      <c r="AH34" s="25" t="str">
        <f>_xlfn.XLOOKUP(tblMeasure[[#This Row],[id_src]],tblSource[id_src],tblSource[methodology_link])</f>
        <v>https://digital.nhs.uk/data-and-information/publications/statistical/adult-social-care-activity-and-finance-report/2018-19/data-quality-statement</v>
      </c>
      <c r="AI34" s="25" t="str">
        <f>_xlfn.XLOOKUP(tblMeasure[[#This Row],[id_src]],tblSource[id_src],tblSource[quality_issues])</f>
        <v>https://digital.nhs.uk/data-and-information/publications/statistical/adult-social-care-activity-and-finance-report/2018-19/data-quality-statement#accuracy-and-reliability</v>
      </c>
      <c r="AJ34" s="25">
        <f>VLOOKUP(tblMeasure[[#This Row],[msr_population_or_survey]],strlu_msr_population_or_survey,2,FALSE)</f>
        <v>1</v>
      </c>
      <c r="AK34" s="25">
        <f>VLOOKUP(tblMeasure[[#This Row],[msr_min_geo_resolution]],strlu_msr_min_geo_resolution,2,FALSE)</f>
        <v>1</v>
      </c>
      <c r="AL34" s="25">
        <f>(MAX(tblMeasure[[#This Row],[src_year_last_published]]-2010+1,0)+MIN(2010-tblMeasure[[#This Row],[src_year_first_published]],0)-MAX(tblMeasure[[#This Row],[src_year_last_published]]-2019,0))/10</f>
        <v>0.4</v>
      </c>
      <c r="AM34" s="25">
        <f>IF(OR(tblMeasure[[#This Row],[src_discontinuity]]="None",tblMeasure[[#This Row],[src_discontinuity]]=0),1,0)</f>
        <v>1</v>
      </c>
      <c r="AN34" s="25">
        <f>VLOOKUP(tblMeasure[[#This Row],[src_pub_frequency]],strlu_src_pub_frequency,2,FALSE)</f>
        <v>0.8</v>
      </c>
      <c r="AO34" s="25">
        <f>VLOOKUP(tblMeasure[[#This Row],[src_pub_lag_months]],strlu_src_pub_lag_months,2,FALSE)</f>
        <v>0.3</v>
      </c>
      <c r="AP34" s="25">
        <f>VLOOKUP(tblMeasure[[#This Row],[src_statistic_class]],strlu_src_statistic_class,2,FALSE)</f>
        <v>1</v>
      </c>
      <c r="AQ34" s="25">
        <f>IF(tblMeasure[[#This Row],[src_methodology_url]]="TBD",0,1)</f>
        <v>1</v>
      </c>
      <c r="AR34" s="25">
        <f>IF(tblMeasure[[#This Row],[src_quality_url]]="TBD",0,1)</f>
        <v>1</v>
      </c>
      <c r="AS34" s="85" cm="1">
        <f t="array" ref="AS34">SUMPRODUCT(TRANSPOSE(tblMeasure[[#This Row],[str_msr_population_or_survey]:[str_src_quality_url]]),str_weights)/str_weights_total</f>
        <v>0.82307692307692304</v>
      </c>
    </row>
    <row r="35" spans="1:45" hidden="1" x14ac:dyDescent="0.15">
      <c r="A35" s="30">
        <v>33</v>
      </c>
      <c r="B35" s="15">
        <f>COUNTIF(requirement_measure_map!$D$3:$D$1514,measure!A35)</f>
        <v>3</v>
      </c>
      <c r="C35" s="30" t="s">
        <v>315</v>
      </c>
      <c r="D35" s="15" t="s">
        <v>322</v>
      </c>
      <c r="E35" s="15" t="s">
        <v>323</v>
      </c>
      <c r="F35" s="15" t="s">
        <v>324</v>
      </c>
      <c r="G35" s="29" t="s">
        <v>212</v>
      </c>
      <c r="H35" s="15" t="s">
        <v>325</v>
      </c>
      <c r="I35" s="15" t="s">
        <v>214</v>
      </c>
      <c r="J35" s="15" t="s">
        <v>215</v>
      </c>
      <c r="K35" s="15" t="s">
        <v>326</v>
      </c>
      <c r="L35" s="15" t="s">
        <v>217</v>
      </c>
      <c r="M35" s="15" t="s">
        <v>218</v>
      </c>
      <c r="N35" s="15" t="s">
        <v>219</v>
      </c>
      <c r="O35" s="15" t="s">
        <v>219</v>
      </c>
      <c r="P35" s="15" t="s">
        <v>219</v>
      </c>
      <c r="Q35" s="15" t="s">
        <v>219</v>
      </c>
      <c r="R35" s="15" t="s">
        <v>219</v>
      </c>
      <c r="S35" s="15" t="s">
        <v>219</v>
      </c>
      <c r="T35" s="15" t="s">
        <v>220</v>
      </c>
      <c r="U35" s="15" t="s">
        <v>219</v>
      </c>
      <c r="V35" s="15" t="s">
        <v>236</v>
      </c>
      <c r="W35" s="15">
        <v>1</v>
      </c>
      <c r="X35" s="15" t="str">
        <f>_xlfn.XLOOKUP(tblMeasure[[#This Row],[id_src]],tblSource[id_src],tblSource[org])</f>
        <v>NHS Digital</v>
      </c>
      <c r="Y35" s="15" t="str">
        <f>_xlfn.XLOOKUP(tblMeasure[[#This Row],[id_src]],tblSource[id_src],tblSource[source])</f>
        <v>Adult Social Care Activity and Finance Report</v>
      </c>
      <c r="Z35" s="15" t="str">
        <f>_xlfn.XLOOKUP(tblMeasure[[#This Row],[id_src]],tblSource[id_src],tblSource[url_source])</f>
        <v>https://digital.nhs.uk/data-and-information/publications/statistical/adult-social-care-activity-and-finance-report/2018-19</v>
      </c>
      <c r="AA35" s="15">
        <f>_xlfn.XLOOKUP(tblMeasure[[#This Row],[id_src]],tblSource[id_src],tblSource[year_first_published])</f>
        <v>2016</v>
      </c>
      <c r="AB35" s="15">
        <f>_xlfn.XLOOKUP(tblMeasure[[#This Row],[id_src]],tblSource[id_src],tblSource[year_last_published])</f>
        <v>2019</v>
      </c>
      <c r="AC35" s="15" t="str">
        <f>_xlfn.XLOOKUP(tblMeasure[[#This Row],[id_src]],tblSource[id_src],tblSource[discontinuity])</f>
        <v>None</v>
      </c>
      <c r="AD35" s="15" t="str">
        <f>_xlfn.XLOOKUP(tblMeasure[[#This Row],[id_src]],tblSource[id_src],tblSource[publication_frequency])</f>
        <v>Annual</v>
      </c>
      <c r="AE35" s="15">
        <f>_xlfn.XLOOKUP(tblMeasure[[#This Row],[id_src]],tblSource[id_src],tblSource[publication_lag_months])</f>
        <v>7</v>
      </c>
      <c r="AF35" s="25" t="str">
        <f>_xlfn.XLOOKUP(tblMeasure[[#This Row],[id_src]],tblSource[id_src],tblSource[data_providers])</f>
        <v>LA</v>
      </c>
      <c r="AG35" s="25" t="str">
        <f>_xlfn.XLOOKUP(tblMeasure[[#This Row],[id_src]],tblSource[id_src],tblSource[statistic_class])</f>
        <v>National (ASC-FR) + Official (SALT)</v>
      </c>
      <c r="AH35" s="25" t="str">
        <f>_xlfn.XLOOKUP(tblMeasure[[#This Row],[id_src]],tblSource[id_src],tblSource[methodology_link])</f>
        <v>https://digital.nhs.uk/data-and-information/publications/statistical/adult-social-care-activity-and-finance-report/2018-19/data-quality-statement</v>
      </c>
      <c r="AI35" s="25" t="str">
        <f>_xlfn.XLOOKUP(tblMeasure[[#This Row],[id_src]],tblSource[id_src],tblSource[quality_issues])</f>
        <v>https://digital.nhs.uk/data-and-information/publications/statistical/adult-social-care-activity-and-finance-report/2018-19/data-quality-statement#accuracy-and-reliability</v>
      </c>
      <c r="AJ35" s="25">
        <f>VLOOKUP(tblMeasure[[#This Row],[msr_population_or_survey]],strlu_msr_population_or_survey,2,FALSE)</f>
        <v>1</v>
      </c>
      <c r="AK35" s="25">
        <f>VLOOKUP(tblMeasure[[#This Row],[msr_min_geo_resolution]],strlu_msr_min_geo_resolution,2,FALSE)</f>
        <v>1</v>
      </c>
      <c r="AL35" s="25">
        <f>(MAX(tblMeasure[[#This Row],[src_year_last_published]]-2010+1,0)+MIN(2010-tblMeasure[[#This Row],[src_year_first_published]],0)-MAX(tblMeasure[[#This Row],[src_year_last_published]]-2019,0))/10</f>
        <v>0.4</v>
      </c>
      <c r="AM35" s="25">
        <f>IF(OR(tblMeasure[[#This Row],[src_discontinuity]]="None",tblMeasure[[#This Row],[src_discontinuity]]=0),1,0)</f>
        <v>1</v>
      </c>
      <c r="AN35" s="25">
        <f>VLOOKUP(tblMeasure[[#This Row],[src_pub_frequency]],strlu_src_pub_frequency,2,FALSE)</f>
        <v>0.8</v>
      </c>
      <c r="AO35" s="25">
        <f>VLOOKUP(tblMeasure[[#This Row],[src_pub_lag_months]],strlu_src_pub_lag_months,2,FALSE)</f>
        <v>0.3</v>
      </c>
      <c r="AP35" s="25">
        <f>VLOOKUP(tblMeasure[[#This Row],[src_statistic_class]],strlu_src_statistic_class,2,FALSE)</f>
        <v>1</v>
      </c>
      <c r="AQ35" s="25">
        <f>IF(tblMeasure[[#This Row],[src_methodology_url]]="TBD",0,1)</f>
        <v>1</v>
      </c>
      <c r="AR35" s="25">
        <f>IF(tblMeasure[[#This Row],[src_quality_url]]="TBD",0,1)</f>
        <v>1</v>
      </c>
      <c r="AS35" s="85" cm="1">
        <f t="array" ref="AS35">SUMPRODUCT(TRANSPOSE(tblMeasure[[#This Row],[str_msr_population_or_survey]:[str_src_quality_url]]),str_weights)/str_weights_total</f>
        <v>0.82307692307692304</v>
      </c>
    </row>
    <row r="36" spans="1:45" hidden="1" x14ac:dyDescent="0.15">
      <c r="A36" s="30">
        <v>34</v>
      </c>
      <c r="B36" s="15">
        <f>COUNTIF(requirement_measure_map!$D$3:$D$1514,measure!A36)</f>
        <v>6</v>
      </c>
      <c r="C36" s="30" t="s">
        <v>315</v>
      </c>
      <c r="D36" s="15" t="s">
        <v>322</v>
      </c>
      <c r="E36" s="15" t="s">
        <v>327</v>
      </c>
      <c r="F36" s="15" t="s">
        <v>328</v>
      </c>
      <c r="G36" s="29" t="s">
        <v>212</v>
      </c>
      <c r="H36" s="15" t="s">
        <v>329</v>
      </c>
      <c r="I36" s="15" t="s">
        <v>214</v>
      </c>
      <c r="J36" s="15" t="s">
        <v>215</v>
      </c>
      <c r="K36" s="15" t="s">
        <v>326</v>
      </c>
      <c r="L36" s="15" t="s">
        <v>217</v>
      </c>
      <c r="M36" s="15" t="s">
        <v>218</v>
      </c>
      <c r="N36" s="15" t="s">
        <v>219</v>
      </c>
      <c r="O36" s="15" t="s">
        <v>219</v>
      </c>
      <c r="P36" s="15" t="s">
        <v>219</v>
      </c>
      <c r="Q36" s="15" t="s">
        <v>219</v>
      </c>
      <c r="R36" s="15" t="s">
        <v>219</v>
      </c>
      <c r="S36" s="15" t="s">
        <v>219</v>
      </c>
      <c r="T36" s="15" t="s">
        <v>220</v>
      </c>
      <c r="U36" s="15" t="s">
        <v>330</v>
      </c>
      <c r="V36" s="15" t="s">
        <v>219</v>
      </c>
      <c r="W36" s="15">
        <v>1</v>
      </c>
      <c r="X36" s="15" t="str">
        <f>_xlfn.XLOOKUP(tblMeasure[[#This Row],[id_src]],tblSource[id_src],tblSource[org])</f>
        <v>NHS Digital</v>
      </c>
      <c r="Y36" s="15" t="str">
        <f>_xlfn.XLOOKUP(tblMeasure[[#This Row],[id_src]],tblSource[id_src],tblSource[source])</f>
        <v>Adult Social Care Activity and Finance Report</v>
      </c>
      <c r="Z36" s="15" t="str">
        <f>_xlfn.XLOOKUP(tblMeasure[[#This Row],[id_src]],tblSource[id_src],tblSource[url_source])</f>
        <v>https://digital.nhs.uk/data-and-information/publications/statistical/adult-social-care-activity-and-finance-report/2018-19</v>
      </c>
      <c r="AA36" s="15">
        <f>_xlfn.XLOOKUP(tblMeasure[[#This Row],[id_src]],tblSource[id_src],tblSource[year_first_published])</f>
        <v>2016</v>
      </c>
      <c r="AB36" s="15">
        <f>_xlfn.XLOOKUP(tblMeasure[[#This Row],[id_src]],tblSource[id_src],tblSource[year_last_published])</f>
        <v>2019</v>
      </c>
      <c r="AC36" s="15" t="str">
        <f>_xlfn.XLOOKUP(tblMeasure[[#This Row],[id_src]],tblSource[id_src],tblSource[discontinuity])</f>
        <v>None</v>
      </c>
      <c r="AD36" s="15" t="str">
        <f>_xlfn.XLOOKUP(tblMeasure[[#This Row],[id_src]],tblSource[id_src],tblSource[publication_frequency])</f>
        <v>Annual</v>
      </c>
      <c r="AE36" s="15">
        <f>_xlfn.XLOOKUP(tblMeasure[[#This Row],[id_src]],tblSource[id_src],tblSource[publication_lag_months])</f>
        <v>7</v>
      </c>
      <c r="AF36" s="25" t="str">
        <f>_xlfn.XLOOKUP(tblMeasure[[#This Row],[id_src]],tblSource[id_src],tblSource[data_providers])</f>
        <v>LA</v>
      </c>
      <c r="AG36" s="25" t="str">
        <f>_xlfn.XLOOKUP(tblMeasure[[#This Row],[id_src]],tblSource[id_src],tblSource[statistic_class])</f>
        <v>National (ASC-FR) + Official (SALT)</v>
      </c>
      <c r="AH36" s="25" t="str">
        <f>_xlfn.XLOOKUP(tblMeasure[[#This Row],[id_src]],tblSource[id_src],tblSource[methodology_link])</f>
        <v>https://digital.nhs.uk/data-and-information/publications/statistical/adult-social-care-activity-and-finance-report/2018-19/data-quality-statement</v>
      </c>
      <c r="AI36" s="25" t="str">
        <f>_xlfn.XLOOKUP(tblMeasure[[#This Row],[id_src]],tblSource[id_src],tblSource[quality_issues])</f>
        <v>https://digital.nhs.uk/data-and-information/publications/statistical/adult-social-care-activity-and-finance-report/2018-19/data-quality-statement#accuracy-and-reliability</v>
      </c>
      <c r="AJ36" s="25">
        <f>VLOOKUP(tblMeasure[[#This Row],[msr_population_or_survey]],strlu_msr_population_or_survey,2,FALSE)</f>
        <v>1</v>
      </c>
      <c r="AK36" s="25">
        <f>VLOOKUP(tblMeasure[[#This Row],[msr_min_geo_resolution]],strlu_msr_min_geo_resolution,2,FALSE)</f>
        <v>1</v>
      </c>
      <c r="AL36" s="25">
        <f>(MAX(tblMeasure[[#This Row],[src_year_last_published]]-2010+1,0)+MIN(2010-tblMeasure[[#This Row],[src_year_first_published]],0)-MAX(tblMeasure[[#This Row],[src_year_last_published]]-2019,0))/10</f>
        <v>0.4</v>
      </c>
      <c r="AM36" s="25">
        <f>IF(OR(tblMeasure[[#This Row],[src_discontinuity]]="None",tblMeasure[[#This Row],[src_discontinuity]]=0),1,0)</f>
        <v>1</v>
      </c>
      <c r="AN36" s="25">
        <f>VLOOKUP(tblMeasure[[#This Row],[src_pub_frequency]],strlu_src_pub_frequency,2,FALSE)</f>
        <v>0.8</v>
      </c>
      <c r="AO36" s="25">
        <f>VLOOKUP(tblMeasure[[#This Row],[src_pub_lag_months]],strlu_src_pub_lag_months,2,FALSE)</f>
        <v>0.3</v>
      </c>
      <c r="AP36" s="25">
        <f>VLOOKUP(tblMeasure[[#This Row],[src_statistic_class]],strlu_src_statistic_class,2,FALSE)</f>
        <v>1</v>
      </c>
      <c r="AQ36" s="25">
        <f>IF(tblMeasure[[#This Row],[src_methodology_url]]="TBD",0,1)</f>
        <v>1</v>
      </c>
      <c r="AR36" s="25">
        <f>IF(tblMeasure[[#This Row],[src_quality_url]]="TBD",0,1)</f>
        <v>1</v>
      </c>
      <c r="AS36" s="85" cm="1">
        <f t="array" ref="AS36">SUMPRODUCT(TRANSPOSE(tblMeasure[[#This Row],[str_msr_population_or_survey]:[str_src_quality_url]]),str_weights)/str_weights_total</f>
        <v>0.82307692307692304</v>
      </c>
    </row>
    <row r="37" spans="1:45" x14ac:dyDescent="0.15">
      <c r="A37" s="30">
        <v>35</v>
      </c>
      <c r="B37" s="15">
        <f>COUNTIF(requirement_measure_map!$D$3:$D$1514,measure!A37)</f>
        <v>7</v>
      </c>
      <c r="C37" s="30" t="s">
        <v>315</v>
      </c>
      <c r="D37" s="15" t="s">
        <v>322</v>
      </c>
      <c r="E37" s="15" t="s">
        <v>331</v>
      </c>
      <c r="F37" s="15" t="s">
        <v>332</v>
      </c>
      <c r="G37" s="29" t="s">
        <v>212</v>
      </c>
      <c r="H37" s="15" t="s">
        <v>329</v>
      </c>
      <c r="I37" s="15" t="s">
        <v>214</v>
      </c>
      <c r="J37" s="15" t="s">
        <v>215</v>
      </c>
      <c r="K37" s="15" t="s">
        <v>326</v>
      </c>
      <c r="L37" s="15" t="s">
        <v>233</v>
      </c>
      <c r="M37" s="15" t="s">
        <v>218</v>
      </c>
      <c r="N37" s="15" t="s">
        <v>219</v>
      </c>
      <c r="O37" s="15" t="s">
        <v>219</v>
      </c>
      <c r="P37" s="15" t="s">
        <v>292</v>
      </c>
      <c r="Q37" s="15" t="s">
        <v>219</v>
      </c>
      <c r="R37" s="15" t="s">
        <v>219</v>
      </c>
      <c r="S37" s="15" t="s">
        <v>219</v>
      </c>
      <c r="T37" s="15" t="s">
        <v>220</v>
      </c>
      <c r="U37" s="15" t="s">
        <v>330</v>
      </c>
      <c r="V37" s="15" t="s">
        <v>219</v>
      </c>
      <c r="W37" s="15">
        <v>1</v>
      </c>
      <c r="X37" s="15" t="str">
        <f>_xlfn.XLOOKUP(tblMeasure[[#This Row],[id_src]],tblSource[id_src],tblSource[org])</f>
        <v>NHS Digital</v>
      </c>
      <c r="Y37" s="15" t="str">
        <f>_xlfn.XLOOKUP(tblMeasure[[#This Row],[id_src]],tblSource[id_src],tblSource[source])</f>
        <v>Adult Social Care Activity and Finance Report</v>
      </c>
      <c r="Z37" s="15" t="str">
        <f>_xlfn.XLOOKUP(tblMeasure[[#This Row],[id_src]],tblSource[id_src],tblSource[url_source])</f>
        <v>https://digital.nhs.uk/data-and-information/publications/statistical/adult-social-care-activity-and-finance-report/2018-19</v>
      </c>
      <c r="AA37" s="15">
        <f>_xlfn.XLOOKUP(tblMeasure[[#This Row],[id_src]],tblSource[id_src],tblSource[year_first_published])</f>
        <v>2016</v>
      </c>
      <c r="AB37" s="15">
        <f>_xlfn.XLOOKUP(tblMeasure[[#This Row],[id_src]],tblSource[id_src],tblSource[year_last_published])</f>
        <v>2019</v>
      </c>
      <c r="AC37" s="15" t="str">
        <f>_xlfn.XLOOKUP(tblMeasure[[#This Row],[id_src]],tblSource[id_src],tblSource[discontinuity])</f>
        <v>None</v>
      </c>
      <c r="AD37" s="15" t="str">
        <f>_xlfn.XLOOKUP(tblMeasure[[#This Row],[id_src]],tblSource[id_src],tblSource[publication_frequency])</f>
        <v>Annual</v>
      </c>
      <c r="AE37" s="15">
        <f>_xlfn.XLOOKUP(tblMeasure[[#This Row],[id_src]],tblSource[id_src],tblSource[publication_lag_months])</f>
        <v>7</v>
      </c>
      <c r="AF37" s="25" t="str">
        <f>_xlfn.XLOOKUP(tblMeasure[[#This Row],[id_src]],tblSource[id_src],tblSource[data_providers])</f>
        <v>LA</v>
      </c>
      <c r="AG37" s="25" t="str">
        <f>_xlfn.XLOOKUP(tblMeasure[[#This Row],[id_src]],tblSource[id_src],tblSource[statistic_class])</f>
        <v>National (ASC-FR) + Official (SALT)</v>
      </c>
      <c r="AH37" s="25" t="str">
        <f>_xlfn.XLOOKUP(tblMeasure[[#This Row],[id_src]],tblSource[id_src],tblSource[methodology_link])</f>
        <v>https://digital.nhs.uk/data-and-information/publications/statistical/adult-social-care-activity-and-finance-report/2018-19/data-quality-statement</v>
      </c>
      <c r="AI37" s="25" t="str">
        <f>_xlfn.XLOOKUP(tblMeasure[[#This Row],[id_src]],tblSource[id_src],tblSource[quality_issues])</f>
        <v>https://digital.nhs.uk/data-and-information/publications/statistical/adult-social-care-activity-and-finance-report/2018-19/data-quality-statement#accuracy-and-reliability</v>
      </c>
      <c r="AJ37" s="25">
        <f>VLOOKUP(tblMeasure[[#This Row],[msr_population_or_survey]],strlu_msr_population_or_survey,2,FALSE)</f>
        <v>1</v>
      </c>
      <c r="AK37" s="25">
        <f>VLOOKUP(tblMeasure[[#This Row],[msr_min_geo_resolution]],strlu_msr_min_geo_resolution,2,FALSE)</f>
        <v>0</v>
      </c>
      <c r="AL37" s="25">
        <f>(MAX(tblMeasure[[#This Row],[src_year_last_published]]-2010+1,0)+MIN(2010-tblMeasure[[#This Row],[src_year_first_published]],0)-MAX(tblMeasure[[#This Row],[src_year_last_published]]-2019,0))/10</f>
        <v>0.4</v>
      </c>
      <c r="AM37" s="25">
        <f>IF(OR(tblMeasure[[#This Row],[src_discontinuity]]="None",tblMeasure[[#This Row],[src_discontinuity]]=0),1,0)</f>
        <v>1</v>
      </c>
      <c r="AN37" s="25">
        <f>VLOOKUP(tblMeasure[[#This Row],[src_pub_frequency]],strlu_src_pub_frequency,2,FALSE)</f>
        <v>0.8</v>
      </c>
      <c r="AO37" s="25">
        <f>VLOOKUP(tblMeasure[[#This Row],[src_pub_lag_months]],strlu_src_pub_lag_months,2,FALSE)</f>
        <v>0.3</v>
      </c>
      <c r="AP37" s="25">
        <f>VLOOKUP(tblMeasure[[#This Row],[src_statistic_class]],strlu_src_statistic_class,2,FALSE)</f>
        <v>1</v>
      </c>
      <c r="AQ37" s="25">
        <f>IF(tblMeasure[[#This Row],[src_methodology_url]]="TBD",0,1)</f>
        <v>1</v>
      </c>
      <c r="AR37" s="25">
        <f>IF(tblMeasure[[#This Row],[src_quality_url]]="TBD",0,1)</f>
        <v>1</v>
      </c>
      <c r="AS37" s="85" cm="1">
        <f t="array" ref="AS37">SUMPRODUCT(TRANSPOSE(tblMeasure[[#This Row],[str_msr_population_or_survey]:[str_src_quality_url]]),str_weights)/str_weights_total</f>
        <v>0.66923076923076918</v>
      </c>
    </row>
    <row r="38" spans="1:45" hidden="1" x14ac:dyDescent="0.15">
      <c r="A38" s="30">
        <v>36</v>
      </c>
      <c r="B38" s="15">
        <f>COUNTIF(requirement_measure_map!$D$3:$D$1514,measure!A38)</f>
        <v>0</v>
      </c>
      <c r="C38" s="30" t="s">
        <v>293</v>
      </c>
      <c r="D38" s="15" t="s">
        <v>322</v>
      </c>
      <c r="E38" s="15" t="s">
        <v>333</v>
      </c>
      <c r="F38" s="15" t="s">
        <v>334</v>
      </c>
      <c r="G38" s="29" t="s">
        <v>212</v>
      </c>
      <c r="H38" s="15" t="s">
        <v>329</v>
      </c>
      <c r="I38" s="15" t="s">
        <v>214</v>
      </c>
      <c r="J38" s="15" t="s">
        <v>215</v>
      </c>
      <c r="K38" s="15" t="s">
        <v>326</v>
      </c>
      <c r="L38" s="15" t="s">
        <v>217</v>
      </c>
      <c r="M38" s="15" t="s">
        <v>218</v>
      </c>
      <c r="N38" s="15" t="s">
        <v>219</v>
      </c>
      <c r="O38" s="15" t="s">
        <v>219</v>
      </c>
      <c r="P38" s="15" t="s">
        <v>219</v>
      </c>
      <c r="Q38" s="15" t="s">
        <v>219</v>
      </c>
      <c r="R38" s="15" t="s">
        <v>219</v>
      </c>
      <c r="S38" s="15" t="s">
        <v>219</v>
      </c>
      <c r="T38" s="15" t="s">
        <v>220</v>
      </c>
      <c r="U38" s="15" t="s">
        <v>219</v>
      </c>
      <c r="V38" s="15" t="s">
        <v>219</v>
      </c>
      <c r="W38" s="15">
        <v>1</v>
      </c>
      <c r="X38" s="15" t="str">
        <f>_xlfn.XLOOKUP(tblMeasure[[#This Row],[id_src]],tblSource[id_src],tblSource[org])</f>
        <v>NHS Digital</v>
      </c>
      <c r="Y38" s="15" t="str">
        <f>_xlfn.XLOOKUP(tblMeasure[[#This Row],[id_src]],tblSource[id_src],tblSource[source])</f>
        <v>Adult Social Care Activity and Finance Report</v>
      </c>
      <c r="Z38" s="15" t="str">
        <f>_xlfn.XLOOKUP(tblMeasure[[#This Row],[id_src]],tblSource[id_src],tblSource[url_source])</f>
        <v>https://digital.nhs.uk/data-and-information/publications/statistical/adult-social-care-activity-and-finance-report/2018-19</v>
      </c>
      <c r="AA38" s="15">
        <f>_xlfn.XLOOKUP(tblMeasure[[#This Row],[id_src]],tblSource[id_src],tblSource[year_first_published])</f>
        <v>2016</v>
      </c>
      <c r="AB38" s="15">
        <f>_xlfn.XLOOKUP(tblMeasure[[#This Row],[id_src]],tblSource[id_src],tblSource[year_last_published])</f>
        <v>2019</v>
      </c>
      <c r="AC38" s="15" t="str">
        <f>_xlfn.XLOOKUP(tblMeasure[[#This Row],[id_src]],tblSource[id_src],tblSource[discontinuity])</f>
        <v>None</v>
      </c>
      <c r="AD38" s="15" t="str">
        <f>_xlfn.XLOOKUP(tblMeasure[[#This Row],[id_src]],tblSource[id_src],tblSource[publication_frequency])</f>
        <v>Annual</v>
      </c>
      <c r="AE38" s="15">
        <f>_xlfn.XLOOKUP(tblMeasure[[#This Row],[id_src]],tblSource[id_src],tblSource[publication_lag_months])</f>
        <v>7</v>
      </c>
      <c r="AF38" s="25" t="str">
        <f>_xlfn.XLOOKUP(tblMeasure[[#This Row],[id_src]],tblSource[id_src],tblSource[data_providers])</f>
        <v>LA</v>
      </c>
      <c r="AG38" s="25" t="str">
        <f>_xlfn.XLOOKUP(tblMeasure[[#This Row],[id_src]],tblSource[id_src],tblSource[statistic_class])</f>
        <v>National (ASC-FR) + Official (SALT)</v>
      </c>
      <c r="AH38" s="25" t="str">
        <f>_xlfn.XLOOKUP(tblMeasure[[#This Row],[id_src]],tblSource[id_src],tblSource[methodology_link])</f>
        <v>https://digital.nhs.uk/data-and-information/publications/statistical/adult-social-care-activity-and-finance-report/2018-19/data-quality-statement</v>
      </c>
      <c r="AI38" s="25" t="str">
        <f>_xlfn.XLOOKUP(tblMeasure[[#This Row],[id_src]],tblSource[id_src],tblSource[quality_issues])</f>
        <v>https://digital.nhs.uk/data-and-information/publications/statistical/adult-social-care-activity-and-finance-report/2018-19/data-quality-statement#accuracy-and-reliability</v>
      </c>
      <c r="AJ38" s="25">
        <f>VLOOKUP(tblMeasure[[#This Row],[msr_population_or_survey]],strlu_msr_population_or_survey,2,FALSE)</f>
        <v>1</v>
      </c>
      <c r="AK38" s="25">
        <f>VLOOKUP(tblMeasure[[#This Row],[msr_min_geo_resolution]],strlu_msr_min_geo_resolution,2,FALSE)</f>
        <v>1</v>
      </c>
      <c r="AL38" s="25">
        <f>(MAX(tblMeasure[[#This Row],[src_year_last_published]]-2010+1,0)+MIN(2010-tblMeasure[[#This Row],[src_year_first_published]],0)-MAX(tblMeasure[[#This Row],[src_year_last_published]]-2019,0))/10</f>
        <v>0.4</v>
      </c>
      <c r="AM38" s="25">
        <f>IF(OR(tblMeasure[[#This Row],[src_discontinuity]]="None",tblMeasure[[#This Row],[src_discontinuity]]=0),1,0)</f>
        <v>1</v>
      </c>
      <c r="AN38" s="25">
        <f>VLOOKUP(tblMeasure[[#This Row],[src_pub_frequency]],strlu_src_pub_frequency,2,FALSE)</f>
        <v>0.8</v>
      </c>
      <c r="AO38" s="25">
        <f>VLOOKUP(tblMeasure[[#This Row],[src_pub_lag_months]],strlu_src_pub_lag_months,2,FALSE)</f>
        <v>0.3</v>
      </c>
      <c r="AP38" s="25">
        <f>VLOOKUP(tblMeasure[[#This Row],[src_statistic_class]],strlu_src_statistic_class,2,FALSE)</f>
        <v>1</v>
      </c>
      <c r="AQ38" s="25">
        <f>IF(tblMeasure[[#This Row],[src_methodology_url]]="TBD",0,1)</f>
        <v>1</v>
      </c>
      <c r="AR38" s="25">
        <f>IF(tblMeasure[[#This Row],[src_quality_url]]="TBD",0,1)</f>
        <v>1</v>
      </c>
      <c r="AS38" s="85" cm="1">
        <f t="array" ref="AS38">SUMPRODUCT(TRANSPOSE(tblMeasure[[#This Row],[str_msr_population_or_survey]:[str_src_quality_url]]),str_weights)/str_weights_total</f>
        <v>0.82307692307692304</v>
      </c>
    </row>
    <row r="39" spans="1:45" x14ac:dyDescent="0.15">
      <c r="A39" s="30">
        <v>37</v>
      </c>
      <c r="B39" s="15">
        <f>COUNTIF(requirement_measure_map!$D$3:$D$1514,measure!A39)</f>
        <v>4</v>
      </c>
      <c r="C39" s="30" t="s">
        <v>315</v>
      </c>
      <c r="D39" s="15" t="s">
        <v>322</v>
      </c>
      <c r="E39" s="15" t="s">
        <v>335</v>
      </c>
      <c r="F39" s="15" t="s">
        <v>336</v>
      </c>
      <c r="G39" s="29" t="s">
        <v>212</v>
      </c>
      <c r="H39" s="15" t="s">
        <v>337</v>
      </c>
      <c r="I39" s="15" t="s">
        <v>214</v>
      </c>
      <c r="J39" s="15" t="s">
        <v>215</v>
      </c>
      <c r="K39" s="15" t="s">
        <v>326</v>
      </c>
      <c r="L39" s="15" t="s">
        <v>217</v>
      </c>
      <c r="M39" s="15" t="s">
        <v>218</v>
      </c>
      <c r="N39" s="15" t="s">
        <v>219</v>
      </c>
      <c r="O39" s="15" t="s">
        <v>219</v>
      </c>
      <c r="P39" s="15" t="s">
        <v>292</v>
      </c>
      <c r="Q39" s="15" t="s">
        <v>219</v>
      </c>
      <c r="R39" s="15" t="s">
        <v>219</v>
      </c>
      <c r="S39" s="15" t="s">
        <v>219</v>
      </c>
      <c r="T39" s="15" t="s">
        <v>220</v>
      </c>
      <c r="U39" s="15" t="s">
        <v>219</v>
      </c>
      <c r="V39" s="15" t="s">
        <v>219</v>
      </c>
      <c r="W39" s="15">
        <v>1</v>
      </c>
      <c r="X39" s="15" t="str">
        <f>_xlfn.XLOOKUP(tblMeasure[[#This Row],[id_src]],tblSource[id_src],tblSource[org])</f>
        <v>NHS Digital</v>
      </c>
      <c r="Y39" s="15" t="str">
        <f>_xlfn.XLOOKUP(tblMeasure[[#This Row],[id_src]],tblSource[id_src],tblSource[source])</f>
        <v>Adult Social Care Activity and Finance Report</v>
      </c>
      <c r="Z39" s="15" t="str">
        <f>_xlfn.XLOOKUP(tblMeasure[[#This Row],[id_src]],tblSource[id_src],tblSource[url_source])</f>
        <v>https://digital.nhs.uk/data-and-information/publications/statistical/adult-social-care-activity-and-finance-report/2018-19</v>
      </c>
      <c r="AA39" s="15">
        <f>_xlfn.XLOOKUP(tblMeasure[[#This Row],[id_src]],tblSource[id_src],tblSource[year_first_published])</f>
        <v>2016</v>
      </c>
      <c r="AB39" s="15">
        <f>_xlfn.XLOOKUP(tblMeasure[[#This Row],[id_src]],tblSource[id_src],tblSource[year_last_published])</f>
        <v>2019</v>
      </c>
      <c r="AC39" s="15" t="str">
        <f>_xlfn.XLOOKUP(tblMeasure[[#This Row],[id_src]],tblSource[id_src],tblSource[discontinuity])</f>
        <v>None</v>
      </c>
      <c r="AD39" s="15" t="str">
        <f>_xlfn.XLOOKUP(tblMeasure[[#This Row],[id_src]],tblSource[id_src],tblSource[publication_frequency])</f>
        <v>Annual</v>
      </c>
      <c r="AE39" s="15">
        <f>_xlfn.XLOOKUP(tblMeasure[[#This Row],[id_src]],tblSource[id_src],tblSource[publication_lag_months])</f>
        <v>7</v>
      </c>
      <c r="AF39" s="25" t="str">
        <f>_xlfn.XLOOKUP(tblMeasure[[#This Row],[id_src]],tblSource[id_src],tblSource[data_providers])</f>
        <v>LA</v>
      </c>
      <c r="AG39" s="25" t="str">
        <f>_xlfn.XLOOKUP(tblMeasure[[#This Row],[id_src]],tblSource[id_src],tblSource[statistic_class])</f>
        <v>National (ASC-FR) + Official (SALT)</v>
      </c>
      <c r="AH39" s="25" t="str">
        <f>_xlfn.XLOOKUP(tblMeasure[[#This Row],[id_src]],tblSource[id_src],tblSource[methodology_link])</f>
        <v>https://digital.nhs.uk/data-and-information/publications/statistical/adult-social-care-activity-and-finance-report/2018-19/data-quality-statement</v>
      </c>
      <c r="AI39" s="25" t="str">
        <f>_xlfn.XLOOKUP(tblMeasure[[#This Row],[id_src]],tblSource[id_src],tblSource[quality_issues])</f>
        <v>https://digital.nhs.uk/data-and-information/publications/statistical/adult-social-care-activity-and-finance-report/2018-19/data-quality-statement#accuracy-and-reliability</v>
      </c>
      <c r="AJ39" s="25">
        <f>VLOOKUP(tblMeasure[[#This Row],[msr_population_or_survey]],strlu_msr_population_or_survey,2,FALSE)</f>
        <v>1</v>
      </c>
      <c r="AK39" s="25">
        <f>VLOOKUP(tblMeasure[[#This Row],[msr_min_geo_resolution]],strlu_msr_min_geo_resolution,2,FALSE)</f>
        <v>1</v>
      </c>
      <c r="AL39" s="25">
        <f>(MAX(tblMeasure[[#This Row],[src_year_last_published]]-2010+1,0)+MIN(2010-tblMeasure[[#This Row],[src_year_first_published]],0)-MAX(tblMeasure[[#This Row],[src_year_last_published]]-2019,0))/10</f>
        <v>0.4</v>
      </c>
      <c r="AM39" s="25">
        <f>IF(OR(tblMeasure[[#This Row],[src_discontinuity]]="None",tblMeasure[[#This Row],[src_discontinuity]]=0),1,0)</f>
        <v>1</v>
      </c>
      <c r="AN39" s="25">
        <f>VLOOKUP(tblMeasure[[#This Row],[src_pub_frequency]],strlu_src_pub_frequency,2,FALSE)</f>
        <v>0.8</v>
      </c>
      <c r="AO39" s="25">
        <f>VLOOKUP(tblMeasure[[#This Row],[src_pub_lag_months]],strlu_src_pub_lag_months,2,FALSE)</f>
        <v>0.3</v>
      </c>
      <c r="AP39" s="25">
        <f>VLOOKUP(tblMeasure[[#This Row],[src_statistic_class]],strlu_src_statistic_class,2,FALSE)</f>
        <v>1</v>
      </c>
      <c r="AQ39" s="25">
        <f>IF(tblMeasure[[#This Row],[src_methodology_url]]="TBD",0,1)</f>
        <v>1</v>
      </c>
      <c r="AR39" s="25">
        <f>IF(tblMeasure[[#This Row],[src_quality_url]]="TBD",0,1)</f>
        <v>1</v>
      </c>
      <c r="AS39" s="85" cm="1">
        <f t="array" ref="AS39">SUMPRODUCT(TRANSPOSE(tblMeasure[[#This Row],[str_msr_population_or_survey]:[str_src_quality_url]]),str_weights)/str_weights_total</f>
        <v>0.82307692307692304</v>
      </c>
    </row>
    <row r="40" spans="1:45" hidden="1" x14ac:dyDescent="0.15">
      <c r="A40" s="30">
        <v>38</v>
      </c>
      <c r="B40" s="15">
        <f>COUNTIF(requirement_measure_map!$D$3:$D$1514,measure!A40)</f>
        <v>6</v>
      </c>
      <c r="C40" s="30" t="s">
        <v>315</v>
      </c>
      <c r="D40" s="15" t="s">
        <v>322</v>
      </c>
      <c r="E40" s="15" t="s">
        <v>338</v>
      </c>
      <c r="F40" s="15" t="s">
        <v>339</v>
      </c>
      <c r="G40" s="29" t="s">
        <v>212</v>
      </c>
      <c r="H40" s="15" t="s">
        <v>337</v>
      </c>
      <c r="I40" s="15" t="s">
        <v>214</v>
      </c>
      <c r="J40" s="15" t="s">
        <v>215</v>
      </c>
      <c r="K40" s="15" t="s">
        <v>326</v>
      </c>
      <c r="L40" s="15" t="s">
        <v>217</v>
      </c>
      <c r="M40" s="15" t="s">
        <v>218</v>
      </c>
      <c r="N40" s="15" t="s">
        <v>219</v>
      </c>
      <c r="O40" s="15" t="s">
        <v>219</v>
      </c>
      <c r="P40" s="15" t="s">
        <v>219</v>
      </c>
      <c r="Q40" s="15" t="s">
        <v>219</v>
      </c>
      <c r="R40" s="15" t="s">
        <v>219</v>
      </c>
      <c r="S40" s="15" t="s">
        <v>219</v>
      </c>
      <c r="T40" s="15" t="s">
        <v>220</v>
      </c>
      <c r="U40" s="15" t="s">
        <v>330</v>
      </c>
      <c r="V40" s="15" t="s">
        <v>219</v>
      </c>
      <c r="W40" s="15">
        <v>1</v>
      </c>
      <c r="X40" s="15" t="str">
        <f>_xlfn.XLOOKUP(tblMeasure[[#This Row],[id_src]],tblSource[id_src],tblSource[org])</f>
        <v>NHS Digital</v>
      </c>
      <c r="Y40" s="15" t="str">
        <f>_xlfn.XLOOKUP(tblMeasure[[#This Row],[id_src]],tblSource[id_src],tblSource[source])</f>
        <v>Adult Social Care Activity and Finance Report</v>
      </c>
      <c r="Z40" s="15" t="str">
        <f>_xlfn.XLOOKUP(tblMeasure[[#This Row],[id_src]],tblSource[id_src],tblSource[url_source])</f>
        <v>https://digital.nhs.uk/data-and-information/publications/statistical/adult-social-care-activity-and-finance-report/2018-19</v>
      </c>
      <c r="AA40" s="15">
        <f>_xlfn.XLOOKUP(tblMeasure[[#This Row],[id_src]],tblSource[id_src],tblSource[year_first_published])</f>
        <v>2016</v>
      </c>
      <c r="AB40" s="15">
        <f>_xlfn.XLOOKUP(tblMeasure[[#This Row],[id_src]],tblSource[id_src],tblSource[year_last_published])</f>
        <v>2019</v>
      </c>
      <c r="AC40" s="15" t="str">
        <f>_xlfn.XLOOKUP(tblMeasure[[#This Row],[id_src]],tblSource[id_src],tblSource[discontinuity])</f>
        <v>None</v>
      </c>
      <c r="AD40" s="15" t="str">
        <f>_xlfn.XLOOKUP(tblMeasure[[#This Row],[id_src]],tblSource[id_src],tblSource[publication_frequency])</f>
        <v>Annual</v>
      </c>
      <c r="AE40" s="15">
        <f>_xlfn.XLOOKUP(tblMeasure[[#This Row],[id_src]],tblSource[id_src],tblSource[publication_lag_months])</f>
        <v>7</v>
      </c>
      <c r="AF40" s="25" t="str">
        <f>_xlfn.XLOOKUP(tblMeasure[[#This Row],[id_src]],tblSource[id_src],tblSource[data_providers])</f>
        <v>LA</v>
      </c>
      <c r="AG40" s="25" t="str">
        <f>_xlfn.XLOOKUP(tblMeasure[[#This Row],[id_src]],tblSource[id_src],tblSource[statistic_class])</f>
        <v>National (ASC-FR) + Official (SALT)</v>
      </c>
      <c r="AH40" s="25" t="str">
        <f>_xlfn.XLOOKUP(tblMeasure[[#This Row],[id_src]],tblSource[id_src],tblSource[methodology_link])</f>
        <v>https://digital.nhs.uk/data-and-information/publications/statistical/adult-social-care-activity-and-finance-report/2018-19/data-quality-statement</v>
      </c>
      <c r="AI40" s="25" t="str">
        <f>_xlfn.XLOOKUP(tblMeasure[[#This Row],[id_src]],tblSource[id_src],tblSource[quality_issues])</f>
        <v>https://digital.nhs.uk/data-and-information/publications/statistical/adult-social-care-activity-and-finance-report/2018-19/data-quality-statement#accuracy-and-reliability</v>
      </c>
      <c r="AJ40" s="25">
        <f>VLOOKUP(tblMeasure[[#This Row],[msr_population_or_survey]],strlu_msr_population_or_survey,2,FALSE)</f>
        <v>1</v>
      </c>
      <c r="AK40" s="25">
        <f>VLOOKUP(tblMeasure[[#This Row],[msr_min_geo_resolution]],strlu_msr_min_geo_resolution,2,FALSE)</f>
        <v>1</v>
      </c>
      <c r="AL40" s="25">
        <f>(MAX(tblMeasure[[#This Row],[src_year_last_published]]-2010+1,0)+MIN(2010-tblMeasure[[#This Row],[src_year_first_published]],0)-MAX(tblMeasure[[#This Row],[src_year_last_published]]-2019,0))/10</f>
        <v>0.4</v>
      </c>
      <c r="AM40" s="25">
        <f>IF(OR(tblMeasure[[#This Row],[src_discontinuity]]="None",tblMeasure[[#This Row],[src_discontinuity]]=0),1,0)</f>
        <v>1</v>
      </c>
      <c r="AN40" s="25">
        <f>VLOOKUP(tblMeasure[[#This Row],[src_pub_frequency]],strlu_src_pub_frequency,2,FALSE)</f>
        <v>0.8</v>
      </c>
      <c r="AO40" s="25">
        <f>VLOOKUP(tblMeasure[[#This Row],[src_pub_lag_months]],strlu_src_pub_lag_months,2,FALSE)</f>
        <v>0.3</v>
      </c>
      <c r="AP40" s="25">
        <f>VLOOKUP(tblMeasure[[#This Row],[src_statistic_class]],strlu_src_statistic_class,2,FALSE)</f>
        <v>1</v>
      </c>
      <c r="AQ40" s="25">
        <f>IF(tblMeasure[[#This Row],[src_methodology_url]]="TBD",0,1)</f>
        <v>1</v>
      </c>
      <c r="AR40" s="25">
        <f>IF(tblMeasure[[#This Row],[src_quality_url]]="TBD",0,1)</f>
        <v>1</v>
      </c>
      <c r="AS40" s="85" cm="1">
        <f t="array" ref="AS40">SUMPRODUCT(TRANSPOSE(tblMeasure[[#This Row],[str_msr_population_or_survey]:[str_src_quality_url]]),str_weights)/str_weights_total</f>
        <v>0.82307692307692304</v>
      </c>
    </row>
    <row r="41" spans="1:45" x14ac:dyDescent="0.15">
      <c r="A41" s="30">
        <v>39</v>
      </c>
      <c r="B41" s="15">
        <f>COUNTIF(requirement_measure_map!$D$3:$D$1514,measure!A41)</f>
        <v>4</v>
      </c>
      <c r="C41" s="30" t="s">
        <v>315</v>
      </c>
      <c r="D41" s="15" t="s">
        <v>322</v>
      </c>
      <c r="E41" s="15" t="s">
        <v>340</v>
      </c>
      <c r="F41" s="15" t="s">
        <v>341</v>
      </c>
      <c r="G41" s="29" t="s">
        <v>212</v>
      </c>
      <c r="H41" s="15" t="s">
        <v>337</v>
      </c>
      <c r="I41" s="15" t="s">
        <v>214</v>
      </c>
      <c r="J41" s="15" t="s">
        <v>215</v>
      </c>
      <c r="K41" s="15" t="s">
        <v>326</v>
      </c>
      <c r="L41" s="15" t="s">
        <v>233</v>
      </c>
      <c r="M41" s="15" t="s">
        <v>219</v>
      </c>
      <c r="N41" s="15" t="s">
        <v>219</v>
      </c>
      <c r="O41" s="15" t="s">
        <v>219</v>
      </c>
      <c r="P41" s="15" t="s">
        <v>292</v>
      </c>
      <c r="Q41" s="15" t="s">
        <v>219</v>
      </c>
      <c r="R41" s="15" t="s">
        <v>219</v>
      </c>
      <c r="S41" s="15" t="s">
        <v>219</v>
      </c>
      <c r="T41" s="15" t="s">
        <v>220</v>
      </c>
      <c r="U41" s="15" t="s">
        <v>330</v>
      </c>
      <c r="V41" s="15" t="s">
        <v>219</v>
      </c>
      <c r="W41" s="15">
        <v>1</v>
      </c>
      <c r="X41" s="15" t="str">
        <f>_xlfn.XLOOKUP(tblMeasure[[#This Row],[id_src]],tblSource[id_src],tblSource[org])</f>
        <v>NHS Digital</v>
      </c>
      <c r="Y41" s="15" t="str">
        <f>_xlfn.XLOOKUP(tblMeasure[[#This Row],[id_src]],tblSource[id_src],tblSource[source])</f>
        <v>Adult Social Care Activity and Finance Report</v>
      </c>
      <c r="Z41" s="15" t="str">
        <f>_xlfn.XLOOKUP(tblMeasure[[#This Row],[id_src]],tblSource[id_src],tblSource[url_source])</f>
        <v>https://digital.nhs.uk/data-and-information/publications/statistical/adult-social-care-activity-and-finance-report/2018-19</v>
      </c>
      <c r="AA41" s="15">
        <f>_xlfn.XLOOKUP(tblMeasure[[#This Row],[id_src]],tblSource[id_src],tblSource[year_first_published])</f>
        <v>2016</v>
      </c>
      <c r="AB41" s="15">
        <f>_xlfn.XLOOKUP(tblMeasure[[#This Row],[id_src]],tblSource[id_src],tblSource[year_last_published])</f>
        <v>2019</v>
      </c>
      <c r="AC41" s="15" t="str">
        <f>_xlfn.XLOOKUP(tblMeasure[[#This Row],[id_src]],tblSource[id_src],tblSource[discontinuity])</f>
        <v>None</v>
      </c>
      <c r="AD41" s="15" t="str">
        <f>_xlfn.XLOOKUP(tblMeasure[[#This Row],[id_src]],tblSource[id_src],tblSource[publication_frequency])</f>
        <v>Annual</v>
      </c>
      <c r="AE41" s="15">
        <f>_xlfn.XLOOKUP(tblMeasure[[#This Row],[id_src]],tblSource[id_src],tblSource[publication_lag_months])</f>
        <v>7</v>
      </c>
      <c r="AF41" s="25" t="str">
        <f>_xlfn.XLOOKUP(tblMeasure[[#This Row],[id_src]],tblSource[id_src],tblSource[data_providers])</f>
        <v>LA</v>
      </c>
      <c r="AG41" s="25" t="str">
        <f>_xlfn.XLOOKUP(tblMeasure[[#This Row],[id_src]],tblSource[id_src],tblSource[statistic_class])</f>
        <v>National (ASC-FR) + Official (SALT)</v>
      </c>
      <c r="AH41" s="25" t="str">
        <f>_xlfn.XLOOKUP(tblMeasure[[#This Row],[id_src]],tblSource[id_src],tblSource[methodology_link])</f>
        <v>https://digital.nhs.uk/data-and-information/publications/statistical/adult-social-care-activity-and-finance-report/2018-19/data-quality-statement</v>
      </c>
      <c r="AI41" s="25" t="str">
        <f>_xlfn.XLOOKUP(tblMeasure[[#This Row],[id_src]],tblSource[id_src],tblSource[quality_issues])</f>
        <v>https://digital.nhs.uk/data-and-information/publications/statistical/adult-social-care-activity-and-finance-report/2018-19/data-quality-statement#accuracy-and-reliability</v>
      </c>
      <c r="AJ41" s="25">
        <f>VLOOKUP(tblMeasure[[#This Row],[msr_population_or_survey]],strlu_msr_population_or_survey,2,FALSE)</f>
        <v>1</v>
      </c>
      <c r="AK41" s="25">
        <f>VLOOKUP(tblMeasure[[#This Row],[msr_min_geo_resolution]],strlu_msr_min_geo_resolution,2,FALSE)</f>
        <v>0</v>
      </c>
      <c r="AL41" s="25">
        <f>(MAX(tblMeasure[[#This Row],[src_year_last_published]]-2010+1,0)+MIN(2010-tblMeasure[[#This Row],[src_year_first_published]],0)-MAX(tblMeasure[[#This Row],[src_year_last_published]]-2019,0))/10</f>
        <v>0.4</v>
      </c>
      <c r="AM41" s="25">
        <f>IF(OR(tblMeasure[[#This Row],[src_discontinuity]]="None",tblMeasure[[#This Row],[src_discontinuity]]=0),1,0)</f>
        <v>1</v>
      </c>
      <c r="AN41" s="25">
        <f>VLOOKUP(tblMeasure[[#This Row],[src_pub_frequency]],strlu_src_pub_frequency,2,FALSE)</f>
        <v>0.8</v>
      </c>
      <c r="AO41" s="25">
        <f>VLOOKUP(tblMeasure[[#This Row],[src_pub_lag_months]],strlu_src_pub_lag_months,2,FALSE)</f>
        <v>0.3</v>
      </c>
      <c r="AP41" s="25">
        <f>VLOOKUP(tblMeasure[[#This Row],[src_statistic_class]],strlu_src_statistic_class,2,FALSE)</f>
        <v>1</v>
      </c>
      <c r="AQ41" s="25">
        <f>IF(tblMeasure[[#This Row],[src_methodology_url]]="TBD",0,1)</f>
        <v>1</v>
      </c>
      <c r="AR41" s="25">
        <f>IF(tblMeasure[[#This Row],[src_quality_url]]="TBD",0,1)</f>
        <v>1</v>
      </c>
      <c r="AS41" s="85" cm="1">
        <f t="array" ref="AS41">SUMPRODUCT(TRANSPOSE(tblMeasure[[#This Row],[str_msr_population_or_survey]:[str_src_quality_url]]),str_weights)/str_weights_total</f>
        <v>0.66923076923076918</v>
      </c>
    </row>
    <row r="42" spans="1:45" hidden="1" x14ac:dyDescent="0.15">
      <c r="A42" s="30">
        <v>40</v>
      </c>
      <c r="B42" s="15">
        <f>COUNTIF(requirement_measure_map!$D$3:$D$1514,measure!A42)</f>
        <v>4</v>
      </c>
      <c r="C42" s="30" t="s">
        <v>315</v>
      </c>
      <c r="D42" s="15" t="s">
        <v>322</v>
      </c>
      <c r="E42" s="15" t="s">
        <v>342</v>
      </c>
      <c r="F42" s="15" t="s">
        <v>343</v>
      </c>
      <c r="G42" s="29" t="s">
        <v>212</v>
      </c>
      <c r="H42" s="15" t="s">
        <v>337</v>
      </c>
      <c r="I42" s="15" t="s">
        <v>214</v>
      </c>
      <c r="J42" s="15" t="s">
        <v>215</v>
      </c>
      <c r="K42" s="15" t="s">
        <v>344</v>
      </c>
      <c r="L42" s="15" t="s">
        <v>217</v>
      </c>
      <c r="M42" s="15" t="s">
        <v>218</v>
      </c>
      <c r="N42" s="15" t="s">
        <v>219</v>
      </c>
      <c r="O42" s="15" t="s">
        <v>219</v>
      </c>
      <c r="P42" s="15" t="s">
        <v>219</v>
      </c>
      <c r="Q42" s="15" t="s">
        <v>219</v>
      </c>
      <c r="R42" s="15" t="s">
        <v>219</v>
      </c>
      <c r="S42" s="15" t="s">
        <v>219</v>
      </c>
      <c r="T42" s="15" t="s">
        <v>220</v>
      </c>
      <c r="U42" s="15" t="s">
        <v>219</v>
      </c>
      <c r="V42" s="15" t="s">
        <v>219</v>
      </c>
      <c r="W42" s="15">
        <v>1</v>
      </c>
      <c r="X42" s="15" t="str">
        <f>_xlfn.XLOOKUP(tblMeasure[[#This Row],[id_src]],tblSource[id_src],tblSource[org])</f>
        <v>NHS Digital</v>
      </c>
      <c r="Y42" s="15" t="str">
        <f>_xlfn.XLOOKUP(tblMeasure[[#This Row],[id_src]],tblSource[id_src],tblSource[source])</f>
        <v>Adult Social Care Activity and Finance Report</v>
      </c>
      <c r="Z42" s="15" t="str">
        <f>_xlfn.XLOOKUP(tblMeasure[[#This Row],[id_src]],tblSource[id_src],tblSource[url_source])</f>
        <v>https://digital.nhs.uk/data-and-information/publications/statistical/adult-social-care-activity-and-finance-report/2018-19</v>
      </c>
      <c r="AA42" s="15">
        <f>_xlfn.XLOOKUP(tblMeasure[[#This Row],[id_src]],tblSource[id_src],tblSource[year_first_published])</f>
        <v>2016</v>
      </c>
      <c r="AB42" s="15">
        <f>_xlfn.XLOOKUP(tblMeasure[[#This Row],[id_src]],tblSource[id_src],tblSource[year_last_published])</f>
        <v>2019</v>
      </c>
      <c r="AC42" s="15" t="str">
        <f>_xlfn.XLOOKUP(tblMeasure[[#This Row],[id_src]],tblSource[id_src],tblSource[discontinuity])</f>
        <v>None</v>
      </c>
      <c r="AD42" s="15" t="str">
        <f>_xlfn.XLOOKUP(tblMeasure[[#This Row],[id_src]],tblSource[id_src],tblSource[publication_frequency])</f>
        <v>Annual</v>
      </c>
      <c r="AE42" s="15">
        <f>_xlfn.XLOOKUP(tblMeasure[[#This Row],[id_src]],tblSource[id_src],tblSource[publication_lag_months])</f>
        <v>7</v>
      </c>
      <c r="AF42" s="25" t="str">
        <f>_xlfn.XLOOKUP(tblMeasure[[#This Row],[id_src]],tblSource[id_src],tblSource[data_providers])</f>
        <v>LA</v>
      </c>
      <c r="AG42" s="25" t="str">
        <f>_xlfn.XLOOKUP(tblMeasure[[#This Row],[id_src]],tblSource[id_src],tblSource[statistic_class])</f>
        <v>National (ASC-FR) + Official (SALT)</v>
      </c>
      <c r="AH42" s="25" t="str">
        <f>_xlfn.XLOOKUP(tblMeasure[[#This Row],[id_src]],tblSource[id_src],tblSource[methodology_link])</f>
        <v>https://digital.nhs.uk/data-and-information/publications/statistical/adult-social-care-activity-and-finance-report/2018-19/data-quality-statement</v>
      </c>
      <c r="AI42" s="25" t="str">
        <f>_xlfn.XLOOKUP(tblMeasure[[#This Row],[id_src]],tblSource[id_src],tblSource[quality_issues])</f>
        <v>https://digital.nhs.uk/data-and-information/publications/statistical/adult-social-care-activity-and-finance-report/2018-19/data-quality-statement#accuracy-and-reliability</v>
      </c>
      <c r="AJ42" s="25">
        <f>VLOOKUP(tblMeasure[[#This Row],[msr_population_or_survey]],strlu_msr_population_or_survey,2,FALSE)</f>
        <v>1</v>
      </c>
      <c r="AK42" s="25">
        <f>VLOOKUP(tblMeasure[[#This Row],[msr_min_geo_resolution]],strlu_msr_min_geo_resolution,2,FALSE)</f>
        <v>1</v>
      </c>
      <c r="AL42" s="25">
        <f>(MAX(tblMeasure[[#This Row],[src_year_last_published]]-2010+1,0)+MIN(2010-tblMeasure[[#This Row],[src_year_first_published]],0)-MAX(tblMeasure[[#This Row],[src_year_last_published]]-2019,0))/10</f>
        <v>0.4</v>
      </c>
      <c r="AM42" s="25">
        <f>IF(OR(tblMeasure[[#This Row],[src_discontinuity]]="None",tblMeasure[[#This Row],[src_discontinuity]]=0),1,0)</f>
        <v>1</v>
      </c>
      <c r="AN42" s="25">
        <f>VLOOKUP(tblMeasure[[#This Row],[src_pub_frequency]],strlu_src_pub_frequency,2,FALSE)</f>
        <v>0.8</v>
      </c>
      <c r="AO42" s="25">
        <f>VLOOKUP(tblMeasure[[#This Row],[src_pub_lag_months]],strlu_src_pub_lag_months,2,FALSE)</f>
        <v>0.3</v>
      </c>
      <c r="AP42" s="25">
        <f>VLOOKUP(tblMeasure[[#This Row],[src_statistic_class]],strlu_src_statistic_class,2,FALSE)</f>
        <v>1</v>
      </c>
      <c r="AQ42" s="25">
        <f>IF(tblMeasure[[#This Row],[src_methodology_url]]="TBD",0,1)</f>
        <v>1</v>
      </c>
      <c r="AR42" s="25">
        <f>IF(tblMeasure[[#This Row],[src_quality_url]]="TBD",0,1)</f>
        <v>1</v>
      </c>
      <c r="AS42" s="85" cm="1">
        <f t="array" ref="AS42">SUMPRODUCT(TRANSPOSE(tblMeasure[[#This Row],[str_msr_population_or_survey]:[str_src_quality_url]]),str_weights)/str_weights_total</f>
        <v>0.82307692307692304</v>
      </c>
    </row>
    <row r="43" spans="1:45" hidden="1" x14ac:dyDescent="0.15">
      <c r="A43" s="30">
        <v>41</v>
      </c>
      <c r="B43" s="15">
        <f>COUNTIF(requirement_measure_map!$D$3:$D$1514,measure!A43)</f>
        <v>6</v>
      </c>
      <c r="C43" s="30" t="s">
        <v>315</v>
      </c>
      <c r="D43" s="15" t="s">
        <v>345</v>
      </c>
      <c r="E43" s="15" t="s">
        <v>346</v>
      </c>
      <c r="F43" s="15" t="s">
        <v>347</v>
      </c>
      <c r="G43" s="29" t="s">
        <v>212</v>
      </c>
      <c r="H43" s="15" t="s">
        <v>348</v>
      </c>
      <c r="I43" s="15" t="s">
        <v>214</v>
      </c>
      <c r="J43" s="15" t="s">
        <v>215</v>
      </c>
      <c r="K43" s="15" t="s">
        <v>232</v>
      </c>
      <c r="L43" s="15" t="s">
        <v>217</v>
      </c>
      <c r="M43" s="15" t="s">
        <v>220</v>
      </c>
      <c r="N43" s="15" t="s">
        <v>219</v>
      </c>
      <c r="O43" s="15" t="s">
        <v>219</v>
      </c>
      <c r="P43" s="15" t="s">
        <v>219</v>
      </c>
      <c r="Q43" s="15" t="s">
        <v>219</v>
      </c>
      <c r="R43" s="15" t="s">
        <v>219</v>
      </c>
      <c r="S43" s="15" t="s">
        <v>219</v>
      </c>
      <c r="T43" s="15" t="s">
        <v>220</v>
      </c>
      <c r="U43" s="15" t="s">
        <v>349</v>
      </c>
      <c r="V43" s="15" t="s">
        <v>219</v>
      </c>
      <c r="W43" s="15">
        <v>1</v>
      </c>
      <c r="X43" s="15" t="str">
        <f>_xlfn.XLOOKUP(tblMeasure[[#This Row],[id_src]],tblSource[id_src],tblSource[org])</f>
        <v>NHS Digital</v>
      </c>
      <c r="Y43" s="15" t="str">
        <f>_xlfn.XLOOKUP(tblMeasure[[#This Row],[id_src]],tblSource[id_src],tblSource[source])</f>
        <v>Adult Social Care Activity and Finance Report</v>
      </c>
      <c r="Z43" s="15" t="str">
        <f>_xlfn.XLOOKUP(tblMeasure[[#This Row],[id_src]],tblSource[id_src],tblSource[url_source])</f>
        <v>https://digital.nhs.uk/data-and-information/publications/statistical/adult-social-care-activity-and-finance-report/2018-19</v>
      </c>
      <c r="AA43" s="15">
        <f>_xlfn.XLOOKUP(tblMeasure[[#This Row],[id_src]],tblSource[id_src],tblSource[year_first_published])</f>
        <v>2016</v>
      </c>
      <c r="AB43" s="15">
        <f>_xlfn.XLOOKUP(tblMeasure[[#This Row],[id_src]],tblSource[id_src],tblSource[year_last_published])</f>
        <v>2019</v>
      </c>
      <c r="AC43" s="15" t="str">
        <f>_xlfn.XLOOKUP(tblMeasure[[#This Row],[id_src]],tblSource[id_src],tblSource[discontinuity])</f>
        <v>None</v>
      </c>
      <c r="AD43" s="15" t="str">
        <f>_xlfn.XLOOKUP(tblMeasure[[#This Row],[id_src]],tblSource[id_src],tblSource[publication_frequency])</f>
        <v>Annual</v>
      </c>
      <c r="AE43" s="15">
        <f>_xlfn.XLOOKUP(tblMeasure[[#This Row],[id_src]],tblSource[id_src],tblSource[publication_lag_months])</f>
        <v>7</v>
      </c>
      <c r="AF43" s="25" t="str">
        <f>_xlfn.XLOOKUP(tblMeasure[[#This Row],[id_src]],tblSource[id_src],tblSource[data_providers])</f>
        <v>LA</v>
      </c>
      <c r="AG43" s="25" t="str">
        <f>_xlfn.XLOOKUP(tblMeasure[[#This Row],[id_src]],tblSource[id_src],tblSource[statistic_class])</f>
        <v>National (ASC-FR) + Official (SALT)</v>
      </c>
      <c r="AH43" s="25" t="str">
        <f>_xlfn.XLOOKUP(tblMeasure[[#This Row],[id_src]],tblSource[id_src],tblSource[methodology_link])</f>
        <v>https://digital.nhs.uk/data-and-information/publications/statistical/adult-social-care-activity-and-finance-report/2018-19/data-quality-statement</v>
      </c>
      <c r="AI43" s="25" t="str">
        <f>_xlfn.XLOOKUP(tblMeasure[[#This Row],[id_src]],tblSource[id_src],tblSource[quality_issues])</f>
        <v>https://digital.nhs.uk/data-and-information/publications/statistical/adult-social-care-activity-and-finance-report/2018-19/data-quality-statement#accuracy-and-reliability</v>
      </c>
      <c r="AJ43" s="25">
        <f>VLOOKUP(tblMeasure[[#This Row],[msr_population_or_survey]],strlu_msr_population_or_survey,2,FALSE)</f>
        <v>1</v>
      </c>
      <c r="AK43" s="25">
        <f>VLOOKUP(tblMeasure[[#This Row],[msr_min_geo_resolution]],strlu_msr_min_geo_resolution,2,FALSE)</f>
        <v>1</v>
      </c>
      <c r="AL43" s="25">
        <f>(MAX(tblMeasure[[#This Row],[src_year_last_published]]-2010+1,0)+MIN(2010-tblMeasure[[#This Row],[src_year_first_published]],0)-MAX(tblMeasure[[#This Row],[src_year_last_published]]-2019,0))/10</f>
        <v>0.4</v>
      </c>
      <c r="AM43" s="25">
        <f>IF(OR(tblMeasure[[#This Row],[src_discontinuity]]="None",tblMeasure[[#This Row],[src_discontinuity]]=0),1,0)</f>
        <v>1</v>
      </c>
      <c r="AN43" s="25">
        <f>VLOOKUP(tblMeasure[[#This Row],[src_pub_frequency]],strlu_src_pub_frequency,2,FALSE)</f>
        <v>0.8</v>
      </c>
      <c r="AO43" s="25">
        <f>VLOOKUP(tblMeasure[[#This Row],[src_pub_lag_months]],strlu_src_pub_lag_months,2,FALSE)</f>
        <v>0.3</v>
      </c>
      <c r="AP43" s="25">
        <f>VLOOKUP(tblMeasure[[#This Row],[src_statistic_class]],strlu_src_statistic_class,2,FALSE)</f>
        <v>1</v>
      </c>
      <c r="AQ43" s="25">
        <f>IF(tblMeasure[[#This Row],[src_methodology_url]]="TBD",0,1)</f>
        <v>1</v>
      </c>
      <c r="AR43" s="25">
        <f>IF(tblMeasure[[#This Row],[src_quality_url]]="TBD",0,1)</f>
        <v>1</v>
      </c>
      <c r="AS43" s="85" cm="1">
        <f t="array" ref="AS43">SUMPRODUCT(TRANSPOSE(tblMeasure[[#This Row],[str_msr_population_or_survey]:[str_src_quality_url]]),str_weights)/str_weights_total</f>
        <v>0.82307692307692304</v>
      </c>
    </row>
    <row r="44" spans="1:45" hidden="1" x14ac:dyDescent="0.15">
      <c r="A44" s="30">
        <v>42</v>
      </c>
      <c r="B44" s="15">
        <f>COUNTIF(requirement_measure_map!$D$3:$D$1514,measure!A44)</f>
        <v>6</v>
      </c>
      <c r="C44" s="30" t="s">
        <v>315</v>
      </c>
      <c r="D44" s="15" t="s">
        <v>345</v>
      </c>
      <c r="E44" s="15" t="s">
        <v>350</v>
      </c>
      <c r="F44" s="15" t="s">
        <v>351</v>
      </c>
      <c r="G44" s="29" t="s">
        <v>212</v>
      </c>
      <c r="H44" s="15" t="s">
        <v>348</v>
      </c>
      <c r="I44" s="15" t="s">
        <v>214</v>
      </c>
      <c r="J44" s="15" t="s">
        <v>215</v>
      </c>
      <c r="K44" s="15" t="s">
        <v>232</v>
      </c>
      <c r="L44" s="15" t="s">
        <v>217</v>
      </c>
      <c r="M44" s="15" t="s">
        <v>220</v>
      </c>
      <c r="N44" s="15" t="s">
        <v>219</v>
      </c>
      <c r="O44" s="15" t="s">
        <v>219</v>
      </c>
      <c r="P44" s="15" t="s">
        <v>219</v>
      </c>
      <c r="Q44" s="15" t="s">
        <v>219</v>
      </c>
      <c r="R44" s="15" t="s">
        <v>219</v>
      </c>
      <c r="S44" s="15" t="s">
        <v>219</v>
      </c>
      <c r="T44" s="15" t="s">
        <v>220</v>
      </c>
      <c r="U44" s="15" t="s">
        <v>349</v>
      </c>
      <c r="V44" s="15" t="s">
        <v>219</v>
      </c>
      <c r="W44" s="15">
        <v>1</v>
      </c>
      <c r="X44" s="15" t="str">
        <f>_xlfn.XLOOKUP(tblMeasure[[#This Row],[id_src]],tblSource[id_src],tblSource[org])</f>
        <v>NHS Digital</v>
      </c>
      <c r="Y44" s="15" t="str">
        <f>_xlfn.XLOOKUP(tblMeasure[[#This Row],[id_src]],tblSource[id_src],tblSource[source])</f>
        <v>Adult Social Care Activity and Finance Report</v>
      </c>
      <c r="Z44" s="15" t="str">
        <f>_xlfn.XLOOKUP(tblMeasure[[#This Row],[id_src]],tblSource[id_src],tblSource[url_source])</f>
        <v>https://digital.nhs.uk/data-and-information/publications/statistical/adult-social-care-activity-and-finance-report/2018-19</v>
      </c>
      <c r="AA44" s="15">
        <f>_xlfn.XLOOKUP(tblMeasure[[#This Row],[id_src]],tblSource[id_src],tblSource[year_first_published])</f>
        <v>2016</v>
      </c>
      <c r="AB44" s="15">
        <f>_xlfn.XLOOKUP(tblMeasure[[#This Row],[id_src]],tblSource[id_src],tblSource[year_last_published])</f>
        <v>2019</v>
      </c>
      <c r="AC44" s="15" t="str">
        <f>_xlfn.XLOOKUP(tblMeasure[[#This Row],[id_src]],tblSource[id_src],tblSource[discontinuity])</f>
        <v>None</v>
      </c>
      <c r="AD44" s="15" t="str">
        <f>_xlfn.XLOOKUP(tblMeasure[[#This Row],[id_src]],tblSource[id_src],tblSource[publication_frequency])</f>
        <v>Annual</v>
      </c>
      <c r="AE44" s="15">
        <f>_xlfn.XLOOKUP(tblMeasure[[#This Row],[id_src]],tblSource[id_src],tblSource[publication_lag_months])</f>
        <v>7</v>
      </c>
      <c r="AF44" s="25" t="str">
        <f>_xlfn.XLOOKUP(tblMeasure[[#This Row],[id_src]],tblSource[id_src],tblSource[data_providers])</f>
        <v>LA</v>
      </c>
      <c r="AG44" s="25" t="str">
        <f>_xlfn.XLOOKUP(tblMeasure[[#This Row],[id_src]],tblSource[id_src],tblSource[statistic_class])</f>
        <v>National (ASC-FR) + Official (SALT)</v>
      </c>
      <c r="AH44" s="25" t="str">
        <f>_xlfn.XLOOKUP(tblMeasure[[#This Row],[id_src]],tblSource[id_src],tblSource[methodology_link])</f>
        <v>https://digital.nhs.uk/data-and-information/publications/statistical/adult-social-care-activity-and-finance-report/2018-19/data-quality-statement</v>
      </c>
      <c r="AI44" s="25" t="str">
        <f>_xlfn.XLOOKUP(tblMeasure[[#This Row],[id_src]],tblSource[id_src],tblSource[quality_issues])</f>
        <v>https://digital.nhs.uk/data-and-information/publications/statistical/adult-social-care-activity-and-finance-report/2018-19/data-quality-statement#accuracy-and-reliability</v>
      </c>
      <c r="AJ44" s="25">
        <f>VLOOKUP(tblMeasure[[#This Row],[msr_population_or_survey]],strlu_msr_population_or_survey,2,FALSE)</f>
        <v>1</v>
      </c>
      <c r="AK44" s="25">
        <f>VLOOKUP(tblMeasure[[#This Row],[msr_min_geo_resolution]],strlu_msr_min_geo_resolution,2,FALSE)</f>
        <v>1</v>
      </c>
      <c r="AL44" s="25">
        <f>(MAX(tblMeasure[[#This Row],[src_year_last_published]]-2010+1,0)+MIN(2010-tblMeasure[[#This Row],[src_year_first_published]],0)-MAX(tblMeasure[[#This Row],[src_year_last_published]]-2019,0))/10</f>
        <v>0.4</v>
      </c>
      <c r="AM44" s="25">
        <f>IF(OR(tblMeasure[[#This Row],[src_discontinuity]]="None",tblMeasure[[#This Row],[src_discontinuity]]=0),1,0)</f>
        <v>1</v>
      </c>
      <c r="AN44" s="25">
        <f>VLOOKUP(tblMeasure[[#This Row],[src_pub_frequency]],strlu_src_pub_frequency,2,FALSE)</f>
        <v>0.8</v>
      </c>
      <c r="AO44" s="25">
        <f>VLOOKUP(tblMeasure[[#This Row],[src_pub_lag_months]],strlu_src_pub_lag_months,2,FALSE)</f>
        <v>0.3</v>
      </c>
      <c r="AP44" s="25">
        <f>VLOOKUP(tblMeasure[[#This Row],[src_statistic_class]],strlu_src_statistic_class,2,FALSE)</f>
        <v>1</v>
      </c>
      <c r="AQ44" s="25">
        <f>IF(tblMeasure[[#This Row],[src_methodology_url]]="TBD",0,1)</f>
        <v>1</v>
      </c>
      <c r="AR44" s="25">
        <f>IF(tblMeasure[[#This Row],[src_quality_url]]="TBD",0,1)</f>
        <v>1</v>
      </c>
      <c r="AS44" s="85" cm="1">
        <f t="array" ref="AS44">SUMPRODUCT(TRANSPOSE(tblMeasure[[#This Row],[str_msr_population_or_survey]:[str_src_quality_url]]),str_weights)/str_weights_total</f>
        <v>0.82307692307692304</v>
      </c>
    </row>
    <row r="45" spans="1:45" x14ac:dyDescent="0.15">
      <c r="A45" s="30">
        <v>43</v>
      </c>
      <c r="B45" s="15">
        <f>COUNTIF(requirement_measure_map!$D$3:$D$1514,measure!A45)</f>
        <v>7</v>
      </c>
      <c r="C45" s="30" t="s">
        <v>315</v>
      </c>
      <c r="D45" s="15" t="s">
        <v>345</v>
      </c>
      <c r="E45" s="15" t="s">
        <v>352</v>
      </c>
      <c r="F45" s="15" t="s">
        <v>353</v>
      </c>
      <c r="G45" s="29" t="s">
        <v>212</v>
      </c>
      <c r="H45" s="15" t="s">
        <v>348</v>
      </c>
      <c r="I45" s="15" t="s">
        <v>214</v>
      </c>
      <c r="J45" s="15" t="s">
        <v>215</v>
      </c>
      <c r="K45" s="15" t="s">
        <v>232</v>
      </c>
      <c r="L45" s="15" t="s">
        <v>233</v>
      </c>
      <c r="M45" s="15" t="s">
        <v>218</v>
      </c>
      <c r="N45" s="15" t="s">
        <v>219</v>
      </c>
      <c r="O45" s="15" t="s">
        <v>219</v>
      </c>
      <c r="P45" s="15" t="s">
        <v>243</v>
      </c>
      <c r="Q45" s="15" t="s">
        <v>219</v>
      </c>
      <c r="R45" s="15" t="s">
        <v>219</v>
      </c>
      <c r="S45" s="15" t="s">
        <v>219</v>
      </c>
      <c r="T45" s="15" t="s">
        <v>220</v>
      </c>
      <c r="U45" s="15" t="s">
        <v>349</v>
      </c>
      <c r="V45" s="15" t="s">
        <v>219</v>
      </c>
      <c r="W45" s="15">
        <v>1</v>
      </c>
      <c r="X45" s="15" t="str">
        <f>_xlfn.XLOOKUP(tblMeasure[[#This Row],[id_src]],tblSource[id_src],tblSource[org])</f>
        <v>NHS Digital</v>
      </c>
      <c r="Y45" s="15" t="str">
        <f>_xlfn.XLOOKUP(tblMeasure[[#This Row],[id_src]],tblSource[id_src],tblSource[source])</f>
        <v>Adult Social Care Activity and Finance Report</v>
      </c>
      <c r="Z45" s="15" t="str">
        <f>_xlfn.XLOOKUP(tblMeasure[[#This Row],[id_src]],tblSource[id_src],tblSource[url_source])</f>
        <v>https://digital.nhs.uk/data-and-information/publications/statistical/adult-social-care-activity-and-finance-report/2018-19</v>
      </c>
      <c r="AA45" s="15">
        <f>_xlfn.XLOOKUP(tblMeasure[[#This Row],[id_src]],tblSource[id_src],tblSource[year_first_published])</f>
        <v>2016</v>
      </c>
      <c r="AB45" s="15">
        <f>_xlfn.XLOOKUP(tblMeasure[[#This Row],[id_src]],tblSource[id_src],tblSource[year_last_published])</f>
        <v>2019</v>
      </c>
      <c r="AC45" s="15" t="str">
        <f>_xlfn.XLOOKUP(tblMeasure[[#This Row],[id_src]],tblSource[id_src],tblSource[discontinuity])</f>
        <v>None</v>
      </c>
      <c r="AD45" s="15" t="str">
        <f>_xlfn.XLOOKUP(tblMeasure[[#This Row],[id_src]],tblSource[id_src],tblSource[publication_frequency])</f>
        <v>Annual</v>
      </c>
      <c r="AE45" s="15">
        <f>_xlfn.XLOOKUP(tblMeasure[[#This Row],[id_src]],tblSource[id_src],tblSource[publication_lag_months])</f>
        <v>7</v>
      </c>
      <c r="AF45" s="25" t="str">
        <f>_xlfn.XLOOKUP(tblMeasure[[#This Row],[id_src]],tblSource[id_src],tblSource[data_providers])</f>
        <v>LA</v>
      </c>
      <c r="AG45" s="25" t="str">
        <f>_xlfn.XLOOKUP(tblMeasure[[#This Row],[id_src]],tblSource[id_src],tblSource[statistic_class])</f>
        <v>National (ASC-FR) + Official (SALT)</v>
      </c>
      <c r="AH45" s="25" t="str">
        <f>_xlfn.XLOOKUP(tblMeasure[[#This Row],[id_src]],tblSource[id_src],tblSource[methodology_link])</f>
        <v>https://digital.nhs.uk/data-and-information/publications/statistical/adult-social-care-activity-and-finance-report/2018-19/data-quality-statement</v>
      </c>
      <c r="AI45" s="25" t="str">
        <f>_xlfn.XLOOKUP(tblMeasure[[#This Row],[id_src]],tblSource[id_src],tblSource[quality_issues])</f>
        <v>https://digital.nhs.uk/data-and-information/publications/statistical/adult-social-care-activity-and-finance-report/2018-19/data-quality-statement#accuracy-and-reliability</v>
      </c>
      <c r="AJ45" s="25">
        <f>VLOOKUP(tblMeasure[[#This Row],[msr_population_or_survey]],strlu_msr_population_or_survey,2,FALSE)</f>
        <v>1</v>
      </c>
      <c r="AK45" s="25">
        <f>VLOOKUP(tblMeasure[[#This Row],[msr_min_geo_resolution]],strlu_msr_min_geo_resolution,2,FALSE)</f>
        <v>0</v>
      </c>
      <c r="AL45" s="25">
        <f>(MAX(tblMeasure[[#This Row],[src_year_last_published]]-2010+1,0)+MIN(2010-tblMeasure[[#This Row],[src_year_first_published]],0)-MAX(tblMeasure[[#This Row],[src_year_last_published]]-2019,0))/10</f>
        <v>0.4</v>
      </c>
      <c r="AM45" s="25">
        <f>IF(OR(tblMeasure[[#This Row],[src_discontinuity]]="None",tblMeasure[[#This Row],[src_discontinuity]]=0),1,0)</f>
        <v>1</v>
      </c>
      <c r="AN45" s="25">
        <f>VLOOKUP(tblMeasure[[#This Row],[src_pub_frequency]],strlu_src_pub_frequency,2,FALSE)</f>
        <v>0.8</v>
      </c>
      <c r="AO45" s="25">
        <f>VLOOKUP(tblMeasure[[#This Row],[src_pub_lag_months]],strlu_src_pub_lag_months,2,FALSE)</f>
        <v>0.3</v>
      </c>
      <c r="AP45" s="25">
        <f>VLOOKUP(tblMeasure[[#This Row],[src_statistic_class]],strlu_src_statistic_class,2,FALSE)</f>
        <v>1</v>
      </c>
      <c r="AQ45" s="25">
        <f>IF(tblMeasure[[#This Row],[src_methodology_url]]="TBD",0,1)</f>
        <v>1</v>
      </c>
      <c r="AR45" s="25">
        <f>IF(tblMeasure[[#This Row],[src_quality_url]]="TBD",0,1)</f>
        <v>1</v>
      </c>
      <c r="AS45" s="85" cm="1">
        <f t="array" ref="AS45">SUMPRODUCT(TRANSPOSE(tblMeasure[[#This Row],[str_msr_population_or_survey]:[str_src_quality_url]]),str_weights)/str_weights_total</f>
        <v>0.66923076923076918</v>
      </c>
    </row>
    <row r="46" spans="1:45" x14ac:dyDescent="0.15">
      <c r="A46" s="30">
        <v>44</v>
      </c>
      <c r="B46" s="15">
        <f>COUNTIF(requirement_measure_map!$D$3:$D$1514,measure!A46)</f>
        <v>3</v>
      </c>
      <c r="C46" s="30" t="s">
        <v>315</v>
      </c>
      <c r="D46" s="15" t="s">
        <v>345</v>
      </c>
      <c r="E46" s="15" t="s">
        <v>354</v>
      </c>
      <c r="F46" s="15" t="s">
        <v>355</v>
      </c>
      <c r="G46" s="29" t="s">
        <v>212</v>
      </c>
      <c r="H46" s="15" t="s">
        <v>356</v>
      </c>
      <c r="I46" s="15" t="s">
        <v>214</v>
      </c>
      <c r="J46" s="15" t="s">
        <v>215</v>
      </c>
      <c r="K46" s="15" t="s">
        <v>232</v>
      </c>
      <c r="L46" s="15" t="s">
        <v>217</v>
      </c>
      <c r="M46" s="15" t="s">
        <v>219</v>
      </c>
      <c r="N46" s="15" t="s">
        <v>219</v>
      </c>
      <c r="O46" s="15" t="s">
        <v>219</v>
      </c>
      <c r="P46" s="15" t="s">
        <v>330</v>
      </c>
      <c r="Q46" s="15" t="s">
        <v>219</v>
      </c>
      <c r="R46" s="15" t="s">
        <v>219</v>
      </c>
      <c r="S46" s="15" t="s">
        <v>219</v>
      </c>
      <c r="T46" s="15" t="s">
        <v>220</v>
      </c>
      <c r="U46" s="15" t="s">
        <v>219</v>
      </c>
      <c r="V46" s="15" t="s">
        <v>219</v>
      </c>
      <c r="W46" s="15">
        <v>1</v>
      </c>
      <c r="X46" s="15" t="str">
        <f>_xlfn.XLOOKUP(tblMeasure[[#This Row],[id_src]],tblSource[id_src],tblSource[org])</f>
        <v>NHS Digital</v>
      </c>
      <c r="Y46" s="15" t="str">
        <f>_xlfn.XLOOKUP(tblMeasure[[#This Row],[id_src]],tblSource[id_src],tblSource[source])</f>
        <v>Adult Social Care Activity and Finance Report</v>
      </c>
      <c r="Z46" s="15" t="str">
        <f>_xlfn.XLOOKUP(tblMeasure[[#This Row],[id_src]],tblSource[id_src],tblSource[url_source])</f>
        <v>https://digital.nhs.uk/data-and-information/publications/statistical/adult-social-care-activity-and-finance-report/2018-19</v>
      </c>
      <c r="AA46" s="15">
        <f>_xlfn.XLOOKUP(tblMeasure[[#This Row],[id_src]],tblSource[id_src],tblSource[year_first_published])</f>
        <v>2016</v>
      </c>
      <c r="AB46" s="15">
        <f>_xlfn.XLOOKUP(tblMeasure[[#This Row],[id_src]],tblSource[id_src],tblSource[year_last_published])</f>
        <v>2019</v>
      </c>
      <c r="AC46" s="15" t="str">
        <f>_xlfn.XLOOKUP(tblMeasure[[#This Row],[id_src]],tblSource[id_src],tblSource[discontinuity])</f>
        <v>None</v>
      </c>
      <c r="AD46" s="15" t="str">
        <f>_xlfn.XLOOKUP(tblMeasure[[#This Row],[id_src]],tblSource[id_src],tblSource[publication_frequency])</f>
        <v>Annual</v>
      </c>
      <c r="AE46" s="15">
        <f>_xlfn.XLOOKUP(tblMeasure[[#This Row],[id_src]],tblSource[id_src],tblSource[publication_lag_months])</f>
        <v>7</v>
      </c>
      <c r="AF46" s="25" t="str">
        <f>_xlfn.XLOOKUP(tblMeasure[[#This Row],[id_src]],tblSource[id_src],tblSource[data_providers])</f>
        <v>LA</v>
      </c>
      <c r="AG46" s="25" t="str">
        <f>_xlfn.XLOOKUP(tblMeasure[[#This Row],[id_src]],tblSource[id_src],tblSource[statistic_class])</f>
        <v>National (ASC-FR) + Official (SALT)</v>
      </c>
      <c r="AH46" s="25" t="str">
        <f>_xlfn.XLOOKUP(tblMeasure[[#This Row],[id_src]],tblSource[id_src],tblSource[methodology_link])</f>
        <v>https://digital.nhs.uk/data-and-information/publications/statistical/adult-social-care-activity-and-finance-report/2018-19/data-quality-statement</v>
      </c>
      <c r="AI46" s="25" t="str">
        <f>_xlfn.XLOOKUP(tblMeasure[[#This Row],[id_src]],tblSource[id_src],tblSource[quality_issues])</f>
        <v>https://digital.nhs.uk/data-and-information/publications/statistical/adult-social-care-activity-and-finance-report/2018-19/data-quality-statement#accuracy-and-reliability</v>
      </c>
      <c r="AJ46" s="25">
        <f>VLOOKUP(tblMeasure[[#This Row],[msr_population_or_survey]],strlu_msr_population_or_survey,2,FALSE)</f>
        <v>1</v>
      </c>
      <c r="AK46" s="25">
        <f>VLOOKUP(tblMeasure[[#This Row],[msr_min_geo_resolution]],strlu_msr_min_geo_resolution,2,FALSE)</f>
        <v>1</v>
      </c>
      <c r="AL46" s="25">
        <f>(MAX(tblMeasure[[#This Row],[src_year_last_published]]-2010+1,0)+MIN(2010-tblMeasure[[#This Row],[src_year_first_published]],0)-MAX(tblMeasure[[#This Row],[src_year_last_published]]-2019,0))/10</f>
        <v>0.4</v>
      </c>
      <c r="AM46" s="25">
        <f>IF(OR(tblMeasure[[#This Row],[src_discontinuity]]="None",tblMeasure[[#This Row],[src_discontinuity]]=0),1,0)</f>
        <v>1</v>
      </c>
      <c r="AN46" s="25">
        <f>VLOOKUP(tblMeasure[[#This Row],[src_pub_frequency]],strlu_src_pub_frequency,2,FALSE)</f>
        <v>0.8</v>
      </c>
      <c r="AO46" s="25">
        <f>VLOOKUP(tblMeasure[[#This Row],[src_pub_lag_months]],strlu_src_pub_lag_months,2,FALSE)</f>
        <v>0.3</v>
      </c>
      <c r="AP46" s="25">
        <f>VLOOKUP(tblMeasure[[#This Row],[src_statistic_class]],strlu_src_statistic_class,2,FALSE)</f>
        <v>1</v>
      </c>
      <c r="AQ46" s="25">
        <f>IF(tblMeasure[[#This Row],[src_methodology_url]]="TBD",0,1)</f>
        <v>1</v>
      </c>
      <c r="AR46" s="25">
        <f>IF(tblMeasure[[#This Row],[src_quality_url]]="TBD",0,1)</f>
        <v>1</v>
      </c>
      <c r="AS46" s="85" cm="1">
        <f t="array" ref="AS46">SUMPRODUCT(TRANSPOSE(tblMeasure[[#This Row],[str_msr_population_or_survey]:[str_src_quality_url]]),str_weights)/str_weights_total</f>
        <v>0.82307692307692304</v>
      </c>
    </row>
    <row r="47" spans="1:45" hidden="1" x14ac:dyDescent="0.15">
      <c r="A47" s="30">
        <v>45</v>
      </c>
      <c r="B47" s="15">
        <f>COUNTIF(requirement_measure_map!$D$3:$D$1514,measure!A47)</f>
        <v>5</v>
      </c>
      <c r="C47" s="30" t="s">
        <v>315</v>
      </c>
      <c r="D47" s="15" t="s">
        <v>357</v>
      </c>
      <c r="E47" s="15" t="s">
        <v>358</v>
      </c>
      <c r="F47" s="15" t="s">
        <v>359</v>
      </c>
      <c r="G47" s="29" t="s">
        <v>212</v>
      </c>
      <c r="H47" s="15" t="s">
        <v>360</v>
      </c>
      <c r="I47" s="15" t="s">
        <v>214</v>
      </c>
      <c r="J47" s="15" t="s">
        <v>215</v>
      </c>
      <c r="K47" s="15" t="s">
        <v>361</v>
      </c>
      <c r="L47" s="15" t="s">
        <v>217</v>
      </c>
      <c r="M47" s="15" t="s">
        <v>219</v>
      </c>
      <c r="N47" s="15" t="s">
        <v>219</v>
      </c>
      <c r="O47" s="15" t="s">
        <v>219</v>
      </c>
      <c r="P47" s="15" t="s">
        <v>219</v>
      </c>
      <c r="Q47" s="15" t="s">
        <v>219</v>
      </c>
      <c r="R47" s="15" t="s">
        <v>219</v>
      </c>
      <c r="S47" s="15" t="s">
        <v>220</v>
      </c>
      <c r="T47" s="15" t="s">
        <v>219</v>
      </c>
      <c r="U47" s="15" t="s">
        <v>219</v>
      </c>
      <c r="V47" s="15" t="s">
        <v>219</v>
      </c>
      <c r="W47" s="15">
        <v>1</v>
      </c>
      <c r="X47" s="15" t="str">
        <f>_xlfn.XLOOKUP(tblMeasure[[#This Row],[id_src]],tblSource[id_src],tblSource[org])</f>
        <v>NHS Digital</v>
      </c>
      <c r="Y47" s="15" t="str">
        <f>_xlfn.XLOOKUP(tblMeasure[[#This Row],[id_src]],tblSource[id_src],tblSource[source])</f>
        <v>Adult Social Care Activity and Finance Report</v>
      </c>
      <c r="Z47" s="15" t="str">
        <f>_xlfn.XLOOKUP(tblMeasure[[#This Row],[id_src]],tblSource[id_src],tblSource[url_source])</f>
        <v>https://digital.nhs.uk/data-and-information/publications/statistical/adult-social-care-activity-and-finance-report/2018-19</v>
      </c>
      <c r="AA47" s="15">
        <f>_xlfn.XLOOKUP(tblMeasure[[#This Row],[id_src]],tblSource[id_src],tblSource[year_first_published])</f>
        <v>2016</v>
      </c>
      <c r="AB47" s="15">
        <f>_xlfn.XLOOKUP(tblMeasure[[#This Row],[id_src]],tblSource[id_src],tblSource[year_last_published])</f>
        <v>2019</v>
      </c>
      <c r="AC47" s="15" t="str">
        <f>_xlfn.XLOOKUP(tblMeasure[[#This Row],[id_src]],tblSource[id_src],tblSource[discontinuity])</f>
        <v>None</v>
      </c>
      <c r="AD47" s="15" t="str">
        <f>_xlfn.XLOOKUP(tblMeasure[[#This Row],[id_src]],tblSource[id_src],tblSource[publication_frequency])</f>
        <v>Annual</v>
      </c>
      <c r="AE47" s="15">
        <f>_xlfn.XLOOKUP(tblMeasure[[#This Row],[id_src]],tblSource[id_src],tblSource[publication_lag_months])</f>
        <v>7</v>
      </c>
      <c r="AF47" s="25" t="str">
        <f>_xlfn.XLOOKUP(tblMeasure[[#This Row],[id_src]],tblSource[id_src],tblSource[data_providers])</f>
        <v>LA</v>
      </c>
      <c r="AG47" s="25" t="str">
        <f>_xlfn.XLOOKUP(tblMeasure[[#This Row],[id_src]],tblSource[id_src],tblSource[statistic_class])</f>
        <v>National (ASC-FR) + Official (SALT)</v>
      </c>
      <c r="AH47" s="25" t="str">
        <f>_xlfn.XLOOKUP(tblMeasure[[#This Row],[id_src]],tblSource[id_src],tblSource[methodology_link])</f>
        <v>https://digital.nhs.uk/data-and-information/publications/statistical/adult-social-care-activity-and-finance-report/2018-19/data-quality-statement</v>
      </c>
      <c r="AI47" s="25" t="str">
        <f>_xlfn.XLOOKUP(tblMeasure[[#This Row],[id_src]],tblSource[id_src],tblSource[quality_issues])</f>
        <v>https://digital.nhs.uk/data-and-information/publications/statistical/adult-social-care-activity-and-finance-report/2018-19/data-quality-statement#accuracy-and-reliability</v>
      </c>
      <c r="AJ47" s="25">
        <f>VLOOKUP(tblMeasure[[#This Row],[msr_population_or_survey]],strlu_msr_population_or_survey,2,FALSE)</f>
        <v>1</v>
      </c>
      <c r="AK47" s="25">
        <f>VLOOKUP(tblMeasure[[#This Row],[msr_min_geo_resolution]],strlu_msr_min_geo_resolution,2,FALSE)</f>
        <v>1</v>
      </c>
      <c r="AL47" s="25">
        <f>(MAX(tblMeasure[[#This Row],[src_year_last_published]]-2010+1,0)+MIN(2010-tblMeasure[[#This Row],[src_year_first_published]],0)-MAX(tblMeasure[[#This Row],[src_year_last_published]]-2019,0))/10</f>
        <v>0.4</v>
      </c>
      <c r="AM47" s="25">
        <f>IF(OR(tblMeasure[[#This Row],[src_discontinuity]]="None",tblMeasure[[#This Row],[src_discontinuity]]=0),1,0)</f>
        <v>1</v>
      </c>
      <c r="AN47" s="25">
        <f>VLOOKUP(tblMeasure[[#This Row],[src_pub_frequency]],strlu_src_pub_frequency,2,FALSE)</f>
        <v>0.8</v>
      </c>
      <c r="AO47" s="25">
        <f>VLOOKUP(tblMeasure[[#This Row],[src_pub_lag_months]],strlu_src_pub_lag_months,2,FALSE)</f>
        <v>0.3</v>
      </c>
      <c r="AP47" s="25">
        <f>VLOOKUP(tblMeasure[[#This Row],[src_statistic_class]],strlu_src_statistic_class,2,FALSE)</f>
        <v>1</v>
      </c>
      <c r="AQ47" s="25">
        <f>IF(tblMeasure[[#This Row],[src_methodology_url]]="TBD",0,1)</f>
        <v>1</v>
      </c>
      <c r="AR47" s="25">
        <f>IF(tblMeasure[[#This Row],[src_quality_url]]="TBD",0,1)</f>
        <v>1</v>
      </c>
      <c r="AS47" s="85" cm="1">
        <f t="array" ref="AS47">SUMPRODUCT(TRANSPOSE(tblMeasure[[#This Row],[str_msr_population_or_survey]:[str_src_quality_url]]),str_weights)/str_weights_total</f>
        <v>0.82307692307692304</v>
      </c>
    </row>
    <row r="48" spans="1:45" hidden="1" x14ac:dyDescent="0.15">
      <c r="A48" s="30">
        <v>46</v>
      </c>
      <c r="B48" s="15">
        <f>COUNTIF(requirement_measure_map!$D$3:$D$1514,measure!A48)</f>
        <v>6</v>
      </c>
      <c r="C48" s="30" t="s">
        <v>315</v>
      </c>
      <c r="D48" s="15" t="s">
        <v>357</v>
      </c>
      <c r="E48" s="15" t="s">
        <v>362</v>
      </c>
      <c r="F48" s="15" t="s">
        <v>363</v>
      </c>
      <c r="G48" s="29" t="s">
        <v>212</v>
      </c>
      <c r="H48" s="15" t="s">
        <v>360</v>
      </c>
      <c r="I48" s="15" t="s">
        <v>214</v>
      </c>
      <c r="J48" s="15" t="s">
        <v>215</v>
      </c>
      <c r="K48" s="15" t="s">
        <v>364</v>
      </c>
      <c r="L48" s="15" t="s">
        <v>233</v>
      </c>
      <c r="M48" s="15" t="s">
        <v>219</v>
      </c>
      <c r="N48" s="15" t="s">
        <v>219</v>
      </c>
      <c r="O48" s="15" t="s">
        <v>219</v>
      </c>
      <c r="P48" s="15" t="s">
        <v>219</v>
      </c>
      <c r="Q48" s="15" t="s">
        <v>219</v>
      </c>
      <c r="R48" s="15" t="s">
        <v>219</v>
      </c>
      <c r="S48" s="15" t="s">
        <v>220</v>
      </c>
      <c r="T48" s="15" t="s">
        <v>219</v>
      </c>
      <c r="U48" s="15" t="s">
        <v>219</v>
      </c>
      <c r="V48" s="15" t="s">
        <v>219</v>
      </c>
      <c r="W48" s="15">
        <v>1</v>
      </c>
      <c r="X48" s="15" t="str">
        <f>_xlfn.XLOOKUP(tblMeasure[[#This Row],[id_src]],tblSource[id_src],tblSource[org])</f>
        <v>NHS Digital</v>
      </c>
      <c r="Y48" s="15" t="str">
        <f>_xlfn.XLOOKUP(tblMeasure[[#This Row],[id_src]],tblSource[id_src],tblSource[source])</f>
        <v>Adult Social Care Activity and Finance Report</v>
      </c>
      <c r="Z48" s="15" t="str">
        <f>_xlfn.XLOOKUP(tblMeasure[[#This Row],[id_src]],tblSource[id_src],tblSource[url_source])</f>
        <v>https://digital.nhs.uk/data-and-information/publications/statistical/adult-social-care-activity-and-finance-report/2018-19</v>
      </c>
      <c r="AA48" s="15">
        <f>_xlfn.XLOOKUP(tblMeasure[[#This Row],[id_src]],tblSource[id_src],tblSource[year_first_published])</f>
        <v>2016</v>
      </c>
      <c r="AB48" s="15">
        <f>_xlfn.XLOOKUP(tblMeasure[[#This Row],[id_src]],tblSource[id_src],tblSource[year_last_published])</f>
        <v>2019</v>
      </c>
      <c r="AC48" s="15" t="str">
        <f>_xlfn.XLOOKUP(tblMeasure[[#This Row],[id_src]],tblSource[id_src],tblSource[discontinuity])</f>
        <v>None</v>
      </c>
      <c r="AD48" s="15" t="str">
        <f>_xlfn.XLOOKUP(tblMeasure[[#This Row],[id_src]],tblSource[id_src],tblSource[publication_frequency])</f>
        <v>Annual</v>
      </c>
      <c r="AE48" s="15">
        <f>_xlfn.XLOOKUP(tblMeasure[[#This Row],[id_src]],tblSource[id_src],tblSource[publication_lag_months])</f>
        <v>7</v>
      </c>
      <c r="AF48" s="25" t="str">
        <f>_xlfn.XLOOKUP(tblMeasure[[#This Row],[id_src]],tblSource[id_src],tblSource[data_providers])</f>
        <v>LA</v>
      </c>
      <c r="AG48" s="25" t="str">
        <f>_xlfn.XLOOKUP(tblMeasure[[#This Row],[id_src]],tblSource[id_src],tblSource[statistic_class])</f>
        <v>National (ASC-FR) + Official (SALT)</v>
      </c>
      <c r="AH48" s="25" t="str">
        <f>_xlfn.XLOOKUP(tblMeasure[[#This Row],[id_src]],tblSource[id_src],tblSource[methodology_link])</f>
        <v>https://digital.nhs.uk/data-and-information/publications/statistical/adult-social-care-activity-and-finance-report/2018-19/data-quality-statement</v>
      </c>
      <c r="AI48" s="25" t="str">
        <f>_xlfn.XLOOKUP(tblMeasure[[#This Row],[id_src]],tblSource[id_src],tblSource[quality_issues])</f>
        <v>https://digital.nhs.uk/data-and-information/publications/statistical/adult-social-care-activity-and-finance-report/2018-19/data-quality-statement#accuracy-and-reliability</v>
      </c>
      <c r="AJ48" s="25">
        <f>VLOOKUP(tblMeasure[[#This Row],[msr_population_or_survey]],strlu_msr_population_or_survey,2,FALSE)</f>
        <v>1</v>
      </c>
      <c r="AK48" s="25">
        <f>VLOOKUP(tblMeasure[[#This Row],[msr_min_geo_resolution]],strlu_msr_min_geo_resolution,2,FALSE)</f>
        <v>0</v>
      </c>
      <c r="AL48" s="25">
        <f>(MAX(tblMeasure[[#This Row],[src_year_last_published]]-2010+1,0)+MIN(2010-tblMeasure[[#This Row],[src_year_first_published]],0)-MAX(tblMeasure[[#This Row],[src_year_last_published]]-2019,0))/10</f>
        <v>0.4</v>
      </c>
      <c r="AM48" s="25">
        <f>IF(OR(tblMeasure[[#This Row],[src_discontinuity]]="None",tblMeasure[[#This Row],[src_discontinuity]]=0),1,0)</f>
        <v>1</v>
      </c>
      <c r="AN48" s="25">
        <f>VLOOKUP(tblMeasure[[#This Row],[src_pub_frequency]],strlu_src_pub_frequency,2,FALSE)</f>
        <v>0.8</v>
      </c>
      <c r="AO48" s="25">
        <f>VLOOKUP(tblMeasure[[#This Row],[src_pub_lag_months]],strlu_src_pub_lag_months,2,FALSE)</f>
        <v>0.3</v>
      </c>
      <c r="AP48" s="25">
        <f>VLOOKUP(tblMeasure[[#This Row],[src_statistic_class]],strlu_src_statistic_class,2,FALSE)</f>
        <v>1</v>
      </c>
      <c r="AQ48" s="25">
        <f>IF(tblMeasure[[#This Row],[src_methodology_url]]="TBD",0,1)</f>
        <v>1</v>
      </c>
      <c r="AR48" s="25">
        <f>IF(tblMeasure[[#This Row],[src_quality_url]]="TBD",0,1)</f>
        <v>1</v>
      </c>
      <c r="AS48" s="85" cm="1">
        <f t="array" ref="AS48">SUMPRODUCT(TRANSPOSE(tblMeasure[[#This Row],[str_msr_population_or_survey]:[str_src_quality_url]]),str_weights)/str_weights_total</f>
        <v>0.66923076923076918</v>
      </c>
    </row>
    <row r="49" spans="1:45" hidden="1" x14ac:dyDescent="0.15">
      <c r="A49" s="30">
        <v>47</v>
      </c>
      <c r="B49" s="15">
        <f>COUNTIF(requirement_measure_map!$D$3:$D$1514,measure!A49)</f>
        <v>4</v>
      </c>
      <c r="C49" s="30" t="s">
        <v>315</v>
      </c>
      <c r="D49" s="15" t="s">
        <v>357</v>
      </c>
      <c r="E49" s="15" t="s">
        <v>365</v>
      </c>
      <c r="F49" s="15" t="s">
        <v>366</v>
      </c>
      <c r="G49" s="29" t="s">
        <v>212</v>
      </c>
      <c r="H49" s="15" t="s">
        <v>360</v>
      </c>
      <c r="I49" s="15" t="s">
        <v>214</v>
      </c>
      <c r="J49" s="15" t="s">
        <v>215</v>
      </c>
      <c r="K49" s="15" t="s">
        <v>367</v>
      </c>
      <c r="L49" s="15" t="s">
        <v>217</v>
      </c>
      <c r="M49" s="15" t="s">
        <v>219</v>
      </c>
      <c r="N49" s="15" t="s">
        <v>219</v>
      </c>
      <c r="O49" s="15" t="s">
        <v>219</v>
      </c>
      <c r="P49" s="15" t="s">
        <v>219</v>
      </c>
      <c r="Q49" s="15" t="s">
        <v>219</v>
      </c>
      <c r="R49" s="15" t="s">
        <v>219</v>
      </c>
      <c r="S49" s="15" t="s">
        <v>220</v>
      </c>
      <c r="T49" s="15" t="s">
        <v>219</v>
      </c>
      <c r="U49" s="15" t="s">
        <v>219</v>
      </c>
      <c r="V49" s="15" t="s">
        <v>219</v>
      </c>
      <c r="W49" s="15">
        <v>1</v>
      </c>
      <c r="X49" s="15" t="str">
        <f>_xlfn.XLOOKUP(tblMeasure[[#This Row],[id_src]],tblSource[id_src],tblSource[org])</f>
        <v>NHS Digital</v>
      </c>
      <c r="Y49" s="15" t="str">
        <f>_xlfn.XLOOKUP(tblMeasure[[#This Row],[id_src]],tblSource[id_src],tblSource[source])</f>
        <v>Adult Social Care Activity and Finance Report</v>
      </c>
      <c r="Z49" s="15" t="str">
        <f>_xlfn.XLOOKUP(tblMeasure[[#This Row],[id_src]],tblSource[id_src],tblSource[url_source])</f>
        <v>https://digital.nhs.uk/data-and-information/publications/statistical/adult-social-care-activity-and-finance-report/2018-19</v>
      </c>
      <c r="AA49" s="15">
        <f>_xlfn.XLOOKUP(tblMeasure[[#This Row],[id_src]],tblSource[id_src],tblSource[year_first_published])</f>
        <v>2016</v>
      </c>
      <c r="AB49" s="15">
        <f>_xlfn.XLOOKUP(tblMeasure[[#This Row],[id_src]],tblSource[id_src],tblSource[year_last_published])</f>
        <v>2019</v>
      </c>
      <c r="AC49" s="15" t="str">
        <f>_xlfn.XLOOKUP(tblMeasure[[#This Row],[id_src]],tblSource[id_src],tblSource[discontinuity])</f>
        <v>None</v>
      </c>
      <c r="AD49" s="15" t="str">
        <f>_xlfn.XLOOKUP(tblMeasure[[#This Row],[id_src]],tblSource[id_src],tblSource[publication_frequency])</f>
        <v>Annual</v>
      </c>
      <c r="AE49" s="15">
        <f>_xlfn.XLOOKUP(tblMeasure[[#This Row],[id_src]],tblSource[id_src],tblSource[publication_lag_months])</f>
        <v>7</v>
      </c>
      <c r="AF49" s="25" t="str">
        <f>_xlfn.XLOOKUP(tblMeasure[[#This Row],[id_src]],tblSource[id_src],tblSource[data_providers])</f>
        <v>LA</v>
      </c>
      <c r="AG49" s="25" t="str">
        <f>_xlfn.XLOOKUP(tblMeasure[[#This Row],[id_src]],tblSource[id_src],tblSource[statistic_class])</f>
        <v>National (ASC-FR) + Official (SALT)</v>
      </c>
      <c r="AH49" s="25" t="str">
        <f>_xlfn.XLOOKUP(tblMeasure[[#This Row],[id_src]],tblSource[id_src],tblSource[methodology_link])</f>
        <v>https://digital.nhs.uk/data-and-information/publications/statistical/adult-social-care-activity-and-finance-report/2018-19/data-quality-statement</v>
      </c>
      <c r="AI49" s="25" t="str">
        <f>_xlfn.XLOOKUP(tblMeasure[[#This Row],[id_src]],tblSource[id_src],tblSource[quality_issues])</f>
        <v>https://digital.nhs.uk/data-and-information/publications/statistical/adult-social-care-activity-and-finance-report/2018-19/data-quality-statement#accuracy-and-reliability</v>
      </c>
      <c r="AJ49" s="25">
        <f>VLOOKUP(tblMeasure[[#This Row],[msr_population_or_survey]],strlu_msr_population_or_survey,2,FALSE)</f>
        <v>1</v>
      </c>
      <c r="AK49" s="25">
        <f>VLOOKUP(tblMeasure[[#This Row],[msr_min_geo_resolution]],strlu_msr_min_geo_resolution,2,FALSE)</f>
        <v>1</v>
      </c>
      <c r="AL49" s="25">
        <f>(MAX(tblMeasure[[#This Row],[src_year_last_published]]-2010+1,0)+MIN(2010-tblMeasure[[#This Row],[src_year_first_published]],0)-MAX(tblMeasure[[#This Row],[src_year_last_published]]-2019,0))/10</f>
        <v>0.4</v>
      </c>
      <c r="AM49" s="25">
        <f>IF(OR(tblMeasure[[#This Row],[src_discontinuity]]="None",tblMeasure[[#This Row],[src_discontinuity]]=0),1,0)</f>
        <v>1</v>
      </c>
      <c r="AN49" s="25">
        <f>VLOOKUP(tblMeasure[[#This Row],[src_pub_frequency]],strlu_src_pub_frequency,2,FALSE)</f>
        <v>0.8</v>
      </c>
      <c r="AO49" s="25">
        <f>VLOOKUP(tblMeasure[[#This Row],[src_pub_lag_months]],strlu_src_pub_lag_months,2,FALSE)</f>
        <v>0.3</v>
      </c>
      <c r="AP49" s="25">
        <f>VLOOKUP(tblMeasure[[#This Row],[src_statistic_class]],strlu_src_statistic_class,2,FALSE)</f>
        <v>1</v>
      </c>
      <c r="AQ49" s="25">
        <f>IF(tblMeasure[[#This Row],[src_methodology_url]]="TBD",0,1)</f>
        <v>1</v>
      </c>
      <c r="AR49" s="25">
        <f>IF(tblMeasure[[#This Row],[src_quality_url]]="TBD",0,1)</f>
        <v>1</v>
      </c>
      <c r="AS49" s="85" cm="1">
        <f t="array" ref="AS49">SUMPRODUCT(TRANSPOSE(tblMeasure[[#This Row],[str_msr_population_or_survey]:[str_src_quality_url]]),str_weights)/str_weights_total</f>
        <v>0.82307692307692304</v>
      </c>
    </row>
    <row r="50" spans="1:45" hidden="1" x14ac:dyDescent="0.15">
      <c r="A50" s="30">
        <v>48</v>
      </c>
      <c r="B50" s="15">
        <f>COUNTIF(requirement_measure_map!$D$3:$D$1514,measure!A50)</f>
        <v>3</v>
      </c>
      <c r="C50" s="30" t="s">
        <v>315</v>
      </c>
      <c r="D50" s="15" t="s">
        <v>126</v>
      </c>
      <c r="E50" s="15" t="s">
        <v>368</v>
      </c>
      <c r="F50" s="15" t="s">
        <v>369</v>
      </c>
      <c r="G50" s="29" t="s">
        <v>212</v>
      </c>
      <c r="H50" s="15" t="s">
        <v>370</v>
      </c>
      <c r="I50" s="15" t="s">
        <v>214</v>
      </c>
      <c r="J50" s="15" t="s">
        <v>215</v>
      </c>
      <c r="K50" s="15" t="s">
        <v>371</v>
      </c>
      <c r="L50" s="15" t="s">
        <v>217</v>
      </c>
      <c r="M50" s="15" t="s">
        <v>219</v>
      </c>
      <c r="N50" s="15" t="s">
        <v>219</v>
      </c>
      <c r="O50" s="15" t="s">
        <v>219</v>
      </c>
      <c r="P50" s="15" t="s">
        <v>219</v>
      </c>
      <c r="Q50" s="15" t="s">
        <v>219</v>
      </c>
      <c r="R50" s="15" t="s">
        <v>219</v>
      </c>
      <c r="S50" s="15" t="s">
        <v>219</v>
      </c>
      <c r="T50" s="15" t="s">
        <v>219</v>
      </c>
      <c r="U50" s="15" t="s">
        <v>219</v>
      </c>
      <c r="V50" s="15" t="s">
        <v>219</v>
      </c>
      <c r="W50" s="15">
        <v>1</v>
      </c>
      <c r="X50" s="15" t="str">
        <f>_xlfn.XLOOKUP(tblMeasure[[#This Row],[id_src]],tblSource[id_src],tblSource[org])</f>
        <v>NHS Digital</v>
      </c>
      <c r="Y50" s="15" t="str">
        <f>_xlfn.XLOOKUP(tblMeasure[[#This Row],[id_src]],tblSource[id_src],tblSource[source])</f>
        <v>Adult Social Care Activity and Finance Report</v>
      </c>
      <c r="Z50" s="15" t="str">
        <f>_xlfn.XLOOKUP(tblMeasure[[#This Row],[id_src]],tblSource[id_src],tblSource[url_source])</f>
        <v>https://digital.nhs.uk/data-and-information/publications/statistical/adult-social-care-activity-and-finance-report/2018-19</v>
      </c>
      <c r="AA50" s="15">
        <f>_xlfn.XLOOKUP(tblMeasure[[#This Row],[id_src]],tblSource[id_src],tblSource[year_first_published])</f>
        <v>2016</v>
      </c>
      <c r="AB50" s="15">
        <f>_xlfn.XLOOKUP(tblMeasure[[#This Row],[id_src]],tblSource[id_src],tblSource[year_last_published])</f>
        <v>2019</v>
      </c>
      <c r="AC50" s="15" t="str">
        <f>_xlfn.XLOOKUP(tblMeasure[[#This Row],[id_src]],tblSource[id_src],tblSource[discontinuity])</f>
        <v>None</v>
      </c>
      <c r="AD50" s="15" t="str">
        <f>_xlfn.XLOOKUP(tblMeasure[[#This Row],[id_src]],tblSource[id_src],tblSource[publication_frequency])</f>
        <v>Annual</v>
      </c>
      <c r="AE50" s="15">
        <f>_xlfn.XLOOKUP(tblMeasure[[#This Row],[id_src]],tblSource[id_src],tblSource[publication_lag_months])</f>
        <v>7</v>
      </c>
      <c r="AF50" s="25" t="str">
        <f>_xlfn.XLOOKUP(tblMeasure[[#This Row],[id_src]],tblSource[id_src],tblSource[data_providers])</f>
        <v>LA</v>
      </c>
      <c r="AG50" s="25" t="str">
        <f>_xlfn.XLOOKUP(tblMeasure[[#This Row],[id_src]],tblSource[id_src],tblSource[statistic_class])</f>
        <v>National (ASC-FR) + Official (SALT)</v>
      </c>
      <c r="AH50" s="25" t="str">
        <f>_xlfn.XLOOKUP(tblMeasure[[#This Row],[id_src]],tblSource[id_src],tblSource[methodology_link])</f>
        <v>https://digital.nhs.uk/data-and-information/publications/statistical/adult-social-care-activity-and-finance-report/2018-19/data-quality-statement</v>
      </c>
      <c r="AI50" s="25" t="str">
        <f>_xlfn.XLOOKUP(tblMeasure[[#This Row],[id_src]],tblSource[id_src],tblSource[quality_issues])</f>
        <v>https://digital.nhs.uk/data-and-information/publications/statistical/adult-social-care-activity-and-finance-report/2018-19/data-quality-statement#accuracy-and-reliability</v>
      </c>
      <c r="AJ50" s="25">
        <f>VLOOKUP(tblMeasure[[#This Row],[msr_population_or_survey]],strlu_msr_population_or_survey,2,FALSE)</f>
        <v>1</v>
      </c>
      <c r="AK50" s="25">
        <f>VLOOKUP(tblMeasure[[#This Row],[msr_min_geo_resolution]],strlu_msr_min_geo_resolution,2,FALSE)</f>
        <v>1</v>
      </c>
      <c r="AL50" s="25">
        <f>(MAX(tblMeasure[[#This Row],[src_year_last_published]]-2010+1,0)+MIN(2010-tblMeasure[[#This Row],[src_year_first_published]],0)-MAX(tblMeasure[[#This Row],[src_year_last_published]]-2019,0))/10</f>
        <v>0.4</v>
      </c>
      <c r="AM50" s="25">
        <f>IF(OR(tblMeasure[[#This Row],[src_discontinuity]]="None",tblMeasure[[#This Row],[src_discontinuity]]=0),1,0)</f>
        <v>1</v>
      </c>
      <c r="AN50" s="25">
        <f>VLOOKUP(tblMeasure[[#This Row],[src_pub_frequency]],strlu_src_pub_frequency,2,FALSE)</f>
        <v>0.8</v>
      </c>
      <c r="AO50" s="25">
        <f>VLOOKUP(tblMeasure[[#This Row],[src_pub_lag_months]],strlu_src_pub_lag_months,2,FALSE)</f>
        <v>0.3</v>
      </c>
      <c r="AP50" s="25">
        <f>VLOOKUP(tblMeasure[[#This Row],[src_statistic_class]],strlu_src_statistic_class,2,FALSE)</f>
        <v>1</v>
      </c>
      <c r="AQ50" s="25">
        <f>IF(tblMeasure[[#This Row],[src_methodology_url]]="TBD",0,1)</f>
        <v>1</v>
      </c>
      <c r="AR50" s="25">
        <f>IF(tblMeasure[[#This Row],[src_quality_url]]="TBD",0,1)</f>
        <v>1</v>
      </c>
      <c r="AS50" s="85" cm="1">
        <f t="array" ref="AS50">SUMPRODUCT(TRANSPOSE(tblMeasure[[#This Row],[str_msr_population_or_survey]:[str_src_quality_url]]),str_weights)/str_weights_total</f>
        <v>0.82307692307692304</v>
      </c>
    </row>
    <row r="51" spans="1:45" hidden="1" x14ac:dyDescent="0.15">
      <c r="A51" s="30">
        <v>49</v>
      </c>
      <c r="B51" s="15">
        <f>COUNTIF(requirement_measure_map!$D$3:$D$1514,measure!A51)</f>
        <v>3</v>
      </c>
      <c r="C51" s="30" t="s">
        <v>315</v>
      </c>
      <c r="D51" s="15" t="s">
        <v>372</v>
      </c>
      <c r="E51" s="15" t="s">
        <v>373</v>
      </c>
      <c r="F51" s="15" t="s">
        <v>374</v>
      </c>
      <c r="G51" s="29" t="s">
        <v>212</v>
      </c>
      <c r="H51" s="15" t="s">
        <v>375</v>
      </c>
      <c r="I51" s="15" t="s">
        <v>214</v>
      </c>
      <c r="J51" s="15" t="s">
        <v>215</v>
      </c>
      <c r="K51" s="15" t="s">
        <v>376</v>
      </c>
      <c r="L51" s="15" t="s">
        <v>217</v>
      </c>
      <c r="M51" s="15" t="s">
        <v>219</v>
      </c>
      <c r="N51" s="15" t="s">
        <v>219</v>
      </c>
      <c r="O51" s="15" t="s">
        <v>219</v>
      </c>
      <c r="P51" s="15" t="s">
        <v>219</v>
      </c>
      <c r="Q51" s="15" t="s">
        <v>219</v>
      </c>
      <c r="R51" s="15" t="s">
        <v>218</v>
      </c>
      <c r="S51" s="15" t="s">
        <v>219</v>
      </c>
      <c r="T51" s="15" t="s">
        <v>219</v>
      </c>
      <c r="U51" s="15" t="s">
        <v>219</v>
      </c>
      <c r="V51" s="15" t="s">
        <v>219</v>
      </c>
      <c r="W51" s="15">
        <v>1</v>
      </c>
      <c r="X51" s="15" t="str">
        <f>_xlfn.XLOOKUP(tblMeasure[[#This Row],[id_src]],tblSource[id_src],tblSource[org])</f>
        <v>NHS Digital</v>
      </c>
      <c r="Y51" s="15" t="str">
        <f>_xlfn.XLOOKUP(tblMeasure[[#This Row],[id_src]],tblSource[id_src],tblSource[source])</f>
        <v>Adult Social Care Activity and Finance Report</v>
      </c>
      <c r="Z51" s="15" t="str">
        <f>_xlfn.XLOOKUP(tblMeasure[[#This Row],[id_src]],tblSource[id_src],tblSource[url_source])</f>
        <v>https://digital.nhs.uk/data-and-information/publications/statistical/adult-social-care-activity-and-finance-report/2018-19</v>
      </c>
      <c r="AA51" s="15">
        <f>_xlfn.XLOOKUP(tblMeasure[[#This Row],[id_src]],tblSource[id_src],tblSource[year_first_published])</f>
        <v>2016</v>
      </c>
      <c r="AB51" s="15">
        <f>_xlfn.XLOOKUP(tblMeasure[[#This Row],[id_src]],tblSource[id_src],tblSource[year_last_published])</f>
        <v>2019</v>
      </c>
      <c r="AC51" s="15" t="str">
        <f>_xlfn.XLOOKUP(tblMeasure[[#This Row],[id_src]],tblSource[id_src],tblSource[discontinuity])</f>
        <v>None</v>
      </c>
      <c r="AD51" s="15" t="str">
        <f>_xlfn.XLOOKUP(tblMeasure[[#This Row],[id_src]],tblSource[id_src],tblSource[publication_frequency])</f>
        <v>Annual</v>
      </c>
      <c r="AE51" s="15">
        <f>_xlfn.XLOOKUP(tblMeasure[[#This Row],[id_src]],tblSource[id_src],tblSource[publication_lag_months])</f>
        <v>7</v>
      </c>
      <c r="AF51" s="25" t="str">
        <f>_xlfn.XLOOKUP(tblMeasure[[#This Row],[id_src]],tblSource[id_src],tblSource[data_providers])</f>
        <v>LA</v>
      </c>
      <c r="AG51" s="25" t="str">
        <f>_xlfn.XLOOKUP(tblMeasure[[#This Row],[id_src]],tblSource[id_src],tblSource[statistic_class])</f>
        <v>National (ASC-FR) + Official (SALT)</v>
      </c>
      <c r="AH51" s="25" t="str">
        <f>_xlfn.XLOOKUP(tblMeasure[[#This Row],[id_src]],tblSource[id_src],tblSource[methodology_link])</f>
        <v>https://digital.nhs.uk/data-and-information/publications/statistical/adult-social-care-activity-and-finance-report/2018-19/data-quality-statement</v>
      </c>
      <c r="AI51" s="25" t="str">
        <f>_xlfn.XLOOKUP(tblMeasure[[#This Row],[id_src]],tblSource[id_src],tblSource[quality_issues])</f>
        <v>https://digital.nhs.uk/data-and-information/publications/statistical/adult-social-care-activity-and-finance-report/2018-19/data-quality-statement#accuracy-and-reliability</v>
      </c>
      <c r="AJ51" s="25">
        <f>VLOOKUP(tblMeasure[[#This Row],[msr_population_or_survey]],strlu_msr_population_or_survey,2,FALSE)</f>
        <v>1</v>
      </c>
      <c r="AK51" s="25">
        <f>VLOOKUP(tblMeasure[[#This Row],[msr_min_geo_resolution]],strlu_msr_min_geo_resolution,2,FALSE)</f>
        <v>1</v>
      </c>
      <c r="AL51" s="25">
        <f>(MAX(tblMeasure[[#This Row],[src_year_last_published]]-2010+1,0)+MIN(2010-tblMeasure[[#This Row],[src_year_first_published]],0)-MAX(tblMeasure[[#This Row],[src_year_last_published]]-2019,0))/10</f>
        <v>0.4</v>
      </c>
      <c r="AM51" s="25">
        <f>IF(OR(tblMeasure[[#This Row],[src_discontinuity]]="None",tblMeasure[[#This Row],[src_discontinuity]]=0),1,0)</f>
        <v>1</v>
      </c>
      <c r="AN51" s="25">
        <f>VLOOKUP(tblMeasure[[#This Row],[src_pub_frequency]],strlu_src_pub_frequency,2,FALSE)</f>
        <v>0.8</v>
      </c>
      <c r="AO51" s="25">
        <f>VLOOKUP(tblMeasure[[#This Row],[src_pub_lag_months]],strlu_src_pub_lag_months,2,FALSE)</f>
        <v>0.3</v>
      </c>
      <c r="AP51" s="25">
        <f>VLOOKUP(tblMeasure[[#This Row],[src_statistic_class]],strlu_src_statistic_class,2,FALSE)</f>
        <v>1</v>
      </c>
      <c r="AQ51" s="25">
        <f>IF(tblMeasure[[#This Row],[src_methodology_url]]="TBD",0,1)</f>
        <v>1</v>
      </c>
      <c r="AR51" s="25">
        <f>IF(tblMeasure[[#This Row],[src_quality_url]]="TBD",0,1)</f>
        <v>1</v>
      </c>
      <c r="AS51" s="85" cm="1">
        <f t="array" ref="AS51">SUMPRODUCT(TRANSPOSE(tblMeasure[[#This Row],[str_msr_population_or_survey]:[str_src_quality_url]]),str_weights)/str_weights_total</f>
        <v>0.82307692307692304</v>
      </c>
    </row>
    <row r="52" spans="1:45" hidden="1" x14ac:dyDescent="0.15">
      <c r="A52" s="30">
        <v>50</v>
      </c>
      <c r="B52" s="15">
        <f>COUNTIF(requirement_measure_map!$D$3:$D$1514,measure!A52)</f>
        <v>4</v>
      </c>
      <c r="C52" s="30" t="s">
        <v>315</v>
      </c>
      <c r="D52" s="15" t="s">
        <v>372</v>
      </c>
      <c r="E52" s="15" t="s">
        <v>377</v>
      </c>
      <c r="F52" s="15" t="s">
        <v>378</v>
      </c>
      <c r="G52" s="29" t="s">
        <v>212</v>
      </c>
      <c r="H52" s="15" t="s">
        <v>379</v>
      </c>
      <c r="I52" s="15" t="s">
        <v>214</v>
      </c>
      <c r="J52" s="15" t="s">
        <v>215</v>
      </c>
      <c r="K52" s="15" t="s">
        <v>380</v>
      </c>
      <c r="L52" s="15" t="s">
        <v>217</v>
      </c>
      <c r="M52" s="15" t="s">
        <v>218</v>
      </c>
      <c r="N52" s="15" t="s">
        <v>219</v>
      </c>
      <c r="O52" s="15" t="s">
        <v>219</v>
      </c>
      <c r="P52" s="15" t="s">
        <v>219</v>
      </c>
      <c r="Q52" s="15" t="s">
        <v>219</v>
      </c>
      <c r="R52" s="15" t="s">
        <v>219</v>
      </c>
      <c r="S52" s="15" t="s">
        <v>219</v>
      </c>
      <c r="T52" s="15" t="s">
        <v>220</v>
      </c>
      <c r="U52" s="15" t="s">
        <v>218</v>
      </c>
      <c r="V52" s="15" t="s">
        <v>219</v>
      </c>
      <c r="W52" s="15">
        <v>1</v>
      </c>
      <c r="X52" s="15" t="str">
        <f>_xlfn.XLOOKUP(tblMeasure[[#This Row],[id_src]],tblSource[id_src],tblSource[org])</f>
        <v>NHS Digital</v>
      </c>
      <c r="Y52" s="15" t="str">
        <f>_xlfn.XLOOKUP(tblMeasure[[#This Row],[id_src]],tblSource[id_src],tblSource[source])</f>
        <v>Adult Social Care Activity and Finance Report</v>
      </c>
      <c r="Z52" s="15" t="str">
        <f>_xlfn.XLOOKUP(tblMeasure[[#This Row],[id_src]],tblSource[id_src],tblSource[url_source])</f>
        <v>https://digital.nhs.uk/data-and-information/publications/statistical/adult-social-care-activity-and-finance-report/2018-19</v>
      </c>
      <c r="AA52" s="15">
        <f>_xlfn.XLOOKUP(tblMeasure[[#This Row],[id_src]],tblSource[id_src],tblSource[year_first_published])</f>
        <v>2016</v>
      </c>
      <c r="AB52" s="15">
        <f>_xlfn.XLOOKUP(tblMeasure[[#This Row],[id_src]],tblSource[id_src],tblSource[year_last_published])</f>
        <v>2019</v>
      </c>
      <c r="AC52" s="15" t="str">
        <f>_xlfn.XLOOKUP(tblMeasure[[#This Row],[id_src]],tblSource[id_src],tblSource[discontinuity])</f>
        <v>None</v>
      </c>
      <c r="AD52" s="15" t="str">
        <f>_xlfn.XLOOKUP(tblMeasure[[#This Row],[id_src]],tblSource[id_src],tblSource[publication_frequency])</f>
        <v>Annual</v>
      </c>
      <c r="AE52" s="15">
        <f>_xlfn.XLOOKUP(tblMeasure[[#This Row],[id_src]],tblSource[id_src],tblSource[publication_lag_months])</f>
        <v>7</v>
      </c>
      <c r="AF52" s="25" t="str">
        <f>_xlfn.XLOOKUP(tblMeasure[[#This Row],[id_src]],tblSource[id_src],tblSource[data_providers])</f>
        <v>LA</v>
      </c>
      <c r="AG52" s="25" t="str">
        <f>_xlfn.XLOOKUP(tblMeasure[[#This Row],[id_src]],tblSource[id_src],tblSource[statistic_class])</f>
        <v>National (ASC-FR) + Official (SALT)</v>
      </c>
      <c r="AH52" s="25" t="str">
        <f>_xlfn.XLOOKUP(tblMeasure[[#This Row],[id_src]],tblSource[id_src],tblSource[methodology_link])</f>
        <v>https://digital.nhs.uk/data-and-information/publications/statistical/adult-social-care-activity-and-finance-report/2018-19/data-quality-statement</v>
      </c>
      <c r="AI52" s="25" t="str">
        <f>_xlfn.XLOOKUP(tblMeasure[[#This Row],[id_src]],tblSource[id_src],tblSource[quality_issues])</f>
        <v>https://digital.nhs.uk/data-and-information/publications/statistical/adult-social-care-activity-and-finance-report/2018-19/data-quality-statement#accuracy-and-reliability</v>
      </c>
      <c r="AJ52" s="25">
        <f>VLOOKUP(tblMeasure[[#This Row],[msr_population_or_survey]],strlu_msr_population_or_survey,2,FALSE)</f>
        <v>1</v>
      </c>
      <c r="AK52" s="25">
        <f>VLOOKUP(tblMeasure[[#This Row],[msr_min_geo_resolution]],strlu_msr_min_geo_resolution,2,FALSE)</f>
        <v>1</v>
      </c>
      <c r="AL52" s="25">
        <f>(MAX(tblMeasure[[#This Row],[src_year_last_published]]-2010+1,0)+MIN(2010-tblMeasure[[#This Row],[src_year_first_published]],0)-MAX(tblMeasure[[#This Row],[src_year_last_published]]-2019,0))/10</f>
        <v>0.4</v>
      </c>
      <c r="AM52" s="25">
        <f>IF(OR(tblMeasure[[#This Row],[src_discontinuity]]="None",tblMeasure[[#This Row],[src_discontinuity]]=0),1,0)</f>
        <v>1</v>
      </c>
      <c r="AN52" s="25">
        <f>VLOOKUP(tblMeasure[[#This Row],[src_pub_frequency]],strlu_src_pub_frequency,2,FALSE)</f>
        <v>0.8</v>
      </c>
      <c r="AO52" s="25">
        <f>VLOOKUP(tblMeasure[[#This Row],[src_pub_lag_months]],strlu_src_pub_lag_months,2,FALSE)</f>
        <v>0.3</v>
      </c>
      <c r="AP52" s="25">
        <f>VLOOKUP(tblMeasure[[#This Row],[src_statistic_class]],strlu_src_statistic_class,2,FALSE)</f>
        <v>1</v>
      </c>
      <c r="AQ52" s="25">
        <f>IF(tblMeasure[[#This Row],[src_methodology_url]]="TBD",0,1)</f>
        <v>1</v>
      </c>
      <c r="AR52" s="25">
        <f>IF(tblMeasure[[#This Row],[src_quality_url]]="TBD",0,1)</f>
        <v>1</v>
      </c>
      <c r="AS52" s="85" cm="1">
        <f t="array" ref="AS52">SUMPRODUCT(TRANSPOSE(tblMeasure[[#This Row],[str_msr_population_or_survey]:[str_src_quality_url]]),str_weights)/str_weights_total</f>
        <v>0.82307692307692304</v>
      </c>
    </row>
    <row r="53" spans="1:45" x14ac:dyDescent="0.15">
      <c r="A53" s="30">
        <v>51</v>
      </c>
      <c r="B53" s="15">
        <f>COUNTIF(requirement_measure_map!$D$3:$D$1514,measure!A53)</f>
        <v>6</v>
      </c>
      <c r="C53" s="30" t="s">
        <v>315</v>
      </c>
      <c r="D53" s="15" t="s">
        <v>372</v>
      </c>
      <c r="E53" s="15" t="s">
        <v>381</v>
      </c>
      <c r="F53" s="15" t="s">
        <v>382</v>
      </c>
      <c r="G53" s="29" t="s">
        <v>212</v>
      </c>
      <c r="H53" s="15" t="s">
        <v>379</v>
      </c>
      <c r="I53" s="15" t="s">
        <v>214</v>
      </c>
      <c r="J53" s="15" t="s">
        <v>215</v>
      </c>
      <c r="K53" s="15" t="s">
        <v>380</v>
      </c>
      <c r="L53" s="15" t="s">
        <v>217</v>
      </c>
      <c r="M53" s="15" t="s">
        <v>220</v>
      </c>
      <c r="N53" s="15" t="s">
        <v>219</v>
      </c>
      <c r="O53" s="15" t="s">
        <v>219</v>
      </c>
      <c r="P53" s="15" t="s">
        <v>243</v>
      </c>
      <c r="Q53" s="15" t="s">
        <v>219</v>
      </c>
      <c r="R53" s="15" t="s">
        <v>219</v>
      </c>
      <c r="S53" s="15" t="s">
        <v>219</v>
      </c>
      <c r="T53" s="15" t="s">
        <v>220</v>
      </c>
      <c r="U53" s="15" t="s">
        <v>218</v>
      </c>
      <c r="V53" s="15" t="s">
        <v>219</v>
      </c>
      <c r="W53" s="15">
        <v>1</v>
      </c>
      <c r="X53" s="15" t="str">
        <f>_xlfn.XLOOKUP(tblMeasure[[#This Row],[id_src]],tblSource[id_src],tblSource[org])</f>
        <v>NHS Digital</v>
      </c>
      <c r="Y53" s="15" t="str">
        <f>_xlfn.XLOOKUP(tblMeasure[[#This Row],[id_src]],tblSource[id_src],tblSource[source])</f>
        <v>Adult Social Care Activity and Finance Report</v>
      </c>
      <c r="Z53" s="15" t="str">
        <f>_xlfn.XLOOKUP(tblMeasure[[#This Row],[id_src]],tblSource[id_src],tblSource[url_source])</f>
        <v>https://digital.nhs.uk/data-and-information/publications/statistical/adult-social-care-activity-and-finance-report/2018-19</v>
      </c>
      <c r="AA53" s="15">
        <f>_xlfn.XLOOKUP(tblMeasure[[#This Row],[id_src]],tblSource[id_src],tblSource[year_first_published])</f>
        <v>2016</v>
      </c>
      <c r="AB53" s="15">
        <f>_xlfn.XLOOKUP(tblMeasure[[#This Row],[id_src]],tblSource[id_src],tblSource[year_last_published])</f>
        <v>2019</v>
      </c>
      <c r="AC53" s="15" t="str">
        <f>_xlfn.XLOOKUP(tblMeasure[[#This Row],[id_src]],tblSource[id_src],tblSource[discontinuity])</f>
        <v>None</v>
      </c>
      <c r="AD53" s="15" t="str">
        <f>_xlfn.XLOOKUP(tblMeasure[[#This Row],[id_src]],tblSource[id_src],tblSource[publication_frequency])</f>
        <v>Annual</v>
      </c>
      <c r="AE53" s="15">
        <f>_xlfn.XLOOKUP(tblMeasure[[#This Row],[id_src]],tblSource[id_src],tblSource[publication_lag_months])</f>
        <v>7</v>
      </c>
      <c r="AF53" s="25" t="str">
        <f>_xlfn.XLOOKUP(tblMeasure[[#This Row],[id_src]],tblSource[id_src],tblSource[data_providers])</f>
        <v>LA</v>
      </c>
      <c r="AG53" s="25" t="str">
        <f>_xlfn.XLOOKUP(tblMeasure[[#This Row],[id_src]],tblSource[id_src],tblSource[statistic_class])</f>
        <v>National (ASC-FR) + Official (SALT)</v>
      </c>
      <c r="AH53" s="25" t="str">
        <f>_xlfn.XLOOKUP(tblMeasure[[#This Row],[id_src]],tblSource[id_src],tblSource[methodology_link])</f>
        <v>https://digital.nhs.uk/data-and-information/publications/statistical/adult-social-care-activity-and-finance-report/2018-19/data-quality-statement</v>
      </c>
      <c r="AI53" s="25" t="str">
        <f>_xlfn.XLOOKUP(tblMeasure[[#This Row],[id_src]],tblSource[id_src],tblSource[quality_issues])</f>
        <v>https://digital.nhs.uk/data-and-information/publications/statistical/adult-social-care-activity-and-finance-report/2018-19/data-quality-statement#accuracy-and-reliability</v>
      </c>
      <c r="AJ53" s="25">
        <f>VLOOKUP(tblMeasure[[#This Row],[msr_population_or_survey]],strlu_msr_population_or_survey,2,FALSE)</f>
        <v>1</v>
      </c>
      <c r="AK53" s="25">
        <f>VLOOKUP(tblMeasure[[#This Row],[msr_min_geo_resolution]],strlu_msr_min_geo_resolution,2,FALSE)</f>
        <v>1</v>
      </c>
      <c r="AL53" s="25">
        <f>(MAX(tblMeasure[[#This Row],[src_year_last_published]]-2010+1,0)+MIN(2010-tblMeasure[[#This Row],[src_year_first_published]],0)-MAX(tblMeasure[[#This Row],[src_year_last_published]]-2019,0))/10</f>
        <v>0.4</v>
      </c>
      <c r="AM53" s="25">
        <f>IF(OR(tblMeasure[[#This Row],[src_discontinuity]]="None",tblMeasure[[#This Row],[src_discontinuity]]=0),1,0)</f>
        <v>1</v>
      </c>
      <c r="AN53" s="25">
        <f>VLOOKUP(tblMeasure[[#This Row],[src_pub_frequency]],strlu_src_pub_frequency,2,FALSE)</f>
        <v>0.8</v>
      </c>
      <c r="AO53" s="25">
        <f>VLOOKUP(tblMeasure[[#This Row],[src_pub_lag_months]],strlu_src_pub_lag_months,2,FALSE)</f>
        <v>0.3</v>
      </c>
      <c r="AP53" s="25">
        <f>VLOOKUP(tblMeasure[[#This Row],[src_statistic_class]],strlu_src_statistic_class,2,FALSE)</f>
        <v>1</v>
      </c>
      <c r="AQ53" s="25">
        <f>IF(tblMeasure[[#This Row],[src_methodology_url]]="TBD",0,1)</f>
        <v>1</v>
      </c>
      <c r="AR53" s="25">
        <f>IF(tblMeasure[[#This Row],[src_quality_url]]="TBD",0,1)</f>
        <v>1</v>
      </c>
      <c r="AS53" s="85" cm="1">
        <f t="array" ref="AS53">SUMPRODUCT(TRANSPOSE(tblMeasure[[#This Row],[str_msr_population_or_survey]:[str_src_quality_url]]),str_weights)/str_weights_total</f>
        <v>0.82307692307692304</v>
      </c>
    </row>
    <row r="54" spans="1:45" x14ac:dyDescent="0.15">
      <c r="A54" s="30">
        <v>52</v>
      </c>
      <c r="B54" s="15">
        <f>COUNTIF(requirement_measure_map!$D$3:$D$1514,measure!A54)</f>
        <v>6</v>
      </c>
      <c r="C54" s="30" t="s">
        <v>315</v>
      </c>
      <c r="D54" s="15" t="s">
        <v>372</v>
      </c>
      <c r="E54" s="15" t="s">
        <v>383</v>
      </c>
      <c r="F54" s="15" t="s">
        <v>384</v>
      </c>
      <c r="G54" s="29" t="s">
        <v>212</v>
      </c>
      <c r="H54" s="15" t="s">
        <v>379</v>
      </c>
      <c r="I54" s="15" t="s">
        <v>214</v>
      </c>
      <c r="J54" s="15" t="s">
        <v>215</v>
      </c>
      <c r="K54" s="15" t="s">
        <v>380</v>
      </c>
      <c r="L54" s="15" t="s">
        <v>217</v>
      </c>
      <c r="M54" s="15" t="s">
        <v>220</v>
      </c>
      <c r="N54" s="15" t="s">
        <v>219</v>
      </c>
      <c r="O54" s="15" t="s">
        <v>219</v>
      </c>
      <c r="P54" s="15" t="s">
        <v>243</v>
      </c>
      <c r="Q54" s="15" t="s">
        <v>219</v>
      </c>
      <c r="R54" s="15" t="s">
        <v>219</v>
      </c>
      <c r="S54" s="15" t="s">
        <v>219</v>
      </c>
      <c r="T54" s="15" t="s">
        <v>220</v>
      </c>
      <c r="U54" s="15" t="s">
        <v>218</v>
      </c>
      <c r="V54" s="15" t="s">
        <v>219</v>
      </c>
      <c r="W54" s="15">
        <v>1</v>
      </c>
      <c r="X54" s="15" t="str">
        <f>_xlfn.XLOOKUP(tblMeasure[[#This Row],[id_src]],tblSource[id_src],tblSource[org])</f>
        <v>NHS Digital</v>
      </c>
      <c r="Y54" s="15" t="str">
        <f>_xlfn.XLOOKUP(tblMeasure[[#This Row],[id_src]],tblSource[id_src],tblSource[source])</f>
        <v>Adult Social Care Activity and Finance Report</v>
      </c>
      <c r="Z54" s="15" t="str">
        <f>_xlfn.XLOOKUP(tblMeasure[[#This Row],[id_src]],tblSource[id_src],tblSource[url_source])</f>
        <v>https://digital.nhs.uk/data-and-information/publications/statistical/adult-social-care-activity-and-finance-report/2018-19</v>
      </c>
      <c r="AA54" s="15">
        <f>_xlfn.XLOOKUP(tblMeasure[[#This Row],[id_src]],tblSource[id_src],tblSource[year_first_published])</f>
        <v>2016</v>
      </c>
      <c r="AB54" s="15">
        <f>_xlfn.XLOOKUP(tblMeasure[[#This Row],[id_src]],tblSource[id_src],tblSource[year_last_published])</f>
        <v>2019</v>
      </c>
      <c r="AC54" s="15" t="str">
        <f>_xlfn.XLOOKUP(tblMeasure[[#This Row],[id_src]],tblSource[id_src],tblSource[discontinuity])</f>
        <v>None</v>
      </c>
      <c r="AD54" s="15" t="str">
        <f>_xlfn.XLOOKUP(tblMeasure[[#This Row],[id_src]],tblSource[id_src],tblSource[publication_frequency])</f>
        <v>Annual</v>
      </c>
      <c r="AE54" s="15">
        <f>_xlfn.XLOOKUP(tblMeasure[[#This Row],[id_src]],tblSource[id_src],tblSource[publication_lag_months])</f>
        <v>7</v>
      </c>
      <c r="AF54" s="25" t="str">
        <f>_xlfn.XLOOKUP(tblMeasure[[#This Row],[id_src]],tblSource[id_src],tblSource[data_providers])</f>
        <v>LA</v>
      </c>
      <c r="AG54" s="25" t="str">
        <f>_xlfn.XLOOKUP(tblMeasure[[#This Row],[id_src]],tblSource[id_src],tblSource[statistic_class])</f>
        <v>National (ASC-FR) + Official (SALT)</v>
      </c>
      <c r="AH54" s="25" t="str">
        <f>_xlfn.XLOOKUP(tblMeasure[[#This Row],[id_src]],tblSource[id_src],tblSource[methodology_link])</f>
        <v>https://digital.nhs.uk/data-and-information/publications/statistical/adult-social-care-activity-and-finance-report/2018-19/data-quality-statement</v>
      </c>
      <c r="AI54" s="25" t="str">
        <f>_xlfn.XLOOKUP(tblMeasure[[#This Row],[id_src]],tblSource[id_src],tblSource[quality_issues])</f>
        <v>https://digital.nhs.uk/data-and-information/publications/statistical/adult-social-care-activity-and-finance-report/2018-19/data-quality-statement#accuracy-and-reliability</v>
      </c>
      <c r="AJ54" s="25">
        <f>VLOOKUP(tblMeasure[[#This Row],[msr_population_or_survey]],strlu_msr_population_or_survey,2,FALSE)</f>
        <v>1</v>
      </c>
      <c r="AK54" s="25">
        <f>VLOOKUP(tblMeasure[[#This Row],[msr_min_geo_resolution]],strlu_msr_min_geo_resolution,2,FALSE)</f>
        <v>1</v>
      </c>
      <c r="AL54" s="25">
        <f>(MAX(tblMeasure[[#This Row],[src_year_last_published]]-2010+1,0)+MIN(2010-tblMeasure[[#This Row],[src_year_first_published]],0)-MAX(tblMeasure[[#This Row],[src_year_last_published]]-2019,0))/10</f>
        <v>0.4</v>
      </c>
      <c r="AM54" s="25">
        <f>IF(OR(tblMeasure[[#This Row],[src_discontinuity]]="None",tblMeasure[[#This Row],[src_discontinuity]]=0),1,0)</f>
        <v>1</v>
      </c>
      <c r="AN54" s="25">
        <f>VLOOKUP(tblMeasure[[#This Row],[src_pub_frequency]],strlu_src_pub_frequency,2,FALSE)</f>
        <v>0.8</v>
      </c>
      <c r="AO54" s="25">
        <f>VLOOKUP(tblMeasure[[#This Row],[src_pub_lag_months]],strlu_src_pub_lag_months,2,FALSE)</f>
        <v>0.3</v>
      </c>
      <c r="AP54" s="25">
        <f>VLOOKUP(tblMeasure[[#This Row],[src_statistic_class]],strlu_src_statistic_class,2,FALSE)</f>
        <v>1</v>
      </c>
      <c r="AQ54" s="25">
        <f>IF(tblMeasure[[#This Row],[src_methodology_url]]="TBD",0,1)</f>
        <v>1</v>
      </c>
      <c r="AR54" s="25">
        <f>IF(tblMeasure[[#This Row],[src_quality_url]]="TBD",0,1)</f>
        <v>1</v>
      </c>
      <c r="AS54" s="85" cm="1">
        <f t="array" ref="AS54">SUMPRODUCT(TRANSPOSE(tblMeasure[[#This Row],[str_msr_population_or_survey]:[str_src_quality_url]]),str_weights)/str_weights_total</f>
        <v>0.82307692307692304</v>
      </c>
    </row>
    <row r="55" spans="1:45" hidden="1" x14ac:dyDescent="0.15">
      <c r="A55" s="30">
        <v>53</v>
      </c>
      <c r="B55" s="15">
        <f>COUNTIF(requirement_measure_map!$D$3:$D$1514,measure!A55)</f>
        <v>5</v>
      </c>
      <c r="C55" s="30" t="s">
        <v>315</v>
      </c>
      <c r="D55" s="15" t="s">
        <v>372</v>
      </c>
      <c r="E55" s="15" t="s">
        <v>385</v>
      </c>
      <c r="F55" s="15" t="s">
        <v>386</v>
      </c>
      <c r="G55" s="29" t="s">
        <v>212</v>
      </c>
      <c r="H55" s="15" t="s">
        <v>379</v>
      </c>
      <c r="I55" s="15" t="s">
        <v>214</v>
      </c>
      <c r="J55" s="15" t="s">
        <v>215</v>
      </c>
      <c r="K55" s="15" t="s">
        <v>380</v>
      </c>
      <c r="L55" s="15" t="s">
        <v>217</v>
      </c>
      <c r="M55" s="15" t="s">
        <v>218</v>
      </c>
      <c r="N55" s="15" t="s">
        <v>219</v>
      </c>
      <c r="O55" s="15" t="s">
        <v>219</v>
      </c>
      <c r="P55" s="15" t="s">
        <v>219</v>
      </c>
      <c r="Q55" s="15" t="s">
        <v>219</v>
      </c>
      <c r="R55" s="15" t="s">
        <v>218</v>
      </c>
      <c r="S55" s="15" t="s">
        <v>219</v>
      </c>
      <c r="T55" s="15" t="s">
        <v>220</v>
      </c>
      <c r="U55" s="15" t="s">
        <v>220</v>
      </c>
      <c r="V55" s="15" t="s">
        <v>219</v>
      </c>
      <c r="W55" s="15">
        <v>1</v>
      </c>
      <c r="X55" s="15" t="str">
        <f>_xlfn.XLOOKUP(tblMeasure[[#This Row],[id_src]],tblSource[id_src],tblSource[org])</f>
        <v>NHS Digital</v>
      </c>
      <c r="Y55" s="15" t="str">
        <f>_xlfn.XLOOKUP(tblMeasure[[#This Row],[id_src]],tblSource[id_src],tblSource[source])</f>
        <v>Adult Social Care Activity and Finance Report</v>
      </c>
      <c r="Z55" s="15" t="str">
        <f>_xlfn.XLOOKUP(tblMeasure[[#This Row],[id_src]],tblSource[id_src],tblSource[url_source])</f>
        <v>https://digital.nhs.uk/data-and-information/publications/statistical/adult-social-care-activity-and-finance-report/2018-19</v>
      </c>
      <c r="AA55" s="15">
        <f>_xlfn.XLOOKUP(tblMeasure[[#This Row],[id_src]],tblSource[id_src],tblSource[year_first_published])</f>
        <v>2016</v>
      </c>
      <c r="AB55" s="15">
        <f>_xlfn.XLOOKUP(tblMeasure[[#This Row],[id_src]],tblSource[id_src],tblSource[year_last_published])</f>
        <v>2019</v>
      </c>
      <c r="AC55" s="15" t="str">
        <f>_xlfn.XLOOKUP(tblMeasure[[#This Row],[id_src]],tblSource[id_src],tblSource[discontinuity])</f>
        <v>None</v>
      </c>
      <c r="AD55" s="15" t="str">
        <f>_xlfn.XLOOKUP(tblMeasure[[#This Row],[id_src]],tblSource[id_src],tblSource[publication_frequency])</f>
        <v>Annual</v>
      </c>
      <c r="AE55" s="15">
        <f>_xlfn.XLOOKUP(tblMeasure[[#This Row],[id_src]],tblSource[id_src],tblSource[publication_lag_months])</f>
        <v>7</v>
      </c>
      <c r="AF55" s="25" t="str">
        <f>_xlfn.XLOOKUP(tblMeasure[[#This Row],[id_src]],tblSource[id_src],tblSource[data_providers])</f>
        <v>LA</v>
      </c>
      <c r="AG55" s="25" t="str">
        <f>_xlfn.XLOOKUP(tblMeasure[[#This Row],[id_src]],tblSource[id_src],tblSource[statistic_class])</f>
        <v>National (ASC-FR) + Official (SALT)</v>
      </c>
      <c r="AH55" s="25" t="str">
        <f>_xlfn.XLOOKUP(tblMeasure[[#This Row],[id_src]],tblSource[id_src],tblSource[methodology_link])</f>
        <v>https://digital.nhs.uk/data-and-information/publications/statistical/adult-social-care-activity-and-finance-report/2018-19/data-quality-statement</v>
      </c>
      <c r="AI55" s="25" t="str">
        <f>_xlfn.XLOOKUP(tblMeasure[[#This Row],[id_src]],tblSource[id_src],tblSource[quality_issues])</f>
        <v>https://digital.nhs.uk/data-and-information/publications/statistical/adult-social-care-activity-and-finance-report/2018-19/data-quality-statement#accuracy-and-reliability</v>
      </c>
      <c r="AJ55" s="25">
        <f>VLOOKUP(tblMeasure[[#This Row],[msr_population_or_survey]],strlu_msr_population_or_survey,2,FALSE)</f>
        <v>1</v>
      </c>
      <c r="AK55" s="25">
        <f>VLOOKUP(tblMeasure[[#This Row],[msr_min_geo_resolution]],strlu_msr_min_geo_resolution,2,FALSE)</f>
        <v>1</v>
      </c>
      <c r="AL55" s="25">
        <f>(MAX(tblMeasure[[#This Row],[src_year_last_published]]-2010+1,0)+MIN(2010-tblMeasure[[#This Row],[src_year_first_published]],0)-MAX(tblMeasure[[#This Row],[src_year_last_published]]-2019,0))/10</f>
        <v>0.4</v>
      </c>
      <c r="AM55" s="25">
        <f>IF(OR(tblMeasure[[#This Row],[src_discontinuity]]="None",tblMeasure[[#This Row],[src_discontinuity]]=0),1,0)</f>
        <v>1</v>
      </c>
      <c r="AN55" s="25">
        <f>VLOOKUP(tblMeasure[[#This Row],[src_pub_frequency]],strlu_src_pub_frequency,2,FALSE)</f>
        <v>0.8</v>
      </c>
      <c r="AO55" s="25">
        <f>VLOOKUP(tblMeasure[[#This Row],[src_pub_lag_months]],strlu_src_pub_lag_months,2,FALSE)</f>
        <v>0.3</v>
      </c>
      <c r="AP55" s="25">
        <f>VLOOKUP(tblMeasure[[#This Row],[src_statistic_class]],strlu_src_statistic_class,2,FALSE)</f>
        <v>1</v>
      </c>
      <c r="AQ55" s="25">
        <f>IF(tblMeasure[[#This Row],[src_methodology_url]]="TBD",0,1)</f>
        <v>1</v>
      </c>
      <c r="AR55" s="25">
        <f>IF(tblMeasure[[#This Row],[src_quality_url]]="TBD",0,1)</f>
        <v>1</v>
      </c>
      <c r="AS55" s="85" cm="1">
        <f t="array" ref="AS55">SUMPRODUCT(TRANSPOSE(tblMeasure[[#This Row],[str_msr_population_or_survey]:[str_src_quality_url]]),str_weights)/str_weights_total</f>
        <v>0.82307692307692304</v>
      </c>
    </row>
    <row r="56" spans="1:45" hidden="1" x14ac:dyDescent="0.15">
      <c r="A56" s="30">
        <v>54</v>
      </c>
      <c r="B56" s="15">
        <f>COUNTIF(requirement_measure_map!$D$3:$D$1514,measure!A56)</f>
        <v>0</v>
      </c>
      <c r="C56" s="30" t="s">
        <v>221</v>
      </c>
      <c r="D56" s="15" t="s">
        <v>387</v>
      </c>
      <c r="E56" s="15" t="s">
        <v>388</v>
      </c>
      <c r="F56" s="15" t="s">
        <v>389</v>
      </c>
      <c r="G56" s="29" t="s">
        <v>390</v>
      </c>
      <c r="H56" s="15" t="s">
        <v>228</v>
      </c>
      <c r="I56" s="15" t="s">
        <v>214</v>
      </c>
      <c r="J56" s="15" t="s">
        <v>215</v>
      </c>
      <c r="K56" s="15" t="s">
        <v>232</v>
      </c>
      <c r="L56" s="15" t="s">
        <v>233</v>
      </c>
      <c r="M56" s="15" t="s">
        <v>219</v>
      </c>
      <c r="N56" s="15" t="s">
        <v>219</v>
      </c>
      <c r="O56" s="15" t="s">
        <v>219</v>
      </c>
      <c r="P56" s="15" t="s">
        <v>219</v>
      </c>
      <c r="Q56" s="15" t="s">
        <v>220</v>
      </c>
      <c r="R56" s="15" t="s">
        <v>219</v>
      </c>
      <c r="S56" s="15" t="s">
        <v>219</v>
      </c>
      <c r="T56" s="15" t="s">
        <v>219</v>
      </c>
      <c r="U56" s="15" t="s">
        <v>219</v>
      </c>
      <c r="V56" s="15" t="s">
        <v>219</v>
      </c>
      <c r="W56" s="15">
        <v>1</v>
      </c>
      <c r="X56" s="15" t="str">
        <f>_xlfn.XLOOKUP(tblMeasure[[#This Row],[id_src]],tblSource[id_src],tblSource[org])</f>
        <v>NHS Digital</v>
      </c>
      <c r="Y56" s="15" t="str">
        <f>_xlfn.XLOOKUP(tblMeasure[[#This Row],[id_src]],tblSource[id_src],tblSource[source])</f>
        <v>Adult Social Care Activity and Finance Report</v>
      </c>
      <c r="Z56" s="15" t="str">
        <f>_xlfn.XLOOKUP(tblMeasure[[#This Row],[id_src]],tblSource[id_src],tblSource[url_source])</f>
        <v>https://digital.nhs.uk/data-and-information/publications/statistical/adult-social-care-activity-and-finance-report/2018-19</v>
      </c>
      <c r="AA56" s="15">
        <f>_xlfn.XLOOKUP(tblMeasure[[#This Row],[id_src]],tblSource[id_src],tblSource[year_first_published])</f>
        <v>2016</v>
      </c>
      <c r="AB56" s="15">
        <f>_xlfn.XLOOKUP(tblMeasure[[#This Row],[id_src]],tblSource[id_src],tblSource[year_last_published])</f>
        <v>2019</v>
      </c>
      <c r="AC56" s="15" t="str">
        <f>_xlfn.XLOOKUP(tblMeasure[[#This Row],[id_src]],tblSource[id_src],tblSource[discontinuity])</f>
        <v>None</v>
      </c>
      <c r="AD56" s="15" t="str">
        <f>_xlfn.XLOOKUP(tblMeasure[[#This Row],[id_src]],tblSource[id_src],tblSource[publication_frequency])</f>
        <v>Annual</v>
      </c>
      <c r="AE56" s="15">
        <f>_xlfn.XLOOKUP(tblMeasure[[#This Row],[id_src]],tblSource[id_src],tblSource[publication_lag_months])</f>
        <v>7</v>
      </c>
      <c r="AF56" s="25" t="str">
        <f>_xlfn.XLOOKUP(tblMeasure[[#This Row],[id_src]],tblSource[id_src],tblSource[data_providers])</f>
        <v>LA</v>
      </c>
      <c r="AG56" s="25" t="str">
        <f>_xlfn.XLOOKUP(tblMeasure[[#This Row],[id_src]],tblSource[id_src],tblSource[statistic_class])</f>
        <v>National (ASC-FR) + Official (SALT)</v>
      </c>
      <c r="AH56" s="25" t="str">
        <f>_xlfn.XLOOKUP(tblMeasure[[#This Row],[id_src]],tblSource[id_src],tblSource[methodology_link])</f>
        <v>https://digital.nhs.uk/data-and-information/publications/statistical/adult-social-care-activity-and-finance-report/2018-19/data-quality-statement</v>
      </c>
      <c r="AI56" s="25" t="str">
        <f>_xlfn.XLOOKUP(tblMeasure[[#This Row],[id_src]],tblSource[id_src],tblSource[quality_issues])</f>
        <v>https://digital.nhs.uk/data-and-information/publications/statistical/adult-social-care-activity-and-finance-report/2018-19/data-quality-statement#accuracy-and-reliability</v>
      </c>
      <c r="AJ56" s="25">
        <f>VLOOKUP(tblMeasure[[#This Row],[msr_population_or_survey]],strlu_msr_population_or_survey,2,FALSE)</f>
        <v>1</v>
      </c>
      <c r="AK56" s="25">
        <f>VLOOKUP(tblMeasure[[#This Row],[msr_min_geo_resolution]],strlu_msr_min_geo_resolution,2,FALSE)</f>
        <v>0</v>
      </c>
      <c r="AL56" s="25">
        <f>(MAX(tblMeasure[[#This Row],[src_year_last_published]]-2010+1,0)+MIN(2010-tblMeasure[[#This Row],[src_year_first_published]],0)-MAX(tblMeasure[[#This Row],[src_year_last_published]]-2019,0))/10</f>
        <v>0.4</v>
      </c>
      <c r="AM56" s="25">
        <f>IF(OR(tblMeasure[[#This Row],[src_discontinuity]]="None",tblMeasure[[#This Row],[src_discontinuity]]=0),1,0)</f>
        <v>1</v>
      </c>
      <c r="AN56" s="25">
        <f>VLOOKUP(tblMeasure[[#This Row],[src_pub_frequency]],strlu_src_pub_frequency,2,FALSE)</f>
        <v>0.8</v>
      </c>
      <c r="AO56" s="25">
        <f>VLOOKUP(tblMeasure[[#This Row],[src_pub_lag_months]],strlu_src_pub_lag_months,2,FALSE)</f>
        <v>0.3</v>
      </c>
      <c r="AP56" s="25">
        <f>VLOOKUP(tblMeasure[[#This Row],[src_statistic_class]],strlu_src_statistic_class,2,FALSE)</f>
        <v>1</v>
      </c>
      <c r="AQ56" s="25">
        <f>IF(tblMeasure[[#This Row],[src_methodology_url]]="TBD",0,1)</f>
        <v>1</v>
      </c>
      <c r="AR56" s="25">
        <f>IF(tblMeasure[[#This Row],[src_quality_url]]="TBD",0,1)</f>
        <v>1</v>
      </c>
      <c r="AS56" s="85" cm="1">
        <f t="array" ref="AS56">SUMPRODUCT(TRANSPOSE(tblMeasure[[#This Row],[str_msr_population_or_survey]:[str_src_quality_url]]),str_weights)/str_weights_total</f>
        <v>0.66923076923076918</v>
      </c>
    </row>
    <row r="57" spans="1:45" hidden="1" x14ac:dyDescent="0.15">
      <c r="A57" s="30">
        <v>55</v>
      </c>
      <c r="B57" s="15">
        <f>COUNTIF(requirement_measure_map!$D$3:$D$1514,measure!A57)</f>
        <v>4</v>
      </c>
      <c r="C57" s="30" t="s">
        <v>315</v>
      </c>
      <c r="D57" s="15" t="s">
        <v>391</v>
      </c>
      <c r="E57" s="15" t="s">
        <v>392</v>
      </c>
      <c r="F57" s="15" t="s">
        <v>393</v>
      </c>
      <c r="G57" s="29" t="s">
        <v>390</v>
      </c>
      <c r="H57" s="15" t="s">
        <v>228</v>
      </c>
      <c r="I57" s="15" t="s">
        <v>214</v>
      </c>
      <c r="J57" s="15" t="s">
        <v>215</v>
      </c>
      <c r="K57" s="15" t="s">
        <v>232</v>
      </c>
      <c r="L57" s="15" t="s">
        <v>217</v>
      </c>
      <c r="M57" s="15" t="s">
        <v>219</v>
      </c>
      <c r="N57" s="15" t="s">
        <v>219</v>
      </c>
      <c r="O57" s="15" t="s">
        <v>219</v>
      </c>
      <c r="P57" s="15" t="s">
        <v>219</v>
      </c>
      <c r="Q57" s="15" t="s">
        <v>220</v>
      </c>
      <c r="R57" s="15" t="s">
        <v>219</v>
      </c>
      <c r="S57" s="15" t="s">
        <v>219</v>
      </c>
      <c r="T57" s="15" t="s">
        <v>267</v>
      </c>
      <c r="U57" s="15" t="s">
        <v>219</v>
      </c>
      <c r="V57" s="15" t="s">
        <v>219</v>
      </c>
      <c r="W57" s="15">
        <v>1</v>
      </c>
      <c r="X57" s="15" t="str">
        <f>_xlfn.XLOOKUP(tblMeasure[[#This Row],[id_src]],tblSource[id_src],tblSource[org])</f>
        <v>NHS Digital</v>
      </c>
      <c r="Y57" s="15" t="str">
        <f>_xlfn.XLOOKUP(tblMeasure[[#This Row],[id_src]],tblSource[id_src],tblSource[source])</f>
        <v>Adult Social Care Activity and Finance Report</v>
      </c>
      <c r="Z57" s="15" t="str">
        <f>_xlfn.XLOOKUP(tblMeasure[[#This Row],[id_src]],tblSource[id_src],tblSource[url_source])</f>
        <v>https://digital.nhs.uk/data-and-information/publications/statistical/adult-social-care-activity-and-finance-report/2018-19</v>
      </c>
      <c r="AA57" s="15">
        <f>_xlfn.XLOOKUP(tblMeasure[[#This Row],[id_src]],tblSource[id_src],tblSource[year_first_published])</f>
        <v>2016</v>
      </c>
      <c r="AB57" s="15">
        <f>_xlfn.XLOOKUP(tblMeasure[[#This Row],[id_src]],tblSource[id_src],tblSource[year_last_published])</f>
        <v>2019</v>
      </c>
      <c r="AC57" s="15" t="str">
        <f>_xlfn.XLOOKUP(tblMeasure[[#This Row],[id_src]],tblSource[id_src],tblSource[discontinuity])</f>
        <v>None</v>
      </c>
      <c r="AD57" s="15" t="str">
        <f>_xlfn.XLOOKUP(tblMeasure[[#This Row],[id_src]],tblSource[id_src],tblSource[publication_frequency])</f>
        <v>Annual</v>
      </c>
      <c r="AE57" s="15">
        <f>_xlfn.XLOOKUP(tblMeasure[[#This Row],[id_src]],tblSource[id_src],tblSource[publication_lag_months])</f>
        <v>7</v>
      </c>
      <c r="AF57" s="25" t="str">
        <f>_xlfn.XLOOKUP(tblMeasure[[#This Row],[id_src]],tblSource[id_src],tblSource[data_providers])</f>
        <v>LA</v>
      </c>
      <c r="AG57" s="25" t="str">
        <f>_xlfn.XLOOKUP(tblMeasure[[#This Row],[id_src]],tblSource[id_src],tblSource[statistic_class])</f>
        <v>National (ASC-FR) + Official (SALT)</v>
      </c>
      <c r="AH57" s="25" t="str">
        <f>_xlfn.XLOOKUP(tblMeasure[[#This Row],[id_src]],tblSource[id_src],tblSource[methodology_link])</f>
        <v>https://digital.nhs.uk/data-and-information/publications/statistical/adult-social-care-activity-and-finance-report/2018-19/data-quality-statement</v>
      </c>
      <c r="AI57" s="25" t="str">
        <f>_xlfn.XLOOKUP(tblMeasure[[#This Row],[id_src]],tblSource[id_src],tblSource[quality_issues])</f>
        <v>https://digital.nhs.uk/data-and-information/publications/statistical/adult-social-care-activity-and-finance-report/2018-19/data-quality-statement#accuracy-and-reliability</v>
      </c>
      <c r="AJ57" s="25">
        <f>VLOOKUP(tblMeasure[[#This Row],[msr_population_or_survey]],strlu_msr_population_or_survey,2,FALSE)</f>
        <v>1</v>
      </c>
      <c r="AK57" s="25">
        <f>VLOOKUP(tblMeasure[[#This Row],[msr_min_geo_resolution]],strlu_msr_min_geo_resolution,2,FALSE)</f>
        <v>1</v>
      </c>
      <c r="AL57" s="25">
        <f>(MAX(tblMeasure[[#This Row],[src_year_last_published]]-2010+1,0)+MIN(2010-tblMeasure[[#This Row],[src_year_first_published]],0)-MAX(tblMeasure[[#This Row],[src_year_last_published]]-2019,0))/10</f>
        <v>0.4</v>
      </c>
      <c r="AM57" s="25">
        <f>IF(OR(tblMeasure[[#This Row],[src_discontinuity]]="None",tblMeasure[[#This Row],[src_discontinuity]]=0),1,0)</f>
        <v>1</v>
      </c>
      <c r="AN57" s="25">
        <f>VLOOKUP(tblMeasure[[#This Row],[src_pub_frequency]],strlu_src_pub_frequency,2,FALSE)</f>
        <v>0.8</v>
      </c>
      <c r="AO57" s="25">
        <f>VLOOKUP(tblMeasure[[#This Row],[src_pub_lag_months]],strlu_src_pub_lag_months,2,FALSE)</f>
        <v>0.3</v>
      </c>
      <c r="AP57" s="25">
        <f>VLOOKUP(tblMeasure[[#This Row],[src_statistic_class]],strlu_src_statistic_class,2,FALSE)</f>
        <v>1</v>
      </c>
      <c r="AQ57" s="25">
        <f>IF(tblMeasure[[#This Row],[src_methodology_url]]="TBD",0,1)</f>
        <v>1</v>
      </c>
      <c r="AR57" s="25">
        <f>IF(tblMeasure[[#This Row],[src_quality_url]]="TBD",0,1)</f>
        <v>1</v>
      </c>
      <c r="AS57" s="85" cm="1">
        <f t="array" ref="AS57">SUMPRODUCT(TRANSPOSE(tblMeasure[[#This Row],[str_msr_population_or_survey]:[str_src_quality_url]]),str_weights)/str_weights_total</f>
        <v>0.82307692307692304</v>
      </c>
    </row>
    <row r="58" spans="1:45" hidden="1" x14ac:dyDescent="0.15">
      <c r="A58" s="30">
        <v>56</v>
      </c>
      <c r="B58" s="15">
        <f>COUNTIF(requirement_measure_map!$D$3:$D$1514,measure!A58)</f>
        <v>0</v>
      </c>
      <c r="C58" s="30" t="s">
        <v>221</v>
      </c>
      <c r="D58" s="15" t="s">
        <v>391</v>
      </c>
      <c r="E58" s="15" t="s">
        <v>394</v>
      </c>
      <c r="F58" s="15" t="s">
        <v>395</v>
      </c>
      <c r="G58" s="29" t="s">
        <v>390</v>
      </c>
      <c r="H58" s="15" t="s">
        <v>228</v>
      </c>
      <c r="I58" s="15" t="s">
        <v>214</v>
      </c>
      <c r="J58" s="15" t="s">
        <v>215</v>
      </c>
      <c r="K58" s="15" t="s">
        <v>232</v>
      </c>
      <c r="L58" s="15" t="s">
        <v>217</v>
      </c>
      <c r="M58" s="15" t="s">
        <v>219</v>
      </c>
      <c r="N58" s="15" t="s">
        <v>219</v>
      </c>
      <c r="O58" s="15" t="s">
        <v>219</v>
      </c>
      <c r="P58" s="15" t="s">
        <v>219</v>
      </c>
      <c r="Q58" s="15" t="s">
        <v>220</v>
      </c>
      <c r="R58" s="15" t="s">
        <v>219</v>
      </c>
      <c r="S58" s="15" t="s">
        <v>219</v>
      </c>
      <c r="T58" s="15" t="s">
        <v>267</v>
      </c>
      <c r="U58" s="15" t="s">
        <v>219</v>
      </c>
      <c r="V58" s="15" t="s">
        <v>219</v>
      </c>
      <c r="W58" s="15">
        <v>1</v>
      </c>
      <c r="X58" s="15" t="str">
        <f>_xlfn.XLOOKUP(tblMeasure[[#This Row],[id_src]],tblSource[id_src],tblSource[org])</f>
        <v>NHS Digital</v>
      </c>
      <c r="Y58" s="15" t="str">
        <f>_xlfn.XLOOKUP(tblMeasure[[#This Row],[id_src]],tblSource[id_src],tblSource[source])</f>
        <v>Adult Social Care Activity and Finance Report</v>
      </c>
      <c r="Z58" s="15" t="str">
        <f>_xlfn.XLOOKUP(tblMeasure[[#This Row],[id_src]],tblSource[id_src],tblSource[url_source])</f>
        <v>https://digital.nhs.uk/data-and-information/publications/statistical/adult-social-care-activity-and-finance-report/2018-19</v>
      </c>
      <c r="AA58" s="15">
        <f>_xlfn.XLOOKUP(tblMeasure[[#This Row],[id_src]],tblSource[id_src],tblSource[year_first_published])</f>
        <v>2016</v>
      </c>
      <c r="AB58" s="15">
        <f>_xlfn.XLOOKUP(tblMeasure[[#This Row],[id_src]],tblSource[id_src],tblSource[year_last_published])</f>
        <v>2019</v>
      </c>
      <c r="AC58" s="15" t="str">
        <f>_xlfn.XLOOKUP(tblMeasure[[#This Row],[id_src]],tblSource[id_src],tblSource[discontinuity])</f>
        <v>None</v>
      </c>
      <c r="AD58" s="15" t="str">
        <f>_xlfn.XLOOKUP(tblMeasure[[#This Row],[id_src]],tblSource[id_src],tblSource[publication_frequency])</f>
        <v>Annual</v>
      </c>
      <c r="AE58" s="15">
        <f>_xlfn.XLOOKUP(tblMeasure[[#This Row],[id_src]],tblSource[id_src],tblSource[publication_lag_months])</f>
        <v>7</v>
      </c>
      <c r="AF58" s="25" t="str">
        <f>_xlfn.XLOOKUP(tblMeasure[[#This Row],[id_src]],tblSource[id_src],tblSource[data_providers])</f>
        <v>LA</v>
      </c>
      <c r="AG58" s="25" t="str">
        <f>_xlfn.XLOOKUP(tblMeasure[[#This Row],[id_src]],tblSource[id_src],tblSource[statistic_class])</f>
        <v>National (ASC-FR) + Official (SALT)</v>
      </c>
      <c r="AH58" s="25" t="str">
        <f>_xlfn.XLOOKUP(tblMeasure[[#This Row],[id_src]],tblSource[id_src],tblSource[methodology_link])</f>
        <v>https://digital.nhs.uk/data-and-information/publications/statistical/adult-social-care-activity-and-finance-report/2018-19/data-quality-statement</v>
      </c>
      <c r="AI58" s="25" t="str">
        <f>_xlfn.XLOOKUP(tblMeasure[[#This Row],[id_src]],tblSource[id_src],tblSource[quality_issues])</f>
        <v>https://digital.nhs.uk/data-and-information/publications/statistical/adult-social-care-activity-and-finance-report/2018-19/data-quality-statement#accuracy-and-reliability</v>
      </c>
      <c r="AJ58" s="25">
        <f>VLOOKUP(tblMeasure[[#This Row],[msr_population_or_survey]],strlu_msr_population_or_survey,2,FALSE)</f>
        <v>1</v>
      </c>
      <c r="AK58" s="25">
        <f>VLOOKUP(tblMeasure[[#This Row],[msr_min_geo_resolution]],strlu_msr_min_geo_resolution,2,FALSE)</f>
        <v>1</v>
      </c>
      <c r="AL58" s="25">
        <f>(MAX(tblMeasure[[#This Row],[src_year_last_published]]-2010+1,0)+MIN(2010-tblMeasure[[#This Row],[src_year_first_published]],0)-MAX(tblMeasure[[#This Row],[src_year_last_published]]-2019,0))/10</f>
        <v>0.4</v>
      </c>
      <c r="AM58" s="25">
        <f>IF(OR(tblMeasure[[#This Row],[src_discontinuity]]="None",tblMeasure[[#This Row],[src_discontinuity]]=0),1,0)</f>
        <v>1</v>
      </c>
      <c r="AN58" s="25">
        <f>VLOOKUP(tblMeasure[[#This Row],[src_pub_frequency]],strlu_src_pub_frequency,2,FALSE)</f>
        <v>0.8</v>
      </c>
      <c r="AO58" s="25">
        <f>VLOOKUP(tblMeasure[[#This Row],[src_pub_lag_months]],strlu_src_pub_lag_months,2,FALSE)</f>
        <v>0.3</v>
      </c>
      <c r="AP58" s="25">
        <f>VLOOKUP(tblMeasure[[#This Row],[src_statistic_class]],strlu_src_statistic_class,2,FALSE)</f>
        <v>1</v>
      </c>
      <c r="AQ58" s="25">
        <f>IF(tblMeasure[[#This Row],[src_methodology_url]]="TBD",0,1)</f>
        <v>1</v>
      </c>
      <c r="AR58" s="25">
        <f>IF(tblMeasure[[#This Row],[src_quality_url]]="TBD",0,1)</f>
        <v>1</v>
      </c>
      <c r="AS58" s="85" cm="1">
        <f t="array" ref="AS58">SUMPRODUCT(TRANSPOSE(tblMeasure[[#This Row],[str_msr_population_or_survey]:[str_src_quality_url]]),str_weights)/str_weights_total</f>
        <v>0.82307692307692304</v>
      </c>
    </row>
    <row r="59" spans="1:45" hidden="1" x14ac:dyDescent="0.15">
      <c r="A59" s="30">
        <v>57</v>
      </c>
      <c r="B59" s="15">
        <f>COUNTIF(requirement_measure_map!$D$3:$D$1514,measure!A59)</f>
        <v>0</v>
      </c>
      <c r="C59" s="30" t="s">
        <v>293</v>
      </c>
      <c r="D59" s="15" t="s">
        <v>391</v>
      </c>
      <c r="E59" s="15" t="s">
        <v>396</v>
      </c>
      <c r="F59" s="15" t="s">
        <v>397</v>
      </c>
      <c r="G59" s="29" t="s">
        <v>390</v>
      </c>
      <c r="H59" s="15" t="s">
        <v>228</v>
      </c>
      <c r="I59" s="15" t="s">
        <v>214</v>
      </c>
      <c r="J59" s="15" t="s">
        <v>215</v>
      </c>
      <c r="K59" s="15" t="s">
        <v>232</v>
      </c>
      <c r="L59" s="15" t="s">
        <v>217</v>
      </c>
      <c r="M59" s="15" t="s">
        <v>219</v>
      </c>
      <c r="N59" s="15" t="s">
        <v>219</v>
      </c>
      <c r="O59" s="15" t="s">
        <v>219</v>
      </c>
      <c r="P59" s="15" t="s">
        <v>219</v>
      </c>
      <c r="Q59" s="15" t="s">
        <v>220</v>
      </c>
      <c r="R59" s="15" t="s">
        <v>219</v>
      </c>
      <c r="S59" s="15" t="s">
        <v>219</v>
      </c>
      <c r="T59" s="15" t="s">
        <v>219</v>
      </c>
      <c r="U59" s="15" t="s">
        <v>219</v>
      </c>
      <c r="V59" s="15" t="s">
        <v>219</v>
      </c>
      <c r="W59" s="15">
        <v>1</v>
      </c>
      <c r="X59" s="15" t="str">
        <f>_xlfn.XLOOKUP(tblMeasure[[#This Row],[id_src]],tblSource[id_src],tblSource[org])</f>
        <v>NHS Digital</v>
      </c>
      <c r="Y59" s="15" t="str">
        <f>_xlfn.XLOOKUP(tblMeasure[[#This Row],[id_src]],tblSource[id_src],tblSource[source])</f>
        <v>Adult Social Care Activity and Finance Report</v>
      </c>
      <c r="Z59" s="15" t="str">
        <f>_xlfn.XLOOKUP(tblMeasure[[#This Row],[id_src]],tblSource[id_src],tblSource[url_source])</f>
        <v>https://digital.nhs.uk/data-and-information/publications/statistical/adult-social-care-activity-and-finance-report/2018-19</v>
      </c>
      <c r="AA59" s="15">
        <f>_xlfn.XLOOKUP(tblMeasure[[#This Row],[id_src]],tblSource[id_src],tblSource[year_first_published])</f>
        <v>2016</v>
      </c>
      <c r="AB59" s="15">
        <f>_xlfn.XLOOKUP(tblMeasure[[#This Row],[id_src]],tblSource[id_src],tblSource[year_last_published])</f>
        <v>2019</v>
      </c>
      <c r="AC59" s="15" t="str">
        <f>_xlfn.XLOOKUP(tblMeasure[[#This Row],[id_src]],tblSource[id_src],tblSource[discontinuity])</f>
        <v>None</v>
      </c>
      <c r="AD59" s="15" t="str">
        <f>_xlfn.XLOOKUP(tblMeasure[[#This Row],[id_src]],tblSource[id_src],tblSource[publication_frequency])</f>
        <v>Annual</v>
      </c>
      <c r="AE59" s="15">
        <f>_xlfn.XLOOKUP(tblMeasure[[#This Row],[id_src]],tblSource[id_src],tblSource[publication_lag_months])</f>
        <v>7</v>
      </c>
      <c r="AF59" s="25" t="str">
        <f>_xlfn.XLOOKUP(tblMeasure[[#This Row],[id_src]],tblSource[id_src],tblSource[data_providers])</f>
        <v>LA</v>
      </c>
      <c r="AG59" s="25" t="str">
        <f>_xlfn.XLOOKUP(tblMeasure[[#This Row],[id_src]],tblSource[id_src],tblSource[statistic_class])</f>
        <v>National (ASC-FR) + Official (SALT)</v>
      </c>
      <c r="AH59" s="25" t="str">
        <f>_xlfn.XLOOKUP(tblMeasure[[#This Row],[id_src]],tblSource[id_src],tblSource[methodology_link])</f>
        <v>https://digital.nhs.uk/data-and-information/publications/statistical/adult-social-care-activity-and-finance-report/2018-19/data-quality-statement</v>
      </c>
      <c r="AI59" s="25" t="str">
        <f>_xlfn.XLOOKUP(tblMeasure[[#This Row],[id_src]],tblSource[id_src],tblSource[quality_issues])</f>
        <v>https://digital.nhs.uk/data-and-information/publications/statistical/adult-social-care-activity-and-finance-report/2018-19/data-quality-statement#accuracy-and-reliability</v>
      </c>
      <c r="AJ59" s="25">
        <f>VLOOKUP(tblMeasure[[#This Row],[msr_population_or_survey]],strlu_msr_population_or_survey,2,FALSE)</f>
        <v>1</v>
      </c>
      <c r="AK59" s="25">
        <f>VLOOKUP(tblMeasure[[#This Row],[msr_min_geo_resolution]],strlu_msr_min_geo_resolution,2,FALSE)</f>
        <v>1</v>
      </c>
      <c r="AL59" s="25">
        <f>(MAX(tblMeasure[[#This Row],[src_year_last_published]]-2010+1,0)+MIN(2010-tblMeasure[[#This Row],[src_year_first_published]],0)-MAX(tblMeasure[[#This Row],[src_year_last_published]]-2019,0))/10</f>
        <v>0.4</v>
      </c>
      <c r="AM59" s="25">
        <f>IF(OR(tblMeasure[[#This Row],[src_discontinuity]]="None",tblMeasure[[#This Row],[src_discontinuity]]=0),1,0)</f>
        <v>1</v>
      </c>
      <c r="AN59" s="25">
        <f>VLOOKUP(tblMeasure[[#This Row],[src_pub_frequency]],strlu_src_pub_frequency,2,FALSE)</f>
        <v>0.8</v>
      </c>
      <c r="AO59" s="25">
        <f>VLOOKUP(tblMeasure[[#This Row],[src_pub_lag_months]],strlu_src_pub_lag_months,2,FALSE)</f>
        <v>0.3</v>
      </c>
      <c r="AP59" s="25">
        <f>VLOOKUP(tblMeasure[[#This Row],[src_statistic_class]],strlu_src_statistic_class,2,FALSE)</f>
        <v>1</v>
      </c>
      <c r="AQ59" s="25">
        <f>IF(tblMeasure[[#This Row],[src_methodology_url]]="TBD",0,1)</f>
        <v>1</v>
      </c>
      <c r="AR59" s="25">
        <f>IF(tblMeasure[[#This Row],[src_quality_url]]="TBD",0,1)</f>
        <v>1</v>
      </c>
      <c r="AS59" s="85" cm="1">
        <f t="array" ref="AS59">SUMPRODUCT(TRANSPOSE(tblMeasure[[#This Row],[str_msr_population_or_survey]:[str_src_quality_url]]),str_weights)/str_weights_total</f>
        <v>0.82307692307692304</v>
      </c>
    </row>
    <row r="60" spans="1:45" hidden="1" x14ac:dyDescent="0.15">
      <c r="A60" s="30">
        <v>58</v>
      </c>
      <c r="B60" s="15">
        <f>COUNTIF(requirement_measure_map!$D$3:$D$1514,measure!A60)</f>
        <v>4</v>
      </c>
      <c r="C60" s="30" t="s">
        <v>315</v>
      </c>
      <c r="D60" s="15" t="s">
        <v>391</v>
      </c>
      <c r="E60" s="15" t="s">
        <v>398</v>
      </c>
      <c r="F60" s="15" t="s">
        <v>399</v>
      </c>
      <c r="G60" s="29" t="s">
        <v>390</v>
      </c>
      <c r="H60" s="15" t="s">
        <v>274</v>
      </c>
      <c r="I60" s="15" t="s">
        <v>214</v>
      </c>
      <c r="J60" s="15" t="s">
        <v>215</v>
      </c>
      <c r="K60" s="15" t="s">
        <v>232</v>
      </c>
      <c r="L60" s="15" t="s">
        <v>217</v>
      </c>
      <c r="M60" s="15" t="s">
        <v>218</v>
      </c>
      <c r="N60" s="15" t="s">
        <v>219</v>
      </c>
      <c r="O60" s="15" t="s">
        <v>219</v>
      </c>
      <c r="P60" s="15" t="s">
        <v>219</v>
      </c>
      <c r="Q60" s="15" t="s">
        <v>220</v>
      </c>
      <c r="R60" s="15" t="s">
        <v>219</v>
      </c>
      <c r="S60" s="15" t="s">
        <v>219</v>
      </c>
      <c r="T60" s="15" t="s">
        <v>218</v>
      </c>
      <c r="U60" s="15" t="s">
        <v>219</v>
      </c>
      <c r="V60" s="15" t="s">
        <v>219</v>
      </c>
      <c r="W60" s="15">
        <v>1</v>
      </c>
      <c r="X60" s="15" t="str">
        <f>_xlfn.XLOOKUP(tblMeasure[[#This Row],[id_src]],tblSource[id_src],tblSource[org])</f>
        <v>NHS Digital</v>
      </c>
      <c r="Y60" s="15" t="str">
        <f>_xlfn.XLOOKUP(tblMeasure[[#This Row],[id_src]],tblSource[id_src],tblSource[source])</f>
        <v>Adult Social Care Activity and Finance Report</v>
      </c>
      <c r="Z60" s="15" t="str">
        <f>_xlfn.XLOOKUP(tblMeasure[[#This Row],[id_src]],tblSource[id_src],tblSource[url_source])</f>
        <v>https://digital.nhs.uk/data-and-information/publications/statistical/adult-social-care-activity-and-finance-report/2018-19</v>
      </c>
      <c r="AA60" s="15">
        <f>_xlfn.XLOOKUP(tblMeasure[[#This Row],[id_src]],tblSource[id_src],tblSource[year_first_published])</f>
        <v>2016</v>
      </c>
      <c r="AB60" s="15">
        <f>_xlfn.XLOOKUP(tblMeasure[[#This Row],[id_src]],tblSource[id_src],tblSource[year_last_published])</f>
        <v>2019</v>
      </c>
      <c r="AC60" s="15" t="str">
        <f>_xlfn.XLOOKUP(tblMeasure[[#This Row],[id_src]],tblSource[id_src],tblSource[discontinuity])</f>
        <v>None</v>
      </c>
      <c r="AD60" s="15" t="str">
        <f>_xlfn.XLOOKUP(tblMeasure[[#This Row],[id_src]],tblSource[id_src],tblSource[publication_frequency])</f>
        <v>Annual</v>
      </c>
      <c r="AE60" s="15">
        <f>_xlfn.XLOOKUP(tblMeasure[[#This Row],[id_src]],tblSource[id_src],tblSource[publication_lag_months])</f>
        <v>7</v>
      </c>
      <c r="AF60" s="25" t="str">
        <f>_xlfn.XLOOKUP(tblMeasure[[#This Row],[id_src]],tblSource[id_src],tblSource[data_providers])</f>
        <v>LA</v>
      </c>
      <c r="AG60" s="25" t="str">
        <f>_xlfn.XLOOKUP(tblMeasure[[#This Row],[id_src]],tblSource[id_src],tblSource[statistic_class])</f>
        <v>National (ASC-FR) + Official (SALT)</v>
      </c>
      <c r="AH60" s="25" t="str">
        <f>_xlfn.XLOOKUP(tblMeasure[[#This Row],[id_src]],tblSource[id_src],tblSource[methodology_link])</f>
        <v>https://digital.nhs.uk/data-and-information/publications/statistical/adult-social-care-activity-and-finance-report/2018-19/data-quality-statement</v>
      </c>
      <c r="AI60" s="25" t="str">
        <f>_xlfn.XLOOKUP(tblMeasure[[#This Row],[id_src]],tblSource[id_src],tblSource[quality_issues])</f>
        <v>https://digital.nhs.uk/data-and-information/publications/statistical/adult-social-care-activity-and-finance-report/2018-19/data-quality-statement#accuracy-and-reliability</v>
      </c>
      <c r="AJ60" s="25">
        <f>VLOOKUP(tblMeasure[[#This Row],[msr_population_or_survey]],strlu_msr_population_or_survey,2,FALSE)</f>
        <v>1</v>
      </c>
      <c r="AK60" s="25">
        <f>VLOOKUP(tblMeasure[[#This Row],[msr_min_geo_resolution]],strlu_msr_min_geo_resolution,2,FALSE)</f>
        <v>1</v>
      </c>
      <c r="AL60" s="25">
        <f>(MAX(tblMeasure[[#This Row],[src_year_last_published]]-2010+1,0)+MIN(2010-tblMeasure[[#This Row],[src_year_first_published]],0)-MAX(tblMeasure[[#This Row],[src_year_last_published]]-2019,0))/10</f>
        <v>0.4</v>
      </c>
      <c r="AM60" s="25">
        <f>IF(OR(tblMeasure[[#This Row],[src_discontinuity]]="None",tblMeasure[[#This Row],[src_discontinuity]]=0),1,0)</f>
        <v>1</v>
      </c>
      <c r="AN60" s="25">
        <f>VLOOKUP(tblMeasure[[#This Row],[src_pub_frequency]],strlu_src_pub_frequency,2,FALSE)</f>
        <v>0.8</v>
      </c>
      <c r="AO60" s="25">
        <f>VLOOKUP(tblMeasure[[#This Row],[src_pub_lag_months]],strlu_src_pub_lag_months,2,FALSE)</f>
        <v>0.3</v>
      </c>
      <c r="AP60" s="25">
        <f>VLOOKUP(tblMeasure[[#This Row],[src_statistic_class]],strlu_src_statistic_class,2,FALSE)</f>
        <v>1</v>
      </c>
      <c r="AQ60" s="25">
        <f>IF(tblMeasure[[#This Row],[src_methodology_url]]="TBD",0,1)</f>
        <v>1</v>
      </c>
      <c r="AR60" s="25">
        <f>IF(tblMeasure[[#This Row],[src_quality_url]]="TBD",0,1)</f>
        <v>1</v>
      </c>
      <c r="AS60" s="85" cm="1">
        <f t="array" ref="AS60">SUMPRODUCT(TRANSPOSE(tblMeasure[[#This Row],[str_msr_population_or_survey]:[str_src_quality_url]]),str_weights)/str_weights_total</f>
        <v>0.82307692307692304</v>
      </c>
    </row>
    <row r="61" spans="1:45" x14ac:dyDescent="0.15">
      <c r="A61" s="30">
        <v>59</v>
      </c>
      <c r="B61" s="15">
        <f>COUNTIF(requirement_measure_map!$D$3:$D$1514,measure!A61)</f>
        <v>5</v>
      </c>
      <c r="C61" s="30" t="s">
        <v>315</v>
      </c>
      <c r="D61" s="15" t="s">
        <v>391</v>
      </c>
      <c r="E61" s="15" t="s">
        <v>400</v>
      </c>
      <c r="F61" s="15" t="s">
        <v>401</v>
      </c>
      <c r="G61" s="29" t="s">
        <v>390</v>
      </c>
      <c r="H61" s="15" t="s">
        <v>274</v>
      </c>
      <c r="I61" s="15" t="s">
        <v>214</v>
      </c>
      <c r="J61" s="15" t="s">
        <v>215</v>
      </c>
      <c r="K61" s="15" t="s">
        <v>232</v>
      </c>
      <c r="L61" s="15" t="s">
        <v>217</v>
      </c>
      <c r="M61" s="15" t="s">
        <v>218</v>
      </c>
      <c r="N61" s="15" t="s">
        <v>219</v>
      </c>
      <c r="O61" s="15" t="s">
        <v>219</v>
      </c>
      <c r="P61" s="15" t="s">
        <v>243</v>
      </c>
      <c r="Q61" s="15" t="s">
        <v>220</v>
      </c>
      <c r="R61" s="15" t="s">
        <v>219</v>
      </c>
      <c r="S61" s="15" t="s">
        <v>219</v>
      </c>
      <c r="T61" s="15" t="s">
        <v>219</v>
      </c>
      <c r="U61" s="15" t="s">
        <v>219</v>
      </c>
      <c r="V61" s="15" t="s">
        <v>219</v>
      </c>
      <c r="W61" s="15">
        <v>1</v>
      </c>
      <c r="X61" s="15" t="str">
        <f>_xlfn.XLOOKUP(tblMeasure[[#This Row],[id_src]],tblSource[id_src],tblSource[org])</f>
        <v>NHS Digital</v>
      </c>
      <c r="Y61" s="15" t="str">
        <f>_xlfn.XLOOKUP(tblMeasure[[#This Row],[id_src]],tblSource[id_src],tblSource[source])</f>
        <v>Adult Social Care Activity and Finance Report</v>
      </c>
      <c r="Z61" s="15" t="str">
        <f>_xlfn.XLOOKUP(tblMeasure[[#This Row],[id_src]],tblSource[id_src],tblSource[url_source])</f>
        <v>https://digital.nhs.uk/data-and-information/publications/statistical/adult-social-care-activity-and-finance-report/2018-19</v>
      </c>
      <c r="AA61" s="15">
        <f>_xlfn.XLOOKUP(tblMeasure[[#This Row],[id_src]],tblSource[id_src],tblSource[year_first_published])</f>
        <v>2016</v>
      </c>
      <c r="AB61" s="15">
        <f>_xlfn.XLOOKUP(tblMeasure[[#This Row],[id_src]],tblSource[id_src],tblSource[year_last_published])</f>
        <v>2019</v>
      </c>
      <c r="AC61" s="15" t="str">
        <f>_xlfn.XLOOKUP(tblMeasure[[#This Row],[id_src]],tblSource[id_src],tblSource[discontinuity])</f>
        <v>None</v>
      </c>
      <c r="AD61" s="15" t="str">
        <f>_xlfn.XLOOKUP(tblMeasure[[#This Row],[id_src]],tblSource[id_src],tblSource[publication_frequency])</f>
        <v>Annual</v>
      </c>
      <c r="AE61" s="15">
        <f>_xlfn.XLOOKUP(tblMeasure[[#This Row],[id_src]],tblSource[id_src],tblSource[publication_lag_months])</f>
        <v>7</v>
      </c>
      <c r="AF61" s="25" t="str">
        <f>_xlfn.XLOOKUP(tblMeasure[[#This Row],[id_src]],tblSource[id_src],tblSource[data_providers])</f>
        <v>LA</v>
      </c>
      <c r="AG61" s="25" t="str">
        <f>_xlfn.XLOOKUP(tblMeasure[[#This Row],[id_src]],tblSource[id_src],tblSource[statistic_class])</f>
        <v>National (ASC-FR) + Official (SALT)</v>
      </c>
      <c r="AH61" s="25" t="str">
        <f>_xlfn.XLOOKUP(tblMeasure[[#This Row],[id_src]],tblSource[id_src],tblSource[methodology_link])</f>
        <v>https://digital.nhs.uk/data-and-information/publications/statistical/adult-social-care-activity-and-finance-report/2018-19/data-quality-statement</v>
      </c>
      <c r="AI61" s="25" t="str">
        <f>_xlfn.XLOOKUP(tblMeasure[[#This Row],[id_src]],tblSource[id_src],tblSource[quality_issues])</f>
        <v>https://digital.nhs.uk/data-and-information/publications/statistical/adult-social-care-activity-and-finance-report/2018-19/data-quality-statement#accuracy-and-reliability</v>
      </c>
      <c r="AJ61" s="25">
        <f>VLOOKUP(tblMeasure[[#This Row],[msr_population_or_survey]],strlu_msr_population_or_survey,2,FALSE)</f>
        <v>1</v>
      </c>
      <c r="AK61" s="25">
        <f>VLOOKUP(tblMeasure[[#This Row],[msr_min_geo_resolution]],strlu_msr_min_geo_resolution,2,FALSE)</f>
        <v>1</v>
      </c>
      <c r="AL61" s="25">
        <f>(MAX(tblMeasure[[#This Row],[src_year_last_published]]-2010+1,0)+MIN(2010-tblMeasure[[#This Row],[src_year_first_published]],0)-MAX(tblMeasure[[#This Row],[src_year_last_published]]-2019,0))/10</f>
        <v>0.4</v>
      </c>
      <c r="AM61" s="25">
        <f>IF(OR(tblMeasure[[#This Row],[src_discontinuity]]="None",tblMeasure[[#This Row],[src_discontinuity]]=0),1,0)</f>
        <v>1</v>
      </c>
      <c r="AN61" s="25">
        <f>VLOOKUP(tblMeasure[[#This Row],[src_pub_frequency]],strlu_src_pub_frequency,2,FALSE)</f>
        <v>0.8</v>
      </c>
      <c r="AO61" s="25">
        <f>VLOOKUP(tblMeasure[[#This Row],[src_pub_lag_months]],strlu_src_pub_lag_months,2,FALSE)</f>
        <v>0.3</v>
      </c>
      <c r="AP61" s="25">
        <f>VLOOKUP(tblMeasure[[#This Row],[src_statistic_class]],strlu_src_statistic_class,2,FALSE)</f>
        <v>1</v>
      </c>
      <c r="AQ61" s="25">
        <f>IF(tblMeasure[[#This Row],[src_methodology_url]]="TBD",0,1)</f>
        <v>1</v>
      </c>
      <c r="AR61" s="25">
        <f>IF(tblMeasure[[#This Row],[src_quality_url]]="TBD",0,1)</f>
        <v>1</v>
      </c>
      <c r="AS61" s="85" cm="1">
        <f t="array" ref="AS61">SUMPRODUCT(TRANSPOSE(tblMeasure[[#This Row],[str_msr_population_or_survey]:[str_src_quality_url]]),str_weights)/str_weights_total</f>
        <v>0.82307692307692304</v>
      </c>
    </row>
    <row r="62" spans="1:45" x14ac:dyDescent="0.15">
      <c r="A62" s="30">
        <v>60</v>
      </c>
      <c r="B62" s="15">
        <f>COUNTIF(requirement_measure_map!$D$3:$D$1514,measure!A62)</f>
        <v>5</v>
      </c>
      <c r="C62" s="30" t="s">
        <v>315</v>
      </c>
      <c r="D62" s="15" t="s">
        <v>391</v>
      </c>
      <c r="E62" s="15" t="s">
        <v>402</v>
      </c>
      <c r="F62" s="15" t="s">
        <v>403</v>
      </c>
      <c r="G62" s="29" t="s">
        <v>390</v>
      </c>
      <c r="H62" s="15" t="s">
        <v>274</v>
      </c>
      <c r="I62" s="15" t="s">
        <v>214</v>
      </c>
      <c r="J62" s="15" t="s">
        <v>215</v>
      </c>
      <c r="K62" s="15" t="s">
        <v>232</v>
      </c>
      <c r="L62" s="15" t="s">
        <v>217</v>
      </c>
      <c r="M62" s="15" t="s">
        <v>220</v>
      </c>
      <c r="N62" s="15" t="s">
        <v>219</v>
      </c>
      <c r="O62" s="15" t="s">
        <v>219</v>
      </c>
      <c r="P62" s="15" t="s">
        <v>243</v>
      </c>
      <c r="Q62" s="15" t="s">
        <v>220</v>
      </c>
      <c r="R62" s="15" t="s">
        <v>219</v>
      </c>
      <c r="S62" s="15" t="s">
        <v>219</v>
      </c>
      <c r="T62" s="15" t="s">
        <v>218</v>
      </c>
      <c r="U62" s="15" t="s">
        <v>219</v>
      </c>
      <c r="V62" s="15" t="s">
        <v>219</v>
      </c>
      <c r="W62" s="15">
        <v>1</v>
      </c>
      <c r="X62" s="15" t="str">
        <f>_xlfn.XLOOKUP(tblMeasure[[#This Row],[id_src]],tblSource[id_src],tblSource[org])</f>
        <v>NHS Digital</v>
      </c>
      <c r="Y62" s="15" t="str">
        <f>_xlfn.XLOOKUP(tblMeasure[[#This Row],[id_src]],tblSource[id_src],tblSource[source])</f>
        <v>Adult Social Care Activity and Finance Report</v>
      </c>
      <c r="Z62" s="15" t="str">
        <f>_xlfn.XLOOKUP(tblMeasure[[#This Row],[id_src]],tblSource[id_src],tblSource[url_source])</f>
        <v>https://digital.nhs.uk/data-and-information/publications/statistical/adult-social-care-activity-and-finance-report/2018-19</v>
      </c>
      <c r="AA62" s="15">
        <f>_xlfn.XLOOKUP(tblMeasure[[#This Row],[id_src]],tblSource[id_src],tblSource[year_first_published])</f>
        <v>2016</v>
      </c>
      <c r="AB62" s="15">
        <f>_xlfn.XLOOKUP(tblMeasure[[#This Row],[id_src]],tblSource[id_src],tblSource[year_last_published])</f>
        <v>2019</v>
      </c>
      <c r="AC62" s="15" t="str">
        <f>_xlfn.XLOOKUP(tblMeasure[[#This Row],[id_src]],tblSource[id_src],tblSource[discontinuity])</f>
        <v>None</v>
      </c>
      <c r="AD62" s="15" t="str">
        <f>_xlfn.XLOOKUP(tblMeasure[[#This Row],[id_src]],tblSource[id_src],tblSource[publication_frequency])</f>
        <v>Annual</v>
      </c>
      <c r="AE62" s="15">
        <f>_xlfn.XLOOKUP(tblMeasure[[#This Row],[id_src]],tblSource[id_src],tblSource[publication_lag_months])</f>
        <v>7</v>
      </c>
      <c r="AF62" s="25" t="str">
        <f>_xlfn.XLOOKUP(tblMeasure[[#This Row],[id_src]],tblSource[id_src],tblSource[data_providers])</f>
        <v>LA</v>
      </c>
      <c r="AG62" s="25" t="str">
        <f>_xlfn.XLOOKUP(tblMeasure[[#This Row],[id_src]],tblSource[id_src],tblSource[statistic_class])</f>
        <v>National (ASC-FR) + Official (SALT)</v>
      </c>
      <c r="AH62" s="25" t="str">
        <f>_xlfn.XLOOKUP(tblMeasure[[#This Row],[id_src]],tblSource[id_src],tblSource[methodology_link])</f>
        <v>https://digital.nhs.uk/data-and-information/publications/statistical/adult-social-care-activity-and-finance-report/2018-19/data-quality-statement</v>
      </c>
      <c r="AI62" s="25" t="str">
        <f>_xlfn.XLOOKUP(tblMeasure[[#This Row],[id_src]],tblSource[id_src],tblSource[quality_issues])</f>
        <v>https://digital.nhs.uk/data-and-information/publications/statistical/adult-social-care-activity-and-finance-report/2018-19/data-quality-statement#accuracy-and-reliability</v>
      </c>
      <c r="AJ62" s="25">
        <f>VLOOKUP(tblMeasure[[#This Row],[msr_population_or_survey]],strlu_msr_population_or_survey,2,FALSE)</f>
        <v>1</v>
      </c>
      <c r="AK62" s="25">
        <f>VLOOKUP(tblMeasure[[#This Row],[msr_min_geo_resolution]],strlu_msr_min_geo_resolution,2,FALSE)</f>
        <v>1</v>
      </c>
      <c r="AL62" s="25">
        <f>(MAX(tblMeasure[[#This Row],[src_year_last_published]]-2010+1,0)+MIN(2010-tblMeasure[[#This Row],[src_year_first_published]],0)-MAX(tblMeasure[[#This Row],[src_year_last_published]]-2019,0))/10</f>
        <v>0.4</v>
      </c>
      <c r="AM62" s="25">
        <f>IF(OR(tblMeasure[[#This Row],[src_discontinuity]]="None",tblMeasure[[#This Row],[src_discontinuity]]=0),1,0)</f>
        <v>1</v>
      </c>
      <c r="AN62" s="25">
        <f>VLOOKUP(tblMeasure[[#This Row],[src_pub_frequency]],strlu_src_pub_frequency,2,FALSE)</f>
        <v>0.8</v>
      </c>
      <c r="AO62" s="25">
        <f>VLOOKUP(tblMeasure[[#This Row],[src_pub_lag_months]],strlu_src_pub_lag_months,2,FALSE)</f>
        <v>0.3</v>
      </c>
      <c r="AP62" s="25">
        <f>VLOOKUP(tblMeasure[[#This Row],[src_statistic_class]],strlu_src_statistic_class,2,FALSE)</f>
        <v>1</v>
      </c>
      <c r="AQ62" s="25">
        <f>IF(tblMeasure[[#This Row],[src_methodology_url]]="TBD",0,1)</f>
        <v>1</v>
      </c>
      <c r="AR62" s="25">
        <f>IF(tblMeasure[[#This Row],[src_quality_url]]="TBD",0,1)</f>
        <v>1</v>
      </c>
      <c r="AS62" s="85" cm="1">
        <f t="array" ref="AS62">SUMPRODUCT(TRANSPOSE(tblMeasure[[#This Row],[str_msr_population_or_survey]:[str_src_quality_url]]),str_weights)/str_weights_total</f>
        <v>0.82307692307692304</v>
      </c>
    </row>
    <row r="63" spans="1:45" x14ac:dyDescent="0.15">
      <c r="A63" s="30">
        <v>61</v>
      </c>
      <c r="B63" s="15">
        <f>COUNTIF(requirement_measure_map!$D$3:$D$1514,measure!A63)</f>
        <v>5</v>
      </c>
      <c r="C63" s="30" t="s">
        <v>315</v>
      </c>
      <c r="D63" s="15" t="s">
        <v>391</v>
      </c>
      <c r="E63" s="15" t="s">
        <v>404</v>
      </c>
      <c r="F63" s="15" t="s">
        <v>405</v>
      </c>
      <c r="G63" s="29" t="s">
        <v>390</v>
      </c>
      <c r="H63" s="15" t="s">
        <v>274</v>
      </c>
      <c r="I63" s="15" t="s">
        <v>214</v>
      </c>
      <c r="J63" s="15" t="s">
        <v>215</v>
      </c>
      <c r="K63" s="15" t="s">
        <v>232</v>
      </c>
      <c r="L63" s="15" t="s">
        <v>217</v>
      </c>
      <c r="M63" s="15" t="s">
        <v>220</v>
      </c>
      <c r="N63" s="15" t="s">
        <v>219</v>
      </c>
      <c r="O63" s="15" t="s">
        <v>219</v>
      </c>
      <c r="P63" s="15" t="s">
        <v>243</v>
      </c>
      <c r="Q63" s="15" t="s">
        <v>220</v>
      </c>
      <c r="R63" s="15" t="s">
        <v>219</v>
      </c>
      <c r="S63" s="15" t="s">
        <v>219</v>
      </c>
      <c r="T63" s="15" t="s">
        <v>218</v>
      </c>
      <c r="U63" s="15" t="s">
        <v>219</v>
      </c>
      <c r="V63" s="15" t="s">
        <v>219</v>
      </c>
      <c r="W63" s="15">
        <v>1</v>
      </c>
      <c r="X63" s="15" t="str">
        <f>_xlfn.XLOOKUP(tblMeasure[[#This Row],[id_src]],tblSource[id_src],tblSource[org])</f>
        <v>NHS Digital</v>
      </c>
      <c r="Y63" s="15" t="str">
        <f>_xlfn.XLOOKUP(tblMeasure[[#This Row],[id_src]],tblSource[id_src],tblSource[source])</f>
        <v>Adult Social Care Activity and Finance Report</v>
      </c>
      <c r="Z63" s="15" t="str">
        <f>_xlfn.XLOOKUP(tblMeasure[[#This Row],[id_src]],tblSource[id_src],tblSource[url_source])</f>
        <v>https://digital.nhs.uk/data-and-information/publications/statistical/adult-social-care-activity-and-finance-report/2018-19</v>
      </c>
      <c r="AA63" s="15">
        <f>_xlfn.XLOOKUP(tblMeasure[[#This Row],[id_src]],tblSource[id_src],tblSource[year_first_published])</f>
        <v>2016</v>
      </c>
      <c r="AB63" s="15">
        <f>_xlfn.XLOOKUP(tblMeasure[[#This Row],[id_src]],tblSource[id_src],tblSource[year_last_published])</f>
        <v>2019</v>
      </c>
      <c r="AC63" s="15" t="str">
        <f>_xlfn.XLOOKUP(tblMeasure[[#This Row],[id_src]],tblSource[id_src],tblSource[discontinuity])</f>
        <v>None</v>
      </c>
      <c r="AD63" s="15" t="str">
        <f>_xlfn.XLOOKUP(tblMeasure[[#This Row],[id_src]],tblSource[id_src],tblSource[publication_frequency])</f>
        <v>Annual</v>
      </c>
      <c r="AE63" s="15">
        <f>_xlfn.XLOOKUP(tblMeasure[[#This Row],[id_src]],tblSource[id_src],tblSource[publication_lag_months])</f>
        <v>7</v>
      </c>
      <c r="AF63" s="25" t="str">
        <f>_xlfn.XLOOKUP(tblMeasure[[#This Row],[id_src]],tblSource[id_src],tblSource[data_providers])</f>
        <v>LA</v>
      </c>
      <c r="AG63" s="25" t="str">
        <f>_xlfn.XLOOKUP(tblMeasure[[#This Row],[id_src]],tblSource[id_src],tblSource[statistic_class])</f>
        <v>National (ASC-FR) + Official (SALT)</v>
      </c>
      <c r="AH63" s="25" t="str">
        <f>_xlfn.XLOOKUP(tblMeasure[[#This Row],[id_src]],tblSource[id_src],tblSource[methodology_link])</f>
        <v>https://digital.nhs.uk/data-and-information/publications/statistical/adult-social-care-activity-and-finance-report/2018-19/data-quality-statement</v>
      </c>
      <c r="AI63" s="25" t="str">
        <f>_xlfn.XLOOKUP(tblMeasure[[#This Row],[id_src]],tblSource[id_src],tblSource[quality_issues])</f>
        <v>https://digital.nhs.uk/data-and-information/publications/statistical/adult-social-care-activity-and-finance-report/2018-19/data-quality-statement#accuracy-and-reliability</v>
      </c>
      <c r="AJ63" s="25">
        <f>VLOOKUP(tblMeasure[[#This Row],[msr_population_or_survey]],strlu_msr_population_or_survey,2,FALSE)</f>
        <v>1</v>
      </c>
      <c r="AK63" s="25">
        <f>VLOOKUP(tblMeasure[[#This Row],[msr_min_geo_resolution]],strlu_msr_min_geo_resolution,2,FALSE)</f>
        <v>1</v>
      </c>
      <c r="AL63" s="25">
        <f>(MAX(tblMeasure[[#This Row],[src_year_last_published]]-2010+1,0)+MIN(2010-tblMeasure[[#This Row],[src_year_first_published]],0)-MAX(tblMeasure[[#This Row],[src_year_last_published]]-2019,0))/10</f>
        <v>0.4</v>
      </c>
      <c r="AM63" s="25">
        <f>IF(OR(tblMeasure[[#This Row],[src_discontinuity]]="None",tblMeasure[[#This Row],[src_discontinuity]]=0),1,0)</f>
        <v>1</v>
      </c>
      <c r="AN63" s="25">
        <f>VLOOKUP(tblMeasure[[#This Row],[src_pub_frequency]],strlu_src_pub_frequency,2,FALSE)</f>
        <v>0.8</v>
      </c>
      <c r="AO63" s="25">
        <f>VLOOKUP(tblMeasure[[#This Row],[src_pub_lag_months]],strlu_src_pub_lag_months,2,FALSE)</f>
        <v>0.3</v>
      </c>
      <c r="AP63" s="25">
        <f>VLOOKUP(tblMeasure[[#This Row],[src_statistic_class]],strlu_src_statistic_class,2,FALSE)</f>
        <v>1</v>
      </c>
      <c r="AQ63" s="25">
        <f>IF(tblMeasure[[#This Row],[src_methodology_url]]="TBD",0,1)</f>
        <v>1</v>
      </c>
      <c r="AR63" s="25">
        <f>IF(tblMeasure[[#This Row],[src_quality_url]]="TBD",0,1)</f>
        <v>1</v>
      </c>
      <c r="AS63" s="85" cm="1">
        <f t="array" ref="AS63">SUMPRODUCT(TRANSPOSE(tblMeasure[[#This Row],[str_msr_population_or_survey]:[str_src_quality_url]]),str_weights)/str_weights_total</f>
        <v>0.82307692307692304</v>
      </c>
    </row>
    <row r="64" spans="1:45" x14ac:dyDescent="0.15">
      <c r="A64" s="30">
        <v>62</v>
      </c>
      <c r="B64" s="15">
        <f>COUNTIF(requirement_measure_map!$D$3:$D$1514,measure!A64)</f>
        <v>5</v>
      </c>
      <c r="C64" s="30" t="s">
        <v>315</v>
      </c>
      <c r="D64" s="15" t="s">
        <v>406</v>
      </c>
      <c r="E64" s="15" t="s">
        <v>407</v>
      </c>
      <c r="F64" s="15" t="s">
        <v>408</v>
      </c>
      <c r="G64" s="29" t="s">
        <v>390</v>
      </c>
      <c r="H64" s="15" t="s">
        <v>313</v>
      </c>
      <c r="I64" s="15" t="s">
        <v>214</v>
      </c>
      <c r="J64" s="15" t="s">
        <v>215</v>
      </c>
      <c r="K64" s="15" t="s">
        <v>314</v>
      </c>
      <c r="L64" s="15" t="s">
        <v>233</v>
      </c>
      <c r="M64" s="15" t="s">
        <v>218</v>
      </c>
      <c r="N64" s="15" t="s">
        <v>219</v>
      </c>
      <c r="O64" s="15" t="s">
        <v>219</v>
      </c>
      <c r="P64" s="15" t="s">
        <v>243</v>
      </c>
      <c r="Q64" s="15" t="s">
        <v>220</v>
      </c>
      <c r="R64" s="15" t="s">
        <v>219</v>
      </c>
      <c r="S64" s="15" t="s">
        <v>219</v>
      </c>
      <c r="T64" s="15" t="s">
        <v>218</v>
      </c>
      <c r="U64" s="15" t="s">
        <v>219</v>
      </c>
      <c r="V64" s="15" t="s">
        <v>219</v>
      </c>
      <c r="W64" s="15">
        <v>1</v>
      </c>
      <c r="X64" s="15" t="str">
        <f>_xlfn.XLOOKUP(tblMeasure[[#This Row],[id_src]],tblSource[id_src],tblSource[org])</f>
        <v>NHS Digital</v>
      </c>
      <c r="Y64" s="15" t="str">
        <f>_xlfn.XLOOKUP(tblMeasure[[#This Row],[id_src]],tblSource[id_src],tblSource[source])</f>
        <v>Adult Social Care Activity and Finance Report</v>
      </c>
      <c r="Z64" s="15" t="str">
        <f>_xlfn.XLOOKUP(tblMeasure[[#This Row],[id_src]],tblSource[id_src],tblSource[url_source])</f>
        <v>https://digital.nhs.uk/data-and-information/publications/statistical/adult-social-care-activity-and-finance-report/2018-19</v>
      </c>
      <c r="AA64" s="15">
        <f>_xlfn.XLOOKUP(tblMeasure[[#This Row],[id_src]],tblSource[id_src],tblSource[year_first_published])</f>
        <v>2016</v>
      </c>
      <c r="AB64" s="15">
        <f>_xlfn.XLOOKUP(tblMeasure[[#This Row],[id_src]],tblSource[id_src],tblSource[year_last_published])</f>
        <v>2019</v>
      </c>
      <c r="AC64" s="15" t="str">
        <f>_xlfn.XLOOKUP(tblMeasure[[#This Row],[id_src]],tblSource[id_src],tblSource[discontinuity])</f>
        <v>None</v>
      </c>
      <c r="AD64" s="15" t="str">
        <f>_xlfn.XLOOKUP(tblMeasure[[#This Row],[id_src]],tblSource[id_src],tblSource[publication_frequency])</f>
        <v>Annual</v>
      </c>
      <c r="AE64" s="15">
        <f>_xlfn.XLOOKUP(tblMeasure[[#This Row],[id_src]],tblSource[id_src],tblSource[publication_lag_months])</f>
        <v>7</v>
      </c>
      <c r="AF64" s="25" t="str">
        <f>_xlfn.XLOOKUP(tblMeasure[[#This Row],[id_src]],tblSource[id_src],tblSource[data_providers])</f>
        <v>LA</v>
      </c>
      <c r="AG64" s="25" t="str">
        <f>_xlfn.XLOOKUP(tblMeasure[[#This Row],[id_src]],tblSource[id_src],tblSource[statistic_class])</f>
        <v>National (ASC-FR) + Official (SALT)</v>
      </c>
      <c r="AH64" s="25" t="str">
        <f>_xlfn.XLOOKUP(tblMeasure[[#This Row],[id_src]],tblSource[id_src],tblSource[methodology_link])</f>
        <v>https://digital.nhs.uk/data-and-information/publications/statistical/adult-social-care-activity-and-finance-report/2018-19/data-quality-statement</v>
      </c>
      <c r="AI64" s="25" t="str">
        <f>_xlfn.XLOOKUP(tblMeasure[[#This Row],[id_src]],tblSource[id_src],tblSource[quality_issues])</f>
        <v>https://digital.nhs.uk/data-and-information/publications/statistical/adult-social-care-activity-and-finance-report/2018-19/data-quality-statement#accuracy-and-reliability</v>
      </c>
      <c r="AJ64" s="25">
        <f>VLOOKUP(tblMeasure[[#This Row],[msr_population_or_survey]],strlu_msr_population_or_survey,2,FALSE)</f>
        <v>1</v>
      </c>
      <c r="AK64" s="25">
        <f>VLOOKUP(tblMeasure[[#This Row],[msr_min_geo_resolution]],strlu_msr_min_geo_resolution,2,FALSE)</f>
        <v>0</v>
      </c>
      <c r="AL64" s="25">
        <f>(MAX(tblMeasure[[#This Row],[src_year_last_published]]-2010+1,0)+MIN(2010-tblMeasure[[#This Row],[src_year_first_published]],0)-MAX(tblMeasure[[#This Row],[src_year_last_published]]-2019,0))/10</f>
        <v>0.4</v>
      </c>
      <c r="AM64" s="25">
        <f>IF(OR(tblMeasure[[#This Row],[src_discontinuity]]="None",tblMeasure[[#This Row],[src_discontinuity]]=0),1,0)</f>
        <v>1</v>
      </c>
      <c r="AN64" s="25">
        <f>VLOOKUP(tblMeasure[[#This Row],[src_pub_frequency]],strlu_src_pub_frequency,2,FALSE)</f>
        <v>0.8</v>
      </c>
      <c r="AO64" s="25">
        <f>VLOOKUP(tblMeasure[[#This Row],[src_pub_lag_months]],strlu_src_pub_lag_months,2,FALSE)</f>
        <v>0.3</v>
      </c>
      <c r="AP64" s="25">
        <f>VLOOKUP(tblMeasure[[#This Row],[src_statistic_class]],strlu_src_statistic_class,2,FALSE)</f>
        <v>1</v>
      </c>
      <c r="AQ64" s="25">
        <f>IF(tblMeasure[[#This Row],[src_methodology_url]]="TBD",0,1)</f>
        <v>1</v>
      </c>
      <c r="AR64" s="25">
        <f>IF(tblMeasure[[#This Row],[src_quality_url]]="TBD",0,1)</f>
        <v>1</v>
      </c>
      <c r="AS64" s="85" cm="1">
        <f t="array" ref="AS64">SUMPRODUCT(TRANSPOSE(tblMeasure[[#This Row],[str_msr_population_or_survey]:[str_src_quality_url]]),str_weights)/str_weights_total</f>
        <v>0.66923076923076918</v>
      </c>
    </row>
    <row r="65" spans="1:45" x14ac:dyDescent="0.15">
      <c r="A65" s="30">
        <v>63</v>
      </c>
      <c r="B65" s="15">
        <f>COUNTIF(requirement_measure_map!$D$3:$D$1514,measure!A65)</f>
        <v>5</v>
      </c>
      <c r="C65" s="30" t="s">
        <v>315</v>
      </c>
      <c r="D65" s="15" t="s">
        <v>406</v>
      </c>
      <c r="E65" s="15" t="s">
        <v>409</v>
      </c>
      <c r="F65" s="15" t="s">
        <v>410</v>
      </c>
      <c r="G65" s="29" t="s">
        <v>390</v>
      </c>
      <c r="H65" s="15" t="s">
        <v>313</v>
      </c>
      <c r="I65" s="15" t="s">
        <v>214</v>
      </c>
      <c r="J65" s="15" t="s">
        <v>215</v>
      </c>
      <c r="K65" s="15" t="s">
        <v>314</v>
      </c>
      <c r="L65" s="15" t="s">
        <v>217</v>
      </c>
      <c r="M65" s="15" t="s">
        <v>220</v>
      </c>
      <c r="N65" s="15" t="s">
        <v>219</v>
      </c>
      <c r="O65" s="15" t="s">
        <v>219</v>
      </c>
      <c r="P65" s="15" t="s">
        <v>243</v>
      </c>
      <c r="Q65" s="15" t="s">
        <v>220</v>
      </c>
      <c r="R65" s="15" t="s">
        <v>219</v>
      </c>
      <c r="S65" s="15" t="s">
        <v>219</v>
      </c>
      <c r="T65" s="15" t="s">
        <v>218</v>
      </c>
      <c r="U65" s="15" t="s">
        <v>219</v>
      </c>
      <c r="V65" s="15" t="s">
        <v>219</v>
      </c>
      <c r="W65" s="15">
        <v>1</v>
      </c>
      <c r="X65" s="15" t="str">
        <f>_xlfn.XLOOKUP(tblMeasure[[#This Row],[id_src]],tblSource[id_src],tblSource[org])</f>
        <v>NHS Digital</v>
      </c>
      <c r="Y65" s="15" t="str">
        <f>_xlfn.XLOOKUP(tblMeasure[[#This Row],[id_src]],tblSource[id_src],tblSource[source])</f>
        <v>Adult Social Care Activity and Finance Report</v>
      </c>
      <c r="Z65" s="15" t="str">
        <f>_xlfn.XLOOKUP(tblMeasure[[#This Row],[id_src]],tblSource[id_src],tblSource[url_source])</f>
        <v>https://digital.nhs.uk/data-and-information/publications/statistical/adult-social-care-activity-and-finance-report/2018-19</v>
      </c>
      <c r="AA65" s="15">
        <f>_xlfn.XLOOKUP(tblMeasure[[#This Row],[id_src]],tblSource[id_src],tblSource[year_first_published])</f>
        <v>2016</v>
      </c>
      <c r="AB65" s="15">
        <f>_xlfn.XLOOKUP(tblMeasure[[#This Row],[id_src]],tblSource[id_src],tblSource[year_last_published])</f>
        <v>2019</v>
      </c>
      <c r="AC65" s="15" t="str">
        <f>_xlfn.XLOOKUP(tblMeasure[[#This Row],[id_src]],tblSource[id_src],tblSource[discontinuity])</f>
        <v>None</v>
      </c>
      <c r="AD65" s="15" t="str">
        <f>_xlfn.XLOOKUP(tblMeasure[[#This Row],[id_src]],tblSource[id_src],tblSource[publication_frequency])</f>
        <v>Annual</v>
      </c>
      <c r="AE65" s="15">
        <f>_xlfn.XLOOKUP(tblMeasure[[#This Row],[id_src]],tblSource[id_src],tblSource[publication_lag_months])</f>
        <v>7</v>
      </c>
      <c r="AF65" s="25" t="str">
        <f>_xlfn.XLOOKUP(tblMeasure[[#This Row],[id_src]],tblSource[id_src],tblSource[data_providers])</f>
        <v>LA</v>
      </c>
      <c r="AG65" s="25" t="str">
        <f>_xlfn.XLOOKUP(tblMeasure[[#This Row],[id_src]],tblSource[id_src],tblSource[statistic_class])</f>
        <v>National (ASC-FR) + Official (SALT)</v>
      </c>
      <c r="AH65" s="25" t="str">
        <f>_xlfn.XLOOKUP(tblMeasure[[#This Row],[id_src]],tblSource[id_src],tblSource[methodology_link])</f>
        <v>https://digital.nhs.uk/data-and-information/publications/statistical/adult-social-care-activity-and-finance-report/2018-19/data-quality-statement</v>
      </c>
      <c r="AI65" s="25" t="str">
        <f>_xlfn.XLOOKUP(tblMeasure[[#This Row],[id_src]],tblSource[id_src],tblSource[quality_issues])</f>
        <v>https://digital.nhs.uk/data-and-information/publications/statistical/adult-social-care-activity-and-finance-report/2018-19/data-quality-statement#accuracy-and-reliability</v>
      </c>
      <c r="AJ65" s="25">
        <f>VLOOKUP(tblMeasure[[#This Row],[msr_population_or_survey]],strlu_msr_population_or_survey,2,FALSE)</f>
        <v>1</v>
      </c>
      <c r="AK65" s="25">
        <f>VLOOKUP(tblMeasure[[#This Row],[msr_min_geo_resolution]],strlu_msr_min_geo_resolution,2,FALSE)</f>
        <v>1</v>
      </c>
      <c r="AL65" s="25">
        <f>(MAX(tblMeasure[[#This Row],[src_year_last_published]]-2010+1,0)+MIN(2010-tblMeasure[[#This Row],[src_year_first_published]],0)-MAX(tblMeasure[[#This Row],[src_year_last_published]]-2019,0))/10</f>
        <v>0.4</v>
      </c>
      <c r="AM65" s="25">
        <f>IF(OR(tblMeasure[[#This Row],[src_discontinuity]]="None",tblMeasure[[#This Row],[src_discontinuity]]=0),1,0)</f>
        <v>1</v>
      </c>
      <c r="AN65" s="25">
        <f>VLOOKUP(tblMeasure[[#This Row],[src_pub_frequency]],strlu_src_pub_frequency,2,FALSE)</f>
        <v>0.8</v>
      </c>
      <c r="AO65" s="25">
        <f>VLOOKUP(tblMeasure[[#This Row],[src_pub_lag_months]],strlu_src_pub_lag_months,2,FALSE)</f>
        <v>0.3</v>
      </c>
      <c r="AP65" s="25">
        <f>VLOOKUP(tblMeasure[[#This Row],[src_statistic_class]],strlu_src_statistic_class,2,FALSE)</f>
        <v>1</v>
      </c>
      <c r="AQ65" s="25">
        <f>IF(tblMeasure[[#This Row],[src_methodology_url]]="TBD",0,1)</f>
        <v>1</v>
      </c>
      <c r="AR65" s="25">
        <f>IF(tblMeasure[[#This Row],[src_quality_url]]="TBD",0,1)</f>
        <v>1</v>
      </c>
      <c r="AS65" s="85" cm="1">
        <f t="array" ref="AS65">SUMPRODUCT(TRANSPOSE(tblMeasure[[#This Row],[str_msr_population_or_survey]:[str_src_quality_url]]),str_weights)/str_weights_total</f>
        <v>0.82307692307692304</v>
      </c>
    </row>
    <row r="66" spans="1:45" x14ac:dyDescent="0.15">
      <c r="A66" s="30">
        <v>64</v>
      </c>
      <c r="B66" s="15">
        <f>COUNTIF(requirement_measure_map!$D$3:$D$1514,measure!A66)</f>
        <v>5</v>
      </c>
      <c r="C66" s="30" t="s">
        <v>315</v>
      </c>
      <c r="D66" s="15" t="s">
        <v>406</v>
      </c>
      <c r="E66" s="15" t="s">
        <v>411</v>
      </c>
      <c r="F66" s="15" t="s">
        <v>412</v>
      </c>
      <c r="G66" s="29" t="s">
        <v>390</v>
      </c>
      <c r="H66" s="15" t="s">
        <v>313</v>
      </c>
      <c r="I66" s="15" t="s">
        <v>214</v>
      </c>
      <c r="J66" s="15" t="s">
        <v>215</v>
      </c>
      <c r="K66" s="15" t="s">
        <v>314</v>
      </c>
      <c r="L66" s="15" t="s">
        <v>217</v>
      </c>
      <c r="M66" s="15" t="s">
        <v>220</v>
      </c>
      <c r="N66" s="15" t="s">
        <v>219</v>
      </c>
      <c r="O66" s="15" t="s">
        <v>219</v>
      </c>
      <c r="P66" s="15" t="s">
        <v>243</v>
      </c>
      <c r="Q66" s="15" t="s">
        <v>220</v>
      </c>
      <c r="R66" s="15" t="s">
        <v>219</v>
      </c>
      <c r="S66" s="15" t="s">
        <v>219</v>
      </c>
      <c r="T66" s="15" t="s">
        <v>218</v>
      </c>
      <c r="U66" s="15" t="s">
        <v>219</v>
      </c>
      <c r="V66" s="15" t="s">
        <v>219</v>
      </c>
      <c r="W66" s="15">
        <v>1</v>
      </c>
      <c r="X66" s="15" t="str">
        <f>_xlfn.XLOOKUP(tblMeasure[[#This Row],[id_src]],tblSource[id_src],tblSource[org])</f>
        <v>NHS Digital</v>
      </c>
      <c r="Y66" s="15" t="str">
        <f>_xlfn.XLOOKUP(tblMeasure[[#This Row],[id_src]],tblSource[id_src],tblSource[source])</f>
        <v>Adult Social Care Activity and Finance Report</v>
      </c>
      <c r="Z66" s="15" t="str">
        <f>_xlfn.XLOOKUP(tblMeasure[[#This Row],[id_src]],tblSource[id_src],tblSource[url_source])</f>
        <v>https://digital.nhs.uk/data-and-information/publications/statistical/adult-social-care-activity-and-finance-report/2018-19</v>
      </c>
      <c r="AA66" s="15">
        <f>_xlfn.XLOOKUP(tblMeasure[[#This Row],[id_src]],tblSource[id_src],tblSource[year_first_published])</f>
        <v>2016</v>
      </c>
      <c r="AB66" s="15">
        <f>_xlfn.XLOOKUP(tblMeasure[[#This Row],[id_src]],tblSource[id_src],tblSource[year_last_published])</f>
        <v>2019</v>
      </c>
      <c r="AC66" s="15" t="str">
        <f>_xlfn.XLOOKUP(tblMeasure[[#This Row],[id_src]],tblSource[id_src],tblSource[discontinuity])</f>
        <v>None</v>
      </c>
      <c r="AD66" s="15" t="str">
        <f>_xlfn.XLOOKUP(tblMeasure[[#This Row],[id_src]],tblSource[id_src],tblSource[publication_frequency])</f>
        <v>Annual</v>
      </c>
      <c r="AE66" s="15">
        <f>_xlfn.XLOOKUP(tblMeasure[[#This Row],[id_src]],tblSource[id_src],tblSource[publication_lag_months])</f>
        <v>7</v>
      </c>
      <c r="AF66" s="25" t="str">
        <f>_xlfn.XLOOKUP(tblMeasure[[#This Row],[id_src]],tblSource[id_src],tblSource[data_providers])</f>
        <v>LA</v>
      </c>
      <c r="AG66" s="25" t="str">
        <f>_xlfn.XLOOKUP(tblMeasure[[#This Row],[id_src]],tblSource[id_src],tblSource[statistic_class])</f>
        <v>National (ASC-FR) + Official (SALT)</v>
      </c>
      <c r="AH66" s="25" t="str">
        <f>_xlfn.XLOOKUP(tblMeasure[[#This Row],[id_src]],tblSource[id_src],tblSource[methodology_link])</f>
        <v>https://digital.nhs.uk/data-and-information/publications/statistical/adult-social-care-activity-and-finance-report/2018-19/data-quality-statement</v>
      </c>
      <c r="AI66" s="25" t="str">
        <f>_xlfn.XLOOKUP(tblMeasure[[#This Row],[id_src]],tblSource[id_src],tblSource[quality_issues])</f>
        <v>https://digital.nhs.uk/data-and-information/publications/statistical/adult-social-care-activity-and-finance-report/2018-19/data-quality-statement#accuracy-and-reliability</v>
      </c>
      <c r="AJ66" s="25">
        <f>VLOOKUP(tblMeasure[[#This Row],[msr_population_or_survey]],strlu_msr_population_or_survey,2,FALSE)</f>
        <v>1</v>
      </c>
      <c r="AK66" s="25">
        <f>VLOOKUP(tblMeasure[[#This Row],[msr_min_geo_resolution]],strlu_msr_min_geo_resolution,2,FALSE)</f>
        <v>1</v>
      </c>
      <c r="AL66" s="25">
        <f>(MAX(tblMeasure[[#This Row],[src_year_last_published]]-2010+1,0)+MIN(2010-tblMeasure[[#This Row],[src_year_first_published]],0)-MAX(tblMeasure[[#This Row],[src_year_last_published]]-2019,0))/10</f>
        <v>0.4</v>
      </c>
      <c r="AM66" s="25">
        <f>IF(OR(tblMeasure[[#This Row],[src_discontinuity]]="None",tblMeasure[[#This Row],[src_discontinuity]]=0),1,0)</f>
        <v>1</v>
      </c>
      <c r="AN66" s="25">
        <f>VLOOKUP(tblMeasure[[#This Row],[src_pub_frequency]],strlu_src_pub_frequency,2,FALSE)</f>
        <v>0.8</v>
      </c>
      <c r="AO66" s="25">
        <f>VLOOKUP(tblMeasure[[#This Row],[src_pub_lag_months]],strlu_src_pub_lag_months,2,FALSE)</f>
        <v>0.3</v>
      </c>
      <c r="AP66" s="25">
        <f>VLOOKUP(tblMeasure[[#This Row],[src_statistic_class]],strlu_src_statistic_class,2,FALSE)</f>
        <v>1</v>
      </c>
      <c r="AQ66" s="25">
        <f>IF(tblMeasure[[#This Row],[src_methodology_url]]="TBD",0,1)</f>
        <v>1</v>
      </c>
      <c r="AR66" s="25">
        <f>IF(tblMeasure[[#This Row],[src_quality_url]]="TBD",0,1)</f>
        <v>1</v>
      </c>
      <c r="AS66" s="85" cm="1">
        <f t="array" ref="AS66">SUMPRODUCT(TRANSPOSE(tblMeasure[[#This Row],[str_msr_population_or_survey]:[str_src_quality_url]]),str_weights)/str_weights_total</f>
        <v>0.82307692307692304</v>
      </c>
    </row>
    <row r="67" spans="1:45" hidden="1" x14ac:dyDescent="0.15">
      <c r="A67" s="30">
        <v>65</v>
      </c>
      <c r="B67" s="15">
        <f>COUNTIF(requirement_measure_map!$D$3:$D$1514,measure!A67)</f>
        <v>0</v>
      </c>
      <c r="C67" s="30" t="s">
        <v>293</v>
      </c>
      <c r="D67" s="15" t="s">
        <v>406</v>
      </c>
      <c r="E67" s="15" t="s">
        <v>413</v>
      </c>
      <c r="F67" s="15" t="s">
        <v>414</v>
      </c>
      <c r="G67" s="29" t="s">
        <v>390</v>
      </c>
      <c r="H67" s="15" t="s">
        <v>313</v>
      </c>
      <c r="I67" s="15" t="s">
        <v>214</v>
      </c>
      <c r="J67" s="15" t="s">
        <v>215</v>
      </c>
      <c r="K67" s="15" t="s">
        <v>232</v>
      </c>
      <c r="L67" s="15" t="s">
        <v>217</v>
      </c>
      <c r="M67" s="15" t="s">
        <v>219</v>
      </c>
      <c r="N67" s="15" t="s">
        <v>219</v>
      </c>
      <c r="O67" s="15" t="s">
        <v>219</v>
      </c>
      <c r="P67" s="15" t="s">
        <v>219</v>
      </c>
      <c r="Q67" s="15" t="s">
        <v>220</v>
      </c>
      <c r="R67" s="15" t="s">
        <v>219</v>
      </c>
      <c r="S67" s="15" t="s">
        <v>219</v>
      </c>
      <c r="T67" s="15" t="s">
        <v>220</v>
      </c>
      <c r="U67" s="15" t="s">
        <v>219</v>
      </c>
      <c r="V67" s="15" t="s">
        <v>219</v>
      </c>
      <c r="W67" s="15">
        <v>1</v>
      </c>
      <c r="X67" s="15" t="str">
        <f>_xlfn.XLOOKUP(tblMeasure[[#This Row],[id_src]],tblSource[id_src],tblSource[org])</f>
        <v>NHS Digital</v>
      </c>
      <c r="Y67" s="15" t="str">
        <f>_xlfn.XLOOKUP(tblMeasure[[#This Row],[id_src]],tblSource[id_src],tblSource[source])</f>
        <v>Adult Social Care Activity and Finance Report</v>
      </c>
      <c r="Z67" s="15" t="str">
        <f>_xlfn.XLOOKUP(tblMeasure[[#This Row],[id_src]],tblSource[id_src],tblSource[url_source])</f>
        <v>https://digital.nhs.uk/data-and-information/publications/statistical/adult-social-care-activity-and-finance-report/2018-19</v>
      </c>
      <c r="AA67" s="15">
        <f>_xlfn.XLOOKUP(tblMeasure[[#This Row],[id_src]],tblSource[id_src],tblSource[year_first_published])</f>
        <v>2016</v>
      </c>
      <c r="AB67" s="15">
        <f>_xlfn.XLOOKUP(tblMeasure[[#This Row],[id_src]],tblSource[id_src],tblSource[year_last_published])</f>
        <v>2019</v>
      </c>
      <c r="AC67" s="15" t="str">
        <f>_xlfn.XLOOKUP(tblMeasure[[#This Row],[id_src]],tblSource[id_src],tblSource[discontinuity])</f>
        <v>None</v>
      </c>
      <c r="AD67" s="15" t="str">
        <f>_xlfn.XLOOKUP(tblMeasure[[#This Row],[id_src]],tblSource[id_src],tblSource[publication_frequency])</f>
        <v>Annual</v>
      </c>
      <c r="AE67" s="15">
        <f>_xlfn.XLOOKUP(tblMeasure[[#This Row],[id_src]],tblSource[id_src],tblSource[publication_lag_months])</f>
        <v>7</v>
      </c>
      <c r="AF67" s="25" t="str">
        <f>_xlfn.XLOOKUP(tblMeasure[[#This Row],[id_src]],tblSource[id_src],tblSource[data_providers])</f>
        <v>LA</v>
      </c>
      <c r="AG67" s="25" t="str">
        <f>_xlfn.XLOOKUP(tblMeasure[[#This Row],[id_src]],tblSource[id_src],tblSource[statistic_class])</f>
        <v>National (ASC-FR) + Official (SALT)</v>
      </c>
      <c r="AH67" s="25" t="str">
        <f>_xlfn.XLOOKUP(tblMeasure[[#This Row],[id_src]],tblSource[id_src],tblSource[methodology_link])</f>
        <v>https://digital.nhs.uk/data-and-information/publications/statistical/adult-social-care-activity-and-finance-report/2018-19/data-quality-statement</v>
      </c>
      <c r="AI67" s="25" t="str">
        <f>_xlfn.XLOOKUP(tblMeasure[[#This Row],[id_src]],tblSource[id_src],tblSource[quality_issues])</f>
        <v>https://digital.nhs.uk/data-and-information/publications/statistical/adult-social-care-activity-and-finance-report/2018-19/data-quality-statement#accuracy-and-reliability</v>
      </c>
      <c r="AJ67" s="25">
        <f>VLOOKUP(tblMeasure[[#This Row],[msr_population_or_survey]],strlu_msr_population_or_survey,2,FALSE)</f>
        <v>1</v>
      </c>
      <c r="AK67" s="25">
        <f>VLOOKUP(tblMeasure[[#This Row],[msr_min_geo_resolution]],strlu_msr_min_geo_resolution,2,FALSE)</f>
        <v>1</v>
      </c>
      <c r="AL67" s="25">
        <f>(MAX(tblMeasure[[#This Row],[src_year_last_published]]-2010+1,0)+MIN(2010-tblMeasure[[#This Row],[src_year_first_published]],0)-MAX(tblMeasure[[#This Row],[src_year_last_published]]-2019,0))/10</f>
        <v>0.4</v>
      </c>
      <c r="AM67" s="25">
        <f>IF(OR(tblMeasure[[#This Row],[src_discontinuity]]="None",tblMeasure[[#This Row],[src_discontinuity]]=0),1,0)</f>
        <v>1</v>
      </c>
      <c r="AN67" s="25">
        <f>VLOOKUP(tblMeasure[[#This Row],[src_pub_frequency]],strlu_src_pub_frequency,2,FALSE)</f>
        <v>0.8</v>
      </c>
      <c r="AO67" s="25">
        <f>VLOOKUP(tblMeasure[[#This Row],[src_pub_lag_months]],strlu_src_pub_lag_months,2,FALSE)</f>
        <v>0.3</v>
      </c>
      <c r="AP67" s="25">
        <f>VLOOKUP(tblMeasure[[#This Row],[src_statistic_class]],strlu_src_statistic_class,2,FALSE)</f>
        <v>1</v>
      </c>
      <c r="AQ67" s="25">
        <f>IF(tblMeasure[[#This Row],[src_methodology_url]]="TBD",0,1)</f>
        <v>1</v>
      </c>
      <c r="AR67" s="25">
        <f>IF(tblMeasure[[#This Row],[src_quality_url]]="TBD",0,1)</f>
        <v>1</v>
      </c>
      <c r="AS67" s="85" cm="1">
        <f t="array" ref="AS67">SUMPRODUCT(TRANSPOSE(tblMeasure[[#This Row],[str_msr_population_or_survey]:[str_src_quality_url]]),str_weights)/str_weights_total</f>
        <v>0.82307692307692304</v>
      </c>
    </row>
    <row r="68" spans="1:45" hidden="1" x14ac:dyDescent="0.15">
      <c r="A68" s="30">
        <v>66</v>
      </c>
      <c r="B68" s="15">
        <f>COUNTIF(requirement_measure_map!$D$3:$D$1514,measure!A68)</f>
        <v>8</v>
      </c>
      <c r="C68" s="30" t="s">
        <v>315</v>
      </c>
      <c r="D68" s="15" t="s">
        <v>415</v>
      </c>
      <c r="E68" s="15" t="s">
        <v>416</v>
      </c>
      <c r="F68" s="15" t="s">
        <v>417</v>
      </c>
      <c r="G68" s="29" t="s">
        <v>390</v>
      </c>
      <c r="H68" s="15" t="s">
        <v>348</v>
      </c>
      <c r="I68" s="15" t="s">
        <v>214</v>
      </c>
      <c r="J68" s="15" t="s">
        <v>215</v>
      </c>
      <c r="K68" s="15" t="s">
        <v>232</v>
      </c>
      <c r="L68" s="15" t="s">
        <v>217</v>
      </c>
      <c r="M68" s="15" t="s">
        <v>220</v>
      </c>
      <c r="N68" s="15" t="s">
        <v>219</v>
      </c>
      <c r="O68" s="15" t="s">
        <v>219</v>
      </c>
      <c r="P68" s="15" t="s">
        <v>219</v>
      </c>
      <c r="Q68" s="15" t="s">
        <v>220</v>
      </c>
      <c r="R68" s="15" t="s">
        <v>219</v>
      </c>
      <c r="S68" s="15" t="s">
        <v>219</v>
      </c>
      <c r="T68" s="15" t="s">
        <v>220</v>
      </c>
      <c r="U68" s="15" t="s">
        <v>349</v>
      </c>
      <c r="V68" s="15" t="s">
        <v>219</v>
      </c>
      <c r="W68" s="15">
        <v>1</v>
      </c>
      <c r="X68" s="15" t="str">
        <f>_xlfn.XLOOKUP(tblMeasure[[#This Row],[id_src]],tblSource[id_src],tblSource[org])</f>
        <v>NHS Digital</v>
      </c>
      <c r="Y68" s="15" t="str">
        <f>_xlfn.XLOOKUP(tblMeasure[[#This Row],[id_src]],tblSource[id_src],tblSource[source])</f>
        <v>Adult Social Care Activity and Finance Report</v>
      </c>
      <c r="Z68" s="15" t="str">
        <f>_xlfn.XLOOKUP(tblMeasure[[#This Row],[id_src]],tblSource[id_src],tblSource[url_source])</f>
        <v>https://digital.nhs.uk/data-and-information/publications/statistical/adult-social-care-activity-and-finance-report/2018-19</v>
      </c>
      <c r="AA68" s="15">
        <f>_xlfn.XLOOKUP(tblMeasure[[#This Row],[id_src]],tblSource[id_src],tblSource[year_first_published])</f>
        <v>2016</v>
      </c>
      <c r="AB68" s="15">
        <f>_xlfn.XLOOKUP(tblMeasure[[#This Row],[id_src]],tblSource[id_src],tblSource[year_last_published])</f>
        <v>2019</v>
      </c>
      <c r="AC68" s="15" t="str">
        <f>_xlfn.XLOOKUP(tblMeasure[[#This Row],[id_src]],tblSource[id_src],tblSource[discontinuity])</f>
        <v>None</v>
      </c>
      <c r="AD68" s="15" t="str">
        <f>_xlfn.XLOOKUP(tblMeasure[[#This Row],[id_src]],tblSource[id_src],tblSource[publication_frequency])</f>
        <v>Annual</v>
      </c>
      <c r="AE68" s="15">
        <f>_xlfn.XLOOKUP(tblMeasure[[#This Row],[id_src]],tblSource[id_src],tblSource[publication_lag_months])</f>
        <v>7</v>
      </c>
      <c r="AF68" s="25" t="str">
        <f>_xlfn.XLOOKUP(tblMeasure[[#This Row],[id_src]],tblSource[id_src],tblSource[data_providers])</f>
        <v>LA</v>
      </c>
      <c r="AG68" s="25" t="str">
        <f>_xlfn.XLOOKUP(tblMeasure[[#This Row],[id_src]],tblSource[id_src],tblSource[statistic_class])</f>
        <v>National (ASC-FR) + Official (SALT)</v>
      </c>
      <c r="AH68" s="25" t="str">
        <f>_xlfn.XLOOKUP(tblMeasure[[#This Row],[id_src]],tblSource[id_src],tblSource[methodology_link])</f>
        <v>https://digital.nhs.uk/data-and-information/publications/statistical/adult-social-care-activity-and-finance-report/2018-19/data-quality-statement</v>
      </c>
      <c r="AI68" s="25" t="str">
        <f>_xlfn.XLOOKUP(tblMeasure[[#This Row],[id_src]],tblSource[id_src],tblSource[quality_issues])</f>
        <v>https://digital.nhs.uk/data-and-information/publications/statistical/adult-social-care-activity-and-finance-report/2018-19/data-quality-statement#accuracy-and-reliability</v>
      </c>
      <c r="AJ68" s="25">
        <f>VLOOKUP(tblMeasure[[#This Row],[msr_population_or_survey]],strlu_msr_population_or_survey,2,FALSE)</f>
        <v>1</v>
      </c>
      <c r="AK68" s="25">
        <f>VLOOKUP(tblMeasure[[#This Row],[msr_min_geo_resolution]],strlu_msr_min_geo_resolution,2,FALSE)</f>
        <v>1</v>
      </c>
      <c r="AL68" s="25">
        <f>(MAX(tblMeasure[[#This Row],[src_year_last_published]]-2010+1,0)+MIN(2010-tblMeasure[[#This Row],[src_year_first_published]],0)-MAX(tblMeasure[[#This Row],[src_year_last_published]]-2019,0))/10</f>
        <v>0.4</v>
      </c>
      <c r="AM68" s="25">
        <f>IF(OR(tblMeasure[[#This Row],[src_discontinuity]]="None",tblMeasure[[#This Row],[src_discontinuity]]=0),1,0)</f>
        <v>1</v>
      </c>
      <c r="AN68" s="25">
        <f>VLOOKUP(tblMeasure[[#This Row],[src_pub_frequency]],strlu_src_pub_frequency,2,FALSE)</f>
        <v>0.8</v>
      </c>
      <c r="AO68" s="25">
        <f>VLOOKUP(tblMeasure[[#This Row],[src_pub_lag_months]],strlu_src_pub_lag_months,2,FALSE)</f>
        <v>0.3</v>
      </c>
      <c r="AP68" s="25">
        <f>VLOOKUP(tblMeasure[[#This Row],[src_statistic_class]],strlu_src_statistic_class,2,FALSE)</f>
        <v>1</v>
      </c>
      <c r="AQ68" s="25">
        <f>IF(tblMeasure[[#This Row],[src_methodology_url]]="TBD",0,1)</f>
        <v>1</v>
      </c>
      <c r="AR68" s="25">
        <f>IF(tblMeasure[[#This Row],[src_quality_url]]="TBD",0,1)</f>
        <v>1</v>
      </c>
      <c r="AS68" s="85" cm="1">
        <f t="array" ref="AS68">SUMPRODUCT(TRANSPOSE(tblMeasure[[#This Row],[str_msr_population_or_survey]:[str_src_quality_url]]),str_weights)/str_weights_total</f>
        <v>0.82307692307692304</v>
      </c>
    </row>
    <row r="69" spans="1:45" hidden="1" x14ac:dyDescent="0.15">
      <c r="A69" s="30">
        <v>67</v>
      </c>
      <c r="B69" s="15">
        <f>COUNTIF(requirement_measure_map!$D$3:$D$1514,measure!A69)</f>
        <v>8</v>
      </c>
      <c r="C69" s="30" t="s">
        <v>315</v>
      </c>
      <c r="D69" s="15" t="s">
        <v>415</v>
      </c>
      <c r="E69" s="15" t="s">
        <v>418</v>
      </c>
      <c r="F69" s="15" t="s">
        <v>419</v>
      </c>
      <c r="G69" s="29" t="s">
        <v>390</v>
      </c>
      <c r="H69" s="15" t="s">
        <v>348</v>
      </c>
      <c r="I69" s="15" t="s">
        <v>214</v>
      </c>
      <c r="J69" s="15" t="s">
        <v>215</v>
      </c>
      <c r="K69" s="15" t="s">
        <v>232</v>
      </c>
      <c r="L69" s="15" t="s">
        <v>217</v>
      </c>
      <c r="M69" s="15" t="s">
        <v>220</v>
      </c>
      <c r="N69" s="15" t="s">
        <v>219</v>
      </c>
      <c r="O69" s="15" t="s">
        <v>219</v>
      </c>
      <c r="P69" s="15" t="s">
        <v>219</v>
      </c>
      <c r="Q69" s="15" t="s">
        <v>220</v>
      </c>
      <c r="R69" s="15" t="s">
        <v>219</v>
      </c>
      <c r="S69" s="15" t="s">
        <v>219</v>
      </c>
      <c r="T69" s="15" t="s">
        <v>220</v>
      </c>
      <c r="U69" s="15" t="s">
        <v>349</v>
      </c>
      <c r="V69" s="15" t="s">
        <v>219</v>
      </c>
      <c r="W69" s="15">
        <v>1</v>
      </c>
      <c r="X69" s="15" t="str">
        <f>_xlfn.XLOOKUP(tblMeasure[[#This Row],[id_src]],tblSource[id_src],tblSource[org])</f>
        <v>NHS Digital</v>
      </c>
      <c r="Y69" s="15" t="str">
        <f>_xlfn.XLOOKUP(tblMeasure[[#This Row],[id_src]],tblSource[id_src],tblSource[source])</f>
        <v>Adult Social Care Activity and Finance Report</v>
      </c>
      <c r="Z69" s="15" t="str">
        <f>_xlfn.XLOOKUP(tblMeasure[[#This Row],[id_src]],tblSource[id_src],tblSource[url_source])</f>
        <v>https://digital.nhs.uk/data-and-information/publications/statistical/adult-social-care-activity-and-finance-report/2018-19</v>
      </c>
      <c r="AA69" s="15">
        <f>_xlfn.XLOOKUP(tblMeasure[[#This Row],[id_src]],tblSource[id_src],tblSource[year_first_published])</f>
        <v>2016</v>
      </c>
      <c r="AB69" s="15">
        <f>_xlfn.XLOOKUP(tblMeasure[[#This Row],[id_src]],tblSource[id_src],tblSource[year_last_published])</f>
        <v>2019</v>
      </c>
      <c r="AC69" s="15" t="str">
        <f>_xlfn.XLOOKUP(tblMeasure[[#This Row],[id_src]],tblSource[id_src],tblSource[discontinuity])</f>
        <v>None</v>
      </c>
      <c r="AD69" s="15" t="str">
        <f>_xlfn.XLOOKUP(tblMeasure[[#This Row],[id_src]],tblSource[id_src],tblSource[publication_frequency])</f>
        <v>Annual</v>
      </c>
      <c r="AE69" s="15">
        <f>_xlfn.XLOOKUP(tblMeasure[[#This Row],[id_src]],tblSource[id_src],tblSource[publication_lag_months])</f>
        <v>7</v>
      </c>
      <c r="AF69" s="25" t="str">
        <f>_xlfn.XLOOKUP(tblMeasure[[#This Row],[id_src]],tblSource[id_src],tblSource[data_providers])</f>
        <v>LA</v>
      </c>
      <c r="AG69" s="25" t="str">
        <f>_xlfn.XLOOKUP(tblMeasure[[#This Row],[id_src]],tblSource[id_src],tblSource[statistic_class])</f>
        <v>National (ASC-FR) + Official (SALT)</v>
      </c>
      <c r="AH69" s="25" t="str">
        <f>_xlfn.XLOOKUP(tblMeasure[[#This Row],[id_src]],tblSource[id_src],tblSource[methodology_link])</f>
        <v>https://digital.nhs.uk/data-and-information/publications/statistical/adult-social-care-activity-and-finance-report/2018-19/data-quality-statement</v>
      </c>
      <c r="AI69" s="25" t="str">
        <f>_xlfn.XLOOKUP(tblMeasure[[#This Row],[id_src]],tblSource[id_src],tblSource[quality_issues])</f>
        <v>https://digital.nhs.uk/data-and-information/publications/statistical/adult-social-care-activity-and-finance-report/2018-19/data-quality-statement#accuracy-and-reliability</v>
      </c>
      <c r="AJ69" s="25">
        <f>VLOOKUP(tblMeasure[[#This Row],[msr_population_or_survey]],strlu_msr_population_or_survey,2,FALSE)</f>
        <v>1</v>
      </c>
      <c r="AK69" s="25">
        <f>VLOOKUP(tblMeasure[[#This Row],[msr_min_geo_resolution]],strlu_msr_min_geo_resolution,2,FALSE)</f>
        <v>1</v>
      </c>
      <c r="AL69" s="25">
        <f>(MAX(tblMeasure[[#This Row],[src_year_last_published]]-2010+1,0)+MIN(2010-tblMeasure[[#This Row],[src_year_first_published]],0)-MAX(tblMeasure[[#This Row],[src_year_last_published]]-2019,0))/10</f>
        <v>0.4</v>
      </c>
      <c r="AM69" s="25">
        <f>IF(OR(tblMeasure[[#This Row],[src_discontinuity]]="None",tblMeasure[[#This Row],[src_discontinuity]]=0),1,0)</f>
        <v>1</v>
      </c>
      <c r="AN69" s="25">
        <f>VLOOKUP(tblMeasure[[#This Row],[src_pub_frequency]],strlu_src_pub_frequency,2,FALSE)</f>
        <v>0.8</v>
      </c>
      <c r="AO69" s="25">
        <f>VLOOKUP(tblMeasure[[#This Row],[src_pub_lag_months]],strlu_src_pub_lag_months,2,FALSE)</f>
        <v>0.3</v>
      </c>
      <c r="AP69" s="25">
        <f>VLOOKUP(tblMeasure[[#This Row],[src_statistic_class]],strlu_src_statistic_class,2,FALSE)</f>
        <v>1</v>
      </c>
      <c r="AQ69" s="25">
        <f>IF(tblMeasure[[#This Row],[src_methodology_url]]="TBD",0,1)</f>
        <v>1</v>
      </c>
      <c r="AR69" s="25">
        <f>IF(tblMeasure[[#This Row],[src_quality_url]]="TBD",0,1)</f>
        <v>1</v>
      </c>
      <c r="AS69" s="85" cm="1">
        <f t="array" ref="AS69">SUMPRODUCT(TRANSPOSE(tblMeasure[[#This Row],[str_msr_population_or_survey]:[str_src_quality_url]]),str_weights)/str_weights_total</f>
        <v>0.82307692307692304</v>
      </c>
    </row>
    <row r="70" spans="1:45" x14ac:dyDescent="0.15">
      <c r="A70" s="30">
        <v>68</v>
      </c>
      <c r="B70" s="15">
        <f>COUNTIF(requirement_measure_map!$D$3:$D$1514,measure!A70)</f>
        <v>9</v>
      </c>
      <c r="C70" s="30" t="s">
        <v>315</v>
      </c>
      <c r="D70" s="15" t="s">
        <v>415</v>
      </c>
      <c r="E70" s="15" t="s">
        <v>420</v>
      </c>
      <c r="F70" s="15" t="s">
        <v>421</v>
      </c>
      <c r="G70" s="29" t="s">
        <v>390</v>
      </c>
      <c r="H70" s="15" t="s">
        <v>348</v>
      </c>
      <c r="I70" s="15" t="s">
        <v>214</v>
      </c>
      <c r="J70" s="15" t="s">
        <v>215</v>
      </c>
      <c r="K70" s="15" t="s">
        <v>232</v>
      </c>
      <c r="L70" s="15" t="s">
        <v>233</v>
      </c>
      <c r="M70" s="15" t="s">
        <v>218</v>
      </c>
      <c r="N70" s="15" t="s">
        <v>219</v>
      </c>
      <c r="O70" s="15" t="s">
        <v>219</v>
      </c>
      <c r="P70" s="15" t="s">
        <v>243</v>
      </c>
      <c r="Q70" s="15" t="s">
        <v>220</v>
      </c>
      <c r="R70" s="15" t="s">
        <v>219</v>
      </c>
      <c r="S70" s="15" t="s">
        <v>219</v>
      </c>
      <c r="T70" s="15" t="s">
        <v>220</v>
      </c>
      <c r="U70" s="15" t="s">
        <v>349</v>
      </c>
      <c r="V70" s="15" t="s">
        <v>219</v>
      </c>
      <c r="W70" s="15">
        <v>1</v>
      </c>
      <c r="X70" s="15" t="str">
        <f>_xlfn.XLOOKUP(tblMeasure[[#This Row],[id_src]],tblSource[id_src],tblSource[org])</f>
        <v>NHS Digital</v>
      </c>
      <c r="Y70" s="15" t="str">
        <f>_xlfn.XLOOKUP(tblMeasure[[#This Row],[id_src]],tblSource[id_src],tblSource[source])</f>
        <v>Adult Social Care Activity and Finance Report</v>
      </c>
      <c r="Z70" s="15" t="str">
        <f>_xlfn.XLOOKUP(tblMeasure[[#This Row],[id_src]],tblSource[id_src],tblSource[url_source])</f>
        <v>https://digital.nhs.uk/data-and-information/publications/statistical/adult-social-care-activity-and-finance-report/2018-19</v>
      </c>
      <c r="AA70" s="15">
        <f>_xlfn.XLOOKUP(tblMeasure[[#This Row],[id_src]],tblSource[id_src],tblSource[year_first_published])</f>
        <v>2016</v>
      </c>
      <c r="AB70" s="15">
        <f>_xlfn.XLOOKUP(tblMeasure[[#This Row],[id_src]],tblSource[id_src],tblSource[year_last_published])</f>
        <v>2019</v>
      </c>
      <c r="AC70" s="15" t="str">
        <f>_xlfn.XLOOKUP(tblMeasure[[#This Row],[id_src]],tblSource[id_src],tblSource[discontinuity])</f>
        <v>None</v>
      </c>
      <c r="AD70" s="15" t="str">
        <f>_xlfn.XLOOKUP(tblMeasure[[#This Row],[id_src]],tblSource[id_src],tblSource[publication_frequency])</f>
        <v>Annual</v>
      </c>
      <c r="AE70" s="15">
        <f>_xlfn.XLOOKUP(tblMeasure[[#This Row],[id_src]],tblSource[id_src],tblSource[publication_lag_months])</f>
        <v>7</v>
      </c>
      <c r="AF70" s="25" t="str">
        <f>_xlfn.XLOOKUP(tblMeasure[[#This Row],[id_src]],tblSource[id_src],tblSource[data_providers])</f>
        <v>LA</v>
      </c>
      <c r="AG70" s="25" t="str">
        <f>_xlfn.XLOOKUP(tblMeasure[[#This Row],[id_src]],tblSource[id_src],tblSource[statistic_class])</f>
        <v>National (ASC-FR) + Official (SALT)</v>
      </c>
      <c r="AH70" s="25" t="str">
        <f>_xlfn.XLOOKUP(tblMeasure[[#This Row],[id_src]],tblSource[id_src],tblSource[methodology_link])</f>
        <v>https://digital.nhs.uk/data-and-information/publications/statistical/adult-social-care-activity-and-finance-report/2018-19/data-quality-statement</v>
      </c>
      <c r="AI70" s="25" t="str">
        <f>_xlfn.XLOOKUP(tblMeasure[[#This Row],[id_src]],tblSource[id_src],tblSource[quality_issues])</f>
        <v>https://digital.nhs.uk/data-and-information/publications/statistical/adult-social-care-activity-and-finance-report/2018-19/data-quality-statement#accuracy-and-reliability</v>
      </c>
      <c r="AJ70" s="25">
        <f>VLOOKUP(tblMeasure[[#This Row],[msr_population_or_survey]],strlu_msr_population_or_survey,2,FALSE)</f>
        <v>1</v>
      </c>
      <c r="AK70" s="25">
        <f>VLOOKUP(tblMeasure[[#This Row],[msr_min_geo_resolution]],strlu_msr_min_geo_resolution,2,FALSE)</f>
        <v>0</v>
      </c>
      <c r="AL70" s="25">
        <f>(MAX(tblMeasure[[#This Row],[src_year_last_published]]-2010+1,0)+MIN(2010-tblMeasure[[#This Row],[src_year_first_published]],0)-MAX(tblMeasure[[#This Row],[src_year_last_published]]-2019,0))/10</f>
        <v>0.4</v>
      </c>
      <c r="AM70" s="25">
        <f>IF(OR(tblMeasure[[#This Row],[src_discontinuity]]="None",tblMeasure[[#This Row],[src_discontinuity]]=0),1,0)</f>
        <v>1</v>
      </c>
      <c r="AN70" s="25">
        <f>VLOOKUP(tblMeasure[[#This Row],[src_pub_frequency]],strlu_src_pub_frequency,2,FALSE)</f>
        <v>0.8</v>
      </c>
      <c r="AO70" s="25">
        <f>VLOOKUP(tblMeasure[[#This Row],[src_pub_lag_months]],strlu_src_pub_lag_months,2,FALSE)</f>
        <v>0.3</v>
      </c>
      <c r="AP70" s="25">
        <f>VLOOKUP(tblMeasure[[#This Row],[src_statistic_class]],strlu_src_statistic_class,2,FALSE)</f>
        <v>1</v>
      </c>
      <c r="AQ70" s="25">
        <f>IF(tblMeasure[[#This Row],[src_methodology_url]]="TBD",0,1)</f>
        <v>1</v>
      </c>
      <c r="AR70" s="25">
        <f>IF(tblMeasure[[#This Row],[src_quality_url]]="TBD",0,1)</f>
        <v>1</v>
      </c>
      <c r="AS70" s="85" cm="1">
        <f t="array" ref="AS70">SUMPRODUCT(TRANSPOSE(tblMeasure[[#This Row],[str_msr_population_or_survey]:[str_src_quality_url]]),str_weights)/str_weights_total</f>
        <v>0.66923076923076918</v>
      </c>
    </row>
    <row r="71" spans="1:45" x14ac:dyDescent="0.15">
      <c r="A71" s="30">
        <v>69</v>
      </c>
      <c r="B71" s="15">
        <f>COUNTIF(requirement_measure_map!$D$3:$D$1514,measure!A71)</f>
        <v>3</v>
      </c>
      <c r="C71" s="30" t="s">
        <v>315</v>
      </c>
      <c r="D71" s="15" t="s">
        <v>415</v>
      </c>
      <c r="E71" s="15" t="s">
        <v>422</v>
      </c>
      <c r="F71" s="15" t="s">
        <v>423</v>
      </c>
      <c r="G71" s="29" t="s">
        <v>390</v>
      </c>
      <c r="H71" s="15" t="s">
        <v>356</v>
      </c>
      <c r="I71" s="15" t="s">
        <v>214</v>
      </c>
      <c r="J71" s="15" t="s">
        <v>215</v>
      </c>
      <c r="K71" s="15" t="s">
        <v>232</v>
      </c>
      <c r="L71" s="15" t="s">
        <v>217</v>
      </c>
      <c r="M71" s="15" t="s">
        <v>219</v>
      </c>
      <c r="N71" s="15" t="s">
        <v>219</v>
      </c>
      <c r="O71" s="15" t="s">
        <v>219</v>
      </c>
      <c r="P71" s="15" t="s">
        <v>330</v>
      </c>
      <c r="Q71" s="15" t="s">
        <v>220</v>
      </c>
      <c r="R71" s="15" t="s">
        <v>219</v>
      </c>
      <c r="S71" s="15" t="s">
        <v>219</v>
      </c>
      <c r="T71" s="15" t="s">
        <v>220</v>
      </c>
      <c r="U71" s="15" t="s">
        <v>219</v>
      </c>
      <c r="V71" s="15" t="s">
        <v>219</v>
      </c>
      <c r="W71" s="15">
        <v>1</v>
      </c>
      <c r="X71" s="15" t="str">
        <f>_xlfn.XLOOKUP(tblMeasure[[#This Row],[id_src]],tblSource[id_src],tblSource[org])</f>
        <v>NHS Digital</v>
      </c>
      <c r="Y71" s="15" t="str">
        <f>_xlfn.XLOOKUP(tblMeasure[[#This Row],[id_src]],tblSource[id_src],tblSource[source])</f>
        <v>Adult Social Care Activity and Finance Report</v>
      </c>
      <c r="Z71" s="15" t="str">
        <f>_xlfn.XLOOKUP(tblMeasure[[#This Row],[id_src]],tblSource[id_src],tblSource[url_source])</f>
        <v>https://digital.nhs.uk/data-and-information/publications/statistical/adult-social-care-activity-and-finance-report/2018-19</v>
      </c>
      <c r="AA71" s="15">
        <f>_xlfn.XLOOKUP(tblMeasure[[#This Row],[id_src]],tblSource[id_src],tblSource[year_first_published])</f>
        <v>2016</v>
      </c>
      <c r="AB71" s="15">
        <f>_xlfn.XLOOKUP(tblMeasure[[#This Row],[id_src]],tblSource[id_src],tblSource[year_last_published])</f>
        <v>2019</v>
      </c>
      <c r="AC71" s="15" t="str">
        <f>_xlfn.XLOOKUP(tblMeasure[[#This Row],[id_src]],tblSource[id_src],tblSource[discontinuity])</f>
        <v>None</v>
      </c>
      <c r="AD71" s="15" t="str">
        <f>_xlfn.XLOOKUP(tblMeasure[[#This Row],[id_src]],tblSource[id_src],tblSource[publication_frequency])</f>
        <v>Annual</v>
      </c>
      <c r="AE71" s="15">
        <f>_xlfn.XLOOKUP(tblMeasure[[#This Row],[id_src]],tblSource[id_src],tblSource[publication_lag_months])</f>
        <v>7</v>
      </c>
      <c r="AF71" s="25" t="str">
        <f>_xlfn.XLOOKUP(tblMeasure[[#This Row],[id_src]],tblSource[id_src],tblSource[data_providers])</f>
        <v>LA</v>
      </c>
      <c r="AG71" s="25" t="str">
        <f>_xlfn.XLOOKUP(tblMeasure[[#This Row],[id_src]],tblSource[id_src],tblSource[statistic_class])</f>
        <v>National (ASC-FR) + Official (SALT)</v>
      </c>
      <c r="AH71" s="25" t="str">
        <f>_xlfn.XLOOKUP(tblMeasure[[#This Row],[id_src]],tblSource[id_src],tblSource[methodology_link])</f>
        <v>https://digital.nhs.uk/data-and-information/publications/statistical/adult-social-care-activity-and-finance-report/2018-19/data-quality-statement</v>
      </c>
      <c r="AI71" s="25" t="str">
        <f>_xlfn.XLOOKUP(tblMeasure[[#This Row],[id_src]],tblSource[id_src],tblSource[quality_issues])</f>
        <v>https://digital.nhs.uk/data-and-information/publications/statistical/adult-social-care-activity-and-finance-report/2018-19/data-quality-statement#accuracy-and-reliability</v>
      </c>
      <c r="AJ71" s="25">
        <f>VLOOKUP(tblMeasure[[#This Row],[msr_population_or_survey]],strlu_msr_population_or_survey,2,FALSE)</f>
        <v>1</v>
      </c>
      <c r="AK71" s="25">
        <f>VLOOKUP(tblMeasure[[#This Row],[msr_min_geo_resolution]],strlu_msr_min_geo_resolution,2,FALSE)</f>
        <v>1</v>
      </c>
      <c r="AL71" s="25">
        <f>(MAX(tblMeasure[[#This Row],[src_year_last_published]]-2010+1,0)+MIN(2010-tblMeasure[[#This Row],[src_year_first_published]],0)-MAX(tblMeasure[[#This Row],[src_year_last_published]]-2019,0))/10</f>
        <v>0.4</v>
      </c>
      <c r="AM71" s="25">
        <f>IF(OR(tblMeasure[[#This Row],[src_discontinuity]]="None",tblMeasure[[#This Row],[src_discontinuity]]=0),1,0)</f>
        <v>1</v>
      </c>
      <c r="AN71" s="25">
        <f>VLOOKUP(tblMeasure[[#This Row],[src_pub_frequency]],strlu_src_pub_frequency,2,FALSE)</f>
        <v>0.8</v>
      </c>
      <c r="AO71" s="25">
        <f>VLOOKUP(tblMeasure[[#This Row],[src_pub_lag_months]],strlu_src_pub_lag_months,2,FALSE)</f>
        <v>0.3</v>
      </c>
      <c r="AP71" s="25">
        <f>VLOOKUP(tblMeasure[[#This Row],[src_statistic_class]],strlu_src_statistic_class,2,FALSE)</f>
        <v>1</v>
      </c>
      <c r="AQ71" s="25">
        <f>IF(tblMeasure[[#This Row],[src_methodology_url]]="TBD",0,1)</f>
        <v>1</v>
      </c>
      <c r="AR71" s="25">
        <f>IF(tblMeasure[[#This Row],[src_quality_url]]="TBD",0,1)</f>
        <v>1</v>
      </c>
      <c r="AS71" s="85" cm="1">
        <f t="array" ref="AS71">SUMPRODUCT(TRANSPOSE(tblMeasure[[#This Row],[str_msr_population_or_survey]:[str_src_quality_url]]),str_weights)/str_weights_total</f>
        <v>0.82307692307692304</v>
      </c>
    </row>
    <row r="72" spans="1:45" hidden="1" x14ac:dyDescent="0.15">
      <c r="A72" s="30">
        <v>70</v>
      </c>
      <c r="B72" s="15">
        <f>COUNTIF(requirement_measure_map!$D$3:$D$1514,measure!A72)</f>
        <v>3</v>
      </c>
      <c r="C72" s="30" t="s">
        <v>315</v>
      </c>
      <c r="D72" s="15" t="s">
        <v>424</v>
      </c>
      <c r="E72" s="15" t="s">
        <v>425</v>
      </c>
      <c r="F72" s="15" t="s">
        <v>426</v>
      </c>
      <c r="G72" s="29" t="s">
        <v>427</v>
      </c>
      <c r="H72" s="15" t="s">
        <v>428</v>
      </c>
      <c r="I72" s="15" t="s">
        <v>429</v>
      </c>
      <c r="J72" s="15" t="s">
        <v>430</v>
      </c>
      <c r="K72" s="15" t="s">
        <v>431</v>
      </c>
      <c r="L72" s="15" t="s">
        <v>217</v>
      </c>
      <c r="M72" s="15" t="s">
        <v>218</v>
      </c>
      <c r="N72" s="15" t="s">
        <v>220</v>
      </c>
      <c r="O72" s="15" t="s">
        <v>219</v>
      </c>
      <c r="P72" s="15" t="s">
        <v>219</v>
      </c>
      <c r="Q72" s="15" t="s">
        <v>219</v>
      </c>
      <c r="R72" s="15" t="s">
        <v>219</v>
      </c>
      <c r="S72" s="15" t="s">
        <v>219</v>
      </c>
      <c r="T72" s="15" t="s">
        <v>219</v>
      </c>
      <c r="U72" s="15" t="s">
        <v>219</v>
      </c>
      <c r="V72" s="15" t="s">
        <v>219</v>
      </c>
      <c r="W72" s="15">
        <v>2</v>
      </c>
      <c r="X72" s="15" t="str">
        <f>_xlfn.XLOOKUP(tblMeasure[[#This Row],[id_src]],tblSource[id_src],tblSource[org])</f>
        <v>NHS Digital</v>
      </c>
      <c r="Y72" s="15" t="str">
        <f>_xlfn.XLOOKUP(tblMeasure[[#This Row],[id_src]],tblSource[id_src],tblSource[source])</f>
        <v>ASCOF</v>
      </c>
      <c r="Z72" s="15" t="str">
        <f>_xlfn.XLOOKUP(tblMeasure[[#This Row],[id_src]],tblSource[id_src],tblSource[url_source])</f>
        <v>https://digital.nhs.uk/data-and-information/publications/statistical/adult-social-care-outcomes-framework-ascof</v>
      </c>
      <c r="AA72" s="15">
        <f>_xlfn.XLOOKUP(tblMeasure[[#This Row],[id_src]],tblSource[id_src],tblSource[year_first_published])</f>
        <v>2012</v>
      </c>
      <c r="AB72" s="15">
        <f>_xlfn.XLOOKUP(tblMeasure[[#This Row],[id_src]],tblSource[id_src],tblSource[year_last_published])</f>
        <v>2019</v>
      </c>
      <c r="AC72" s="15" t="str">
        <f>_xlfn.XLOOKUP(tblMeasure[[#This Row],[id_src]],tblSource[id_src],tblSource[discontinuity])</f>
        <v>At least one measure impact each year since 2012</v>
      </c>
      <c r="AD72" s="15" t="str">
        <f>_xlfn.XLOOKUP(tblMeasure[[#This Row],[id_src]],tblSource[id_src],tblSource[publication_frequency])</f>
        <v>Annual</v>
      </c>
      <c r="AE72" s="15">
        <f>_xlfn.XLOOKUP(tblMeasure[[#This Row],[id_src]],tblSource[id_src],tblSource[publication_lag_months])</f>
        <v>7</v>
      </c>
      <c r="AF72" s="25" t="str">
        <f>_xlfn.XLOOKUP(tblMeasure[[#This Row],[id_src]],tblSource[id_src],tblSource[data_providers])</f>
        <v>See trace</v>
      </c>
      <c r="AG72" s="25" t="str">
        <f>_xlfn.XLOOKUP(tblMeasure[[#This Row],[id_src]],tblSource[id_src],tblSource[statistic_class])</f>
        <v>Official</v>
      </c>
      <c r="AH72" s="25" t="str">
        <f>_xlfn.XLOOKUP(tblMeasure[[#This Row],[id_src]],tblSource[id_src],tblSource[methodology_link])</f>
        <v>https://files.digital.nhs.uk/19/C45DF7/meas-from-asc-of-eng-1819-Appendices.pdf</v>
      </c>
      <c r="AI72" s="25" t="str">
        <f>_xlfn.XLOOKUP(tblMeasure[[#This Row],[id_src]],tblSource[id_src],tblSource[quality_issues])</f>
        <v>https://files.digital.nhs.uk/19/C45DF7/meas-from-asc-of-eng-1819-Appendices.pdf</v>
      </c>
      <c r="AJ72" s="25">
        <f>VLOOKUP(tblMeasure[[#This Row],[msr_population_or_survey]],strlu_msr_population_or_survey,2,FALSE)</f>
        <v>0</v>
      </c>
      <c r="AK72" s="25">
        <f>VLOOKUP(tblMeasure[[#This Row],[msr_min_geo_resolution]],strlu_msr_min_geo_resolution,2,FALSE)</f>
        <v>1</v>
      </c>
      <c r="AL72" s="25">
        <f>(MAX(tblMeasure[[#This Row],[src_year_last_published]]-2010+1,0)+MIN(2010-tblMeasure[[#This Row],[src_year_first_published]],0)-MAX(tblMeasure[[#This Row],[src_year_last_published]]-2019,0))/10</f>
        <v>0.8</v>
      </c>
      <c r="AM72" s="25">
        <f>IF(OR(tblMeasure[[#This Row],[src_discontinuity]]="None",tblMeasure[[#This Row],[src_discontinuity]]=0),1,0)</f>
        <v>0</v>
      </c>
      <c r="AN72" s="25">
        <f>VLOOKUP(tblMeasure[[#This Row],[src_pub_frequency]],strlu_src_pub_frequency,2,FALSE)</f>
        <v>0.8</v>
      </c>
      <c r="AO72" s="25">
        <f>VLOOKUP(tblMeasure[[#This Row],[src_pub_lag_months]],strlu_src_pub_lag_months,2,FALSE)</f>
        <v>0.3</v>
      </c>
      <c r="AP72" s="25">
        <f>VLOOKUP(tblMeasure[[#This Row],[src_statistic_class]],strlu_src_statistic_class,2,FALSE)</f>
        <v>1</v>
      </c>
      <c r="AQ72" s="25">
        <f>IF(tblMeasure[[#This Row],[src_methodology_url]]="TBD",0,1)</f>
        <v>1</v>
      </c>
      <c r="AR72" s="25">
        <f>IF(tblMeasure[[#This Row],[src_quality_url]]="TBD",0,1)</f>
        <v>1</v>
      </c>
      <c r="AS72" s="85" cm="1">
        <f t="array" ref="AS72">SUMPRODUCT(TRANSPOSE(tblMeasure[[#This Row],[str_msr_population_or_survey]:[str_src_quality_url]]),str_weights)/str_weights_total</f>
        <v>0.65384615384615385</v>
      </c>
    </row>
    <row r="73" spans="1:45" hidden="1" x14ac:dyDescent="0.15">
      <c r="A73" s="30">
        <v>71</v>
      </c>
      <c r="B73" s="15">
        <f>COUNTIF(requirement_measure_map!$D$3:$D$1514,measure!A73)</f>
        <v>3</v>
      </c>
      <c r="C73" s="30" t="s">
        <v>315</v>
      </c>
      <c r="D73" s="15" t="s">
        <v>424</v>
      </c>
      <c r="E73" s="15" t="s">
        <v>432</v>
      </c>
      <c r="F73" s="15" t="s">
        <v>433</v>
      </c>
      <c r="G73" s="29" t="s">
        <v>427</v>
      </c>
      <c r="H73" s="15" t="s">
        <v>428</v>
      </c>
      <c r="I73" s="15" t="s">
        <v>429</v>
      </c>
      <c r="J73" s="15" t="s">
        <v>430</v>
      </c>
      <c r="K73" s="15" t="s">
        <v>434</v>
      </c>
      <c r="L73" s="15" t="s">
        <v>217</v>
      </c>
      <c r="M73" s="15" t="s">
        <v>218</v>
      </c>
      <c r="N73" s="15" t="s">
        <v>220</v>
      </c>
      <c r="O73" s="15" t="s">
        <v>219</v>
      </c>
      <c r="P73" s="15" t="s">
        <v>219</v>
      </c>
      <c r="Q73" s="15" t="s">
        <v>219</v>
      </c>
      <c r="R73" s="15" t="s">
        <v>219</v>
      </c>
      <c r="S73" s="15" t="s">
        <v>219</v>
      </c>
      <c r="T73" s="15" t="s">
        <v>219</v>
      </c>
      <c r="U73" s="15" t="s">
        <v>219</v>
      </c>
      <c r="V73" s="15" t="s">
        <v>219</v>
      </c>
      <c r="W73" s="15">
        <v>2</v>
      </c>
      <c r="X73" s="15" t="str">
        <f>_xlfn.XLOOKUP(tblMeasure[[#This Row],[id_src]],tblSource[id_src],tblSource[org])</f>
        <v>NHS Digital</v>
      </c>
      <c r="Y73" s="15" t="str">
        <f>_xlfn.XLOOKUP(tblMeasure[[#This Row],[id_src]],tblSource[id_src],tblSource[source])</f>
        <v>ASCOF</v>
      </c>
      <c r="Z73" s="15" t="str">
        <f>_xlfn.XLOOKUP(tblMeasure[[#This Row],[id_src]],tblSource[id_src],tblSource[url_source])</f>
        <v>https://digital.nhs.uk/data-and-information/publications/statistical/adult-social-care-outcomes-framework-ascof</v>
      </c>
      <c r="AA73" s="15">
        <f>_xlfn.XLOOKUP(tblMeasure[[#This Row],[id_src]],tblSource[id_src],tblSource[year_first_published])</f>
        <v>2012</v>
      </c>
      <c r="AB73" s="15">
        <f>_xlfn.XLOOKUP(tblMeasure[[#This Row],[id_src]],tblSource[id_src],tblSource[year_last_published])</f>
        <v>2019</v>
      </c>
      <c r="AC73" s="15" t="str">
        <f>_xlfn.XLOOKUP(tblMeasure[[#This Row],[id_src]],tblSource[id_src],tblSource[discontinuity])</f>
        <v>At least one measure impact each year since 2012</v>
      </c>
      <c r="AD73" s="15" t="str">
        <f>_xlfn.XLOOKUP(tblMeasure[[#This Row],[id_src]],tblSource[id_src],tblSource[publication_frequency])</f>
        <v>Annual</v>
      </c>
      <c r="AE73" s="15">
        <f>_xlfn.XLOOKUP(tblMeasure[[#This Row],[id_src]],tblSource[id_src],tblSource[publication_lag_months])</f>
        <v>7</v>
      </c>
      <c r="AF73" s="25" t="str">
        <f>_xlfn.XLOOKUP(tblMeasure[[#This Row],[id_src]],tblSource[id_src],tblSource[data_providers])</f>
        <v>See trace</v>
      </c>
      <c r="AG73" s="25" t="str">
        <f>_xlfn.XLOOKUP(tblMeasure[[#This Row],[id_src]],tblSource[id_src],tblSource[statistic_class])</f>
        <v>Official</v>
      </c>
      <c r="AH73" s="25" t="str">
        <f>_xlfn.XLOOKUP(tblMeasure[[#This Row],[id_src]],tblSource[id_src],tblSource[methodology_link])</f>
        <v>https://files.digital.nhs.uk/19/C45DF7/meas-from-asc-of-eng-1819-Appendices.pdf</v>
      </c>
      <c r="AI73" s="25" t="str">
        <f>_xlfn.XLOOKUP(tblMeasure[[#This Row],[id_src]],tblSource[id_src],tblSource[quality_issues])</f>
        <v>https://files.digital.nhs.uk/19/C45DF7/meas-from-asc-of-eng-1819-Appendices.pdf</v>
      </c>
      <c r="AJ73" s="25">
        <f>VLOOKUP(tblMeasure[[#This Row],[msr_population_or_survey]],strlu_msr_population_or_survey,2,FALSE)</f>
        <v>0</v>
      </c>
      <c r="AK73" s="25">
        <f>VLOOKUP(tblMeasure[[#This Row],[msr_min_geo_resolution]],strlu_msr_min_geo_resolution,2,FALSE)</f>
        <v>1</v>
      </c>
      <c r="AL73" s="25">
        <f>(MAX(tblMeasure[[#This Row],[src_year_last_published]]-2010+1,0)+MIN(2010-tblMeasure[[#This Row],[src_year_first_published]],0)-MAX(tblMeasure[[#This Row],[src_year_last_published]]-2019,0))/10</f>
        <v>0.8</v>
      </c>
      <c r="AM73" s="25">
        <f>IF(OR(tblMeasure[[#This Row],[src_discontinuity]]="None",tblMeasure[[#This Row],[src_discontinuity]]=0),1,0)</f>
        <v>0</v>
      </c>
      <c r="AN73" s="25">
        <f>VLOOKUP(tblMeasure[[#This Row],[src_pub_frequency]],strlu_src_pub_frequency,2,FALSE)</f>
        <v>0.8</v>
      </c>
      <c r="AO73" s="25">
        <f>VLOOKUP(tblMeasure[[#This Row],[src_pub_lag_months]],strlu_src_pub_lag_months,2,FALSE)</f>
        <v>0.3</v>
      </c>
      <c r="AP73" s="25">
        <f>VLOOKUP(tblMeasure[[#This Row],[src_statistic_class]],strlu_src_statistic_class,2,FALSE)</f>
        <v>1</v>
      </c>
      <c r="AQ73" s="25">
        <f>IF(tblMeasure[[#This Row],[src_methodology_url]]="TBD",0,1)</f>
        <v>1</v>
      </c>
      <c r="AR73" s="25">
        <f>IF(tblMeasure[[#This Row],[src_quality_url]]="TBD",0,1)</f>
        <v>1</v>
      </c>
      <c r="AS73" s="85" cm="1">
        <f t="array" ref="AS73">SUMPRODUCT(TRANSPOSE(tblMeasure[[#This Row],[str_msr_population_or_survey]:[str_src_quality_url]]),str_weights)/str_weights_total</f>
        <v>0.65384615384615385</v>
      </c>
    </row>
    <row r="74" spans="1:45" hidden="1" x14ac:dyDescent="0.15">
      <c r="A74" s="30">
        <v>72</v>
      </c>
      <c r="B74" s="15">
        <f>COUNTIF(requirement_measure_map!$D$3:$D$1514,measure!A74)</f>
        <v>2</v>
      </c>
      <c r="C74" s="30" t="s">
        <v>315</v>
      </c>
      <c r="D74" s="15" t="s">
        <v>424</v>
      </c>
      <c r="E74" s="15" t="s">
        <v>435</v>
      </c>
      <c r="F74" s="15" t="s">
        <v>436</v>
      </c>
      <c r="G74" s="29" t="s">
        <v>427</v>
      </c>
      <c r="H74" s="15" t="s">
        <v>224</v>
      </c>
      <c r="I74" s="15" t="s">
        <v>214</v>
      </c>
      <c r="J74" s="15" t="s">
        <v>215</v>
      </c>
      <c r="K74" s="15" t="s">
        <v>437</v>
      </c>
      <c r="L74" s="15" t="s">
        <v>217</v>
      </c>
      <c r="M74" s="15" t="s">
        <v>218</v>
      </c>
      <c r="N74" s="15" t="s">
        <v>219</v>
      </c>
      <c r="O74" s="15" t="s">
        <v>219</v>
      </c>
      <c r="P74" s="15" t="s">
        <v>219</v>
      </c>
      <c r="Q74" s="15" t="s">
        <v>219</v>
      </c>
      <c r="R74" s="15" t="s">
        <v>219</v>
      </c>
      <c r="S74" s="15" t="s">
        <v>219</v>
      </c>
      <c r="T74" s="15" t="s">
        <v>219</v>
      </c>
      <c r="U74" s="15" t="s">
        <v>219</v>
      </c>
      <c r="V74" s="15" t="s">
        <v>219</v>
      </c>
      <c r="W74" s="15">
        <v>2</v>
      </c>
      <c r="X74" s="15" t="str">
        <f>_xlfn.XLOOKUP(tblMeasure[[#This Row],[id_src]],tblSource[id_src],tblSource[org])</f>
        <v>NHS Digital</v>
      </c>
      <c r="Y74" s="15" t="str">
        <f>_xlfn.XLOOKUP(tblMeasure[[#This Row],[id_src]],tblSource[id_src],tblSource[source])</f>
        <v>ASCOF</v>
      </c>
      <c r="Z74" s="15" t="str">
        <f>_xlfn.XLOOKUP(tblMeasure[[#This Row],[id_src]],tblSource[id_src],tblSource[url_source])</f>
        <v>https://digital.nhs.uk/data-and-information/publications/statistical/adult-social-care-outcomes-framework-ascof</v>
      </c>
      <c r="AA74" s="15">
        <f>_xlfn.XLOOKUP(tblMeasure[[#This Row],[id_src]],tblSource[id_src],tblSource[year_first_published])</f>
        <v>2012</v>
      </c>
      <c r="AB74" s="15">
        <f>_xlfn.XLOOKUP(tblMeasure[[#This Row],[id_src]],tblSource[id_src],tblSource[year_last_published])</f>
        <v>2019</v>
      </c>
      <c r="AC74" s="15" t="str">
        <f>_xlfn.XLOOKUP(tblMeasure[[#This Row],[id_src]],tblSource[id_src],tblSource[discontinuity])</f>
        <v>At least one measure impact each year since 2012</v>
      </c>
      <c r="AD74" s="15" t="str">
        <f>_xlfn.XLOOKUP(tblMeasure[[#This Row],[id_src]],tblSource[id_src],tblSource[publication_frequency])</f>
        <v>Annual</v>
      </c>
      <c r="AE74" s="15">
        <f>_xlfn.XLOOKUP(tblMeasure[[#This Row],[id_src]],tblSource[id_src],tblSource[publication_lag_months])</f>
        <v>7</v>
      </c>
      <c r="AF74" s="25" t="str">
        <f>_xlfn.XLOOKUP(tblMeasure[[#This Row],[id_src]],tblSource[id_src],tblSource[data_providers])</f>
        <v>See trace</v>
      </c>
      <c r="AG74" s="25" t="str">
        <f>_xlfn.XLOOKUP(tblMeasure[[#This Row],[id_src]],tblSource[id_src],tblSource[statistic_class])</f>
        <v>Official</v>
      </c>
      <c r="AH74" s="25" t="str">
        <f>_xlfn.XLOOKUP(tblMeasure[[#This Row],[id_src]],tblSource[id_src],tblSource[methodology_link])</f>
        <v>https://files.digital.nhs.uk/19/C45DF7/meas-from-asc-of-eng-1819-Appendices.pdf</v>
      </c>
      <c r="AI74" s="25" t="str">
        <f>_xlfn.XLOOKUP(tblMeasure[[#This Row],[id_src]],tblSource[id_src],tblSource[quality_issues])</f>
        <v>https://files.digital.nhs.uk/19/C45DF7/meas-from-asc-of-eng-1819-Appendices.pdf</v>
      </c>
      <c r="AJ74" s="25">
        <f>VLOOKUP(tblMeasure[[#This Row],[msr_population_or_survey]],strlu_msr_population_or_survey,2,FALSE)</f>
        <v>1</v>
      </c>
      <c r="AK74" s="25">
        <f>VLOOKUP(tblMeasure[[#This Row],[msr_min_geo_resolution]],strlu_msr_min_geo_resolution,2,FALSE)</f>
        <v>1</v>
      </c>
      <c r="AL74" s="25">
        <f>(MAX(tblMeasure[[#This Row],[src_year_last_published]]-2010+1,0)+MIN(2010-tblMeasure[[#This Row],[src_year_first_published]],0)-MAX(tblMeasure[[#This Row],[src_year_last_published]]-2019,0))/10</f>
        <v>0.8</v>
      </c>
      <c r="AM74" s="25">
        <f>IF(OR(tblMeasure[[#This Row],[src_discontinuity]]="None",tblMeasure[[#This Row],[src_discontinuity]]=0),1,0)</f>
        <v>0</v>
      </c>
      <c r="AN74" s="25">
        <f>VLOOKUP(tblMeasure[[#This Row],[src_pub_frequency]],strlu_src_pub_frequency,2,FALSE)</f>
        <v>0.8</v>
      </c>
      <c r="AO74" s="25">
        <f>VLOOKUP(tblMeasure[[#This Row],[src_pub_lag_months]],strlu_src_pub_lag_months,2,FALSE)</f>
        <v>0.3</v>
      </c>
      <c r="AP74" s="25">
        <f>VLOOKUP(tblMeasure[[#This Row],[src_statistic_class]],strlu_src_statistic_class,2,FALSE)</f>
        <v>1</v>
      </c>
      <c r="AQ74" s="25">
        <f>IF(tblMeasure[[#This Row],[src_methodology_url]]="TBD",0,1)</f>
        <v>1</v>
      </c>
      <c r="AR74" s="25">
        <f>IF(tblMeasure[[#This Row],[src_quality_url]]="TBD",0,1)</f>
        <v>1</v>
      </c>
      <c r="AS74" s="85" cm="1">
        <f t="array" ref="AS74">SUMPRODUCT(TRANSPOSE(tblMeasure[[#This Row],[str_msr_population_or_survey]:[str_src_quality_url]]),str_weights)/str_weights_total</f>
        <v>0.80769230769230771</v>
      </c>
    </row>
    <row r="75" spans="1:45" hidden="1" x14ac:dyDescent="0.15">
      <c r="A75" s="30">
        <v>73</v>
      </c>
      <c r="B75" s="15">
        <f>COUNTIF(requirement_measure_map!$D$3:$D$1514,measure!A75)</f>
        <v>3</v>
      </c>
      <c r="C75" s="30" t="s">
        <v>315</v>
      </c>
      <c r="D75" s="15" t="s">
        <v>424</v>
      </c>
      <c r="E75" s="15" t="s">
        <v>438</v>
      </c>
      <c r="F75" s="15" t="s">
        <v>439</v>
      </c>
      <c r="G75" s="29" t="s">
        <v>427</v>
      </c>
      <c r="H75" s="15" t="s">
        <v>224</v>
      </c>
      <c r="I75" s="15" t="s">
        <v>214</v>
      </c>
      <c r="J75" s="15" t="s">
        <v>215</v>
      </c>
      <c r="K75" s="15" t="s">
        <v>440</v>
      </c>
      <c r="L75" s="15" t="s">
        <v>217</v>
      </c>
      <c r="M75" s="15" t="s">
        <v>219</v>
      </c>
      <c r="N75" s="15" t="s">
        <v>219</v>
      </c>
      <c r="O75" s="15" t="s">
        <v>219</v>
      </c>
      <c r="P75" s="15" t="s">
        <v>219</v>
      </c>
      <c r="Q75" s="15" t="s">
        <v>219</v>
      </c>
      <c r="R75" s="15" t="s">
        <v>219</v>
      </c>
      <c r="S75" s="15" t="s">
        <v>220</v>
      </c>
      <c r="T75" s="15" t="s">
        <v>219</v>
      </c>
      <c r="U75" s="15" t="s">
        <v>219</v>
      </c>
      <c r="V75" s="15" t="s">
        <v>219</v>
      </c>
      <c r="W75" s="15">
        <v>2</v>
      </c>
      <c r="X75" s="15" t="str">
        <f>_xlfn.XLOOKUP(tblMeasure[[#This Row],[id_src]],tblSource[id_src],tblSource[org])</f>
        <v>NHS Digital</v>
      </c>
      <c r="Y75" s="15" t="str">
        <f>_xlfn.XLOOKUP(tblMeasure[[#This Row],[id_src]],tblSource[id_src],tblSource[source])</f>
        <v>ASCOF</v>
      </c>
      <c r="Z75" s="15" t="str">
        <f>_xlfn.XLOOKUP(tblMeasure[[#This Row],[id_src]],tblSource[id_src],tblSource[url_source])</f>
        <v>https://digital.nhs.uk/data-and-information/publications/statistical/adult-social-care-outcomes-framework-ascof</v>
      </c>
      <c r="AA75" s="15">
        <f>_xlfn.XLOOKUP(tblMeasure[[#This Row],[id_src]],tblSource[id_src],tblSource[year_first_published])</f>
        <v>2012</v>
      </c>
      <c r="AB75" s="15">
        <f>_xlfn.XLOOKUP(tblMeasure[[#This Row],[id_src]],tblSource[id_src],tblSource[year_last_published])</f>
        <v>2019</v>
      </c>
      <c r="AC75" s="15" t="str">
        <f>_xlfn.XLOOKUP(tblMeasure[[#This Row],[id_src]],tblSource[id_src],tblSource[discontinuity])</f>
        <v>At least one measure impact each year since 2012</v>
      </c>
      <c r="AD75" s="15" t="str">
        <f>_xlfn.XLOOKUP(tblMeasure[[#This Row],[id_src]],tblSource[id_src],tblSource[publication_frequency])</f>
        <v>Annual</v>
      </c>
      <c r="AE75" s="15">
        <f>_xlfn.XLOOKUP(tblMeasure[[#This Row],[id_src]],tblSource[id_src],tblSource[publication_lag_months])</f>
        <v>7</v>
      </c>
      <c r="AF75" s="25" t="str">
        <f>_xlfn.XLOOKUP(tblMeasure[[#This Row],[id_src]],tblSource[id_src],tblSource[data_providers])</f>
        <v>See trace</v>
      </c>
      <c r="AG75" s="25" t="str">
        <f>_xlfn.XLOOKUP(tblMeasure[[#This Row],[id_src]],tblSource[id_src],tblSource[statistic_class])</f>
        <v>Official</v>
      </c>
      <c r="AH75" s="25" t="str">
        <f>_xlfn.XLOOKUP(tblMeasure[[#This Row],[id_src]],tblSource[id_src],tblSource[methodology_link])</f>
        <v>https://files.digital.nhs.uk/19/C45DF7/meas-from-asc-of-eng-1819-Appendices.pdf</v>
      </c>
      <c r="AI75" s="25" t="str">
        <f>_xlfn.XLOOKUP(tblMeasure[[#This Row],[id_src]],tblSource[id_src],tblSource[quality_issues])</f>
        <v>https://files.digital.nhs.uk/19/C45DF7/meas-from-asc-of-eng-1819-Appendices.pdf</v>
      </c>
      <c r="AJ75" s="25">
        <f>VLOOKUP(tblMeasure[[#This Row],[msr_population_or_survey]],strlu_msr_population_or_survey,2,FALSE)</f>
        <v>1</v>
      </c>
      <c r="AK75" s="25">
        <f>VLOOKUP(tblMeasure[[#This Row],[msr_min_geo_resolution]],strlu_msr_min_geo_resolution,2,FALSE)</f>
        <v>1</v>
      </c>
      <c r="AL75" s="25">
        <f>(MAX(tblMeasure[[#This Row],[src_year_last_published]]-2010+1,0)+MIN(2010-tblMeasure[[#This Row],[src_year_first_published]],0)-MAX(tblMeasure[[#This Row],[src_year_last_published]]-2019,0))/10</f>
        <v>0.8</v>
      </c>
      <c r="AM75" s="25">
        <f>IF(OR(tblMeasure[[#This Row],[src_discontinuity]]="None",tblMeasure[[#This Row],[src_discontinuity]]=0),1,0)</f>
        <v>0</v>
      </c>
      <c r="AN75" s="25">
        <f>VLOOKUP(tblMeasure[[#This Row],[src_pub_frequency]],strlu_src_pub_frequency,2,FALSE)</f>
        <v>0.8</v>
      </c>
      <c r="AO75" s="25">
        <f>VLOOKUP(tblMeasure[[#This Row],[src_pub_lag_months]],strlu_src_pub_lag_months,2,FALSE)</f>
        <v>0.3</v>
      </c>
      <c r="AP75" s="25">
        <f>VLOOKUP(tblMeasure[[#This Row],[src_statistic_class]],strlu_src_statistic_class,2,FALSE)</f>
        <v>1</v>
      </c>
      <c r="AQ75" s="25">
        <f>IF(tblMeasure[[#This Row],[src_methodology_url]]="TBD",0,1)</f>
        <v>1</v>
      </c>
      <c r="AR75" s="25">
        <f>IF(tblMeasure[[#This Row],[src_quality_url]]="TBD",0,1)</f>
        <v>1</v>
      </c>
      <c r="AS75" s="85" cm="1">
        <f t="array" ref="AS75">SUMPRODUCT(TRANSPOSE(tblMeasure[[#This Row],[str_msr_population_or_survey]:[str_src_quality_url]]),str_weights)/str_weights_total</f>
        <v>0.80769230769230771</v>
      </c>
    </row>
    <row r="76" spans="1:45" hidden="1" x14ac:dyDescent="0.15">
      <c r="A76" s="30">
        <v>74</v>
      </c>
      <c r="B76" s="15">
        <f>COUNTIF(requirement_measure_map!$D$3:$D$1514,measure!A76)</f>
        <v>2</v>
      </c>
      <c r="C76" s="30" t="s">
        <v>315</v>
      </c>
      <c r="D76" s="15" t="s">
        <v>424</v>
      </c>
      <c r="E76" s="15" t="s">
        <v>441</v>
      </c>
      <c r="F76" s="15" t="s">
        <v>442</v>
      </c>
      <c r="G76" s="29" t="s">
        <v>427</v>
      </c>
      <c r="H76" s="15" t="s">
        <v>224</v>
      </c>
      <c r="I76" s="15" t="s">
        <v>214</v>
      </c>
      <c r="J76" s="15" t="s">
        <v>215</v>
      </c>
      <c r="K76" s="15" t="s">
        <v>443</v>
      </c>
      <c r="L76" s="15" t="s">
        <v>217</v>
      </c>
      <c r="M76" s="15" t="s">
        <v>218</v>
      </c>
      <c r="N76" s="15" t="s">
        <v>219</v>
      </c>
      <c r="O76" s="15" t="s">
        <v>219</v>
      </c>
      <c r="P76" s="15" t="s">
        <v>219</v>
      </c>
      <c r="Q76" s="15" t="s">
        <v>219</v>
      </c>
      <c r="R76" s="15" t="s">
        <v>219</v>
      </c>
      <c r="S76" s="15" t="s">
        <v>219</v>
      </c>
      <c r="T76" s="15" t="s">
        <v>219</v>
      </c>
      <c r="U76" s="15" t="s">
        <v>219</v>
      </c>
      <c r="V76" s="15" t="s">
        <v>219</v>
      </c>
      <c r="W76" s="15">
        <v>2</v>
      </c>
      <c r="X76" s="15" t="str">
        <f>_xlfn.XLOOKUP(tblMeasure[[#This Row],[id_src]],tblSource[id_src],tblSource[org])</f>
        <v>NHS Digital</v>
      </c>
      <c r="Y76" s="15" t="str">
        <f>_xlfn.XLOOKUP(tblMeasure[[#This Row],[id_src]],tblSource[id_src],tblSource[source])</f>
        <v>ASCOF</v>
      </c>
      <c r="Z76" s="15" t="str">
        <f>_xlfn.XLOOKUP(tblMeasure[[#This Row],[id_src]],tblSource[id_src],tblSource[url_source])</f>
        <v>https://digital.nhs.uk/data-and-information/publications/statistical/adult-social-care-outcomes-framework-ascof</v>
      </c>
      <c r="AA76" s="15">
        <f>_xlfn.XLOOKUP(tblMeasure[[#This Row],[id_src]],tblSource[id_src],tblSource[year_first_published])</f>
        <v>2012</v>
      </c>
      <c r="AB76" s="15">
        <f>_xlfn.XLOOKUP(tblMeasure[[#This Row],[id_src]],tblSource[id_src],tblSource[year_last_published])</f>
        <v>2019</v>
      </c>
      <c r="AC76" s="15" t="str">
        <f>_xlfn.XLOOKUP(tblMeasure[[#This Row],[id_src]],tblSource[id_src],tblSource[discontinuity])</f>
        <v>At least one measure impact each year since 2012</v>
      </c>
      <c r="AD76" s="15" t="str">
        <f>_xlfn.XLOOKUP(tblMeasure[[#This Row],[id_src]],tblSource[id_src],tblSource[publication_frequency])</f>
        <v>Annual</v>
      </c>
      <c r="AE76" s="15">
        <f>_xlfn.XLOOKUP(tblMeasure[[#This Row],[id_src]],tblSource[id_src],tblSource[publication_lag_months])</f>
        <v>7</v>
      </c>
      <c r="AF76" s="25" t="str">
        <f>_xlfn.XLOOKUP(tblMeasure[[#This Row],[id_src]],tblSource[id_src],tblSource[data_providers])</f>
        <v>See trace</v>
      </c>
      <c r="AG76" s="25" t="str">
        <f>_xlfn.XLOOKUP(tblMeasure[[#This Row],[id_src]],tblSource[id_src],tblSource[statistic_class])</f>
        <v>Official</v>
      </c>
      <c r="AH76" s="25" t="str">
        <f>_xlfn.XLOOKUP(tblMeasure[[#This Row],[id_src]],tblSource[id_src],tblSource[methodology_link])</f>
        <v>https://files.digital.nhs.uk/19/C45DF7/meas-from-asc-of-eng-1819-Appendices.pdf</v>
      </c>
      <c r="AI76" s="25" t="str">
        <f>_xlfn.XLOOKUP(tblMeasure[[#This Row],[id_src]],tblSource[id_src],tblSource[quality_issues])</f>
        <v>https://files.digital.nhs.uk/19/C45DF7/meas-from-asc-of-eng-1819-Appendices.pdf</v>
      </c>
      <c r="AJ76" s="25">
        <f>VLOOKUP(tblMeasure[[#This Row],[msr_population_or_survey]],strlu_msr_population_or_survey,2,FALSE)</f>
        <v>1</v>
      </c>
      <c r="AK76" s="25">
        <f>VLOOKUP(tblMeasure[[#This Row],[msr_min_geo_resolution]],strlu_msr_min_geo_resolution,2,FALSE)</f>
        <v>1</v>
      </c>
      <c r="AL76" s="25">
        <f>(MAX(tblMeasure[[#This Row],[src_year_last_published]]-2010+1,0)+MIN(2010-tblMeasure[[#This Row],[src_year_first_published]],0)-MAX(tblMeasure[[#This Row],[src_year_last_published]]-2019,0))/10</f>
        <v>0.8</v>
      </c>
      <c r="AM76" s="25">
        <f>IF(OR(tblMeasure[[#This Row],[src_discontinuity]]="None",tblMeasure[[#This Row],[src_discontinuity]]=0),1,0)</f>
        <v>0</v>
      </c>
      <c r="AN76" s="25">
        <f>VLOOKUP(tblMeasure[[#This Row],[src_pub_frequency]],strlu_src_pub_frequency,2,FALSE)</f>
        <v>0.8</v>
      </c>
      <c r="AO76" s="25">
        <f>VLOOKUP(tblMeasure[[#This Row],[src_pub_lag_months]],strlu_src_pub_lag_months,2,FALSE)</f>
        <v>0.3</v>
      </c>
      <c r="AP76" s="25">
        <f>VLOOKUP(tblMeasure[[#This Row],[src_statistic_class]],strlu_src_statistic_class,2,FALSE)</f>
        <v>1</v>
      </c>
      <c r="AQ76" s="25">
        <f>IF(tblMeasure[[#This Row],[src_methodology_url]]="TBD",0,1)</f>
        <v>1</v>
      </c>
      <c r="AR76" s="25">
        <f>IF(tblMeasure[[#This Row],[src_quality_url]]="TBD",0,1)</f>
        <v>1</v>
      </c>
      <c r="AS76" s="85" cm="1">
        <f t="array" ref="AS76">SUMPRODUCT(TRANSPOSE(tblMeasure[[#This Row],[str_msr_population_or_survey]:[str_src_quality_url]]),str_weights)/str_weights_total</f>
        <v>0.80769230769230771</v>
      </c>
    </row>
    <row r="77" spans="1:45" hidden="1" x14ac:dyDescent="0.15">
      <c r="A77" s="30">
        <v>75</v>
      </c>
      <c r="B77" s="15">
        <f>COUNTIF(requirement_measure_map!$D$3:$D$1514,measure!A77)</f>
        <v>3</v>
      </c>
      <c r="C77" s="30" t="s">
        <v>315</v>
      </c>
      <c r="D77" s="15" t="s">
        <v>424</v>
      </c>
      <c r="E77" s="15" t="s">
        <v>444</v>
      </c>
      <c r="F77" s="15" t="s">
        <v>445</v>
      </c>
      <c r="G77" s="29" t="s">
        <v>427</v>
      </c>
      <c r="H77" s="15" t="s">
        <v>224</v>
      </c>
      <c r="I77" s="15" t="s">
        <v>214</v>
      </c>
      <c r="J77" s="15" t="s">
        <v>215</v>
      </c>
      <c r="K77" s="15" t="s">
        <v>446</v>
      </c>
      <c r="L77" s="15" t="s">
        <v>217</v>
      </c>
      <c r="M77" s="15" t="s">
        <v>219</v>
      </c>
      <c r="N77" s="15" t="s">
        <v>219</v>
      </c>
      <c r="O77" s="15" t="s">
        <v>219</v>
      </c>
      <c r="P77" s="15" t="s">
        <v>219</v>
      </c>
      <c r="Q77" s="15" t="s">
        <v>219</v>
      </c>
      <c r="R77" s="15" t="s">
        <v>219</v>
      </c>
      <c r="S77" s="15" t="s">
        <v>220</v>
      </c>
      <c r="T77" s="15" t="s">
        <v>219</v>
      </c>
      <c r="U77" s="15" t="s">
        <v>219</v>
      </c>
      <c r="V77" s="15" t="s">
        <v>219</v>
      </c>
      <c r="W77" s="15">
        <v>2</v>
      </c>
      <c r="X77" s="15" t="str">
        <f>_xlfn.XLOOKUP(tblMeasure[[#This Row],[id_src]],tblSource[id_src],tblSource[org])</f>
        <v>NHS Digital</v>
      </c>
      <c r="Y77" s="15" t="str">
        <f>_xlfn.XLOOKUP(tblMeasure[[#This Row],[id_src]],tblSource[id_src],tblSource[source])</f>
        <v>ASCOF</v>
      </c>
      <c r="Z77" s="15" t="str">
        <f>_xlfn.XLOOKUP(tblMeasure[[#This Row],[id_src]],tblSource[id_src],tblSource[url_source])</f>
        <v>https://digital.nhs.uk/data-and-information/publications/statistical/adult-social-care-outcomes-framework-ascof</v>
      </c>
      <c r="AA77" s="15">
        <f>_xlfn.XLOOKUP(tblMeasure[[#This Row],[id_src]],tblSource[id_src],tblSource[year_first_published])</f>
        <v>2012</v>
      </c>
      <c r="AB77" s="15">
        <f>_xlfn.XLOOKUP(tblMeasure[[#This Row],[id_src]],tblSource[id_src],tblSource[year_last_published])</f>
        <v>2019</v>
      </c>
      <c r="AC77" s="15" t="str">
        <f>_xlfn.XLOOKUP(tblMeasure[[#This Row],[id_src]],tblSource[id_src],tblSource[discontinuity])</f>
        <v>At least one measure impact each year since 2012</v>
      </c>
      <c r="AD77" s="15" t="str">
        <f>_xlfn.XLOOKUP(tblMeasure[[#This Row],[id_src]],tblSource[id_src],tblSource[publication_frequency])</f>
        <v>Annual</v>
      </c>
      <c r="AE77" s="15">
        <f>_xlfn.XLOOKUP(tblMeasure[[#This Row],[id_src]],tblSource[id_src],tblSource[publication_lag_months])</f>
        <v>7</v>
      </c>
      <c r="AF77" s="25" t="str">
        <f>_xlfn.XLOOKUP(tblMeasure[[#This Row],[id_src]],tblSource[id_src],tblSource[data_providers])</f>
        <v>See trace</v>
      </c>
      <c r="AG77" s="25" t="str">
        <f>_xlfn.XLOOKUP(tblMeasure[[#This Row],[id_src]],tblSource[id_src],tblSource[statistic_class])</f>
        <v>Official</v>
      </c>
      <c r="AH77" s="25" t="str">
        <f>_xlfn.XLOOKUP(tblMeasure[[#This Row],[id_src]],tblSource[id_src],tblSource[methodology_link])</f>
        <v>https://files.digital.nhs.uk/19/C45DF7/meas-from-asc-of-eng-1819-Appendices.pdf</v>
      </c>
      <c r="AI77" s="25" t="str">
        <f>_xlfn.XLOOKUP(tblMeasure[[#This Row],[id_src]],tblSource[id_src],tblSource[quality_issues])</f>
        <v>https://files.digital.nhs.uk/19/C45DF7/meas-from-asc-of-eng-1819-Appendices.pdf</v>
      </c>
      <c r="AJ77" s="25">
        <f>VLOOKUP(tblMeasure[[#This Row],[msr_population_or_survey]],strlu_msr_population_or_survey,2,FALSE)</f>
        <v>1</v>
      </c>
      <c r="AK77" s="25">
        <f>VLOOKUP(tblMeasure[[#This Row],[msr_min_geo_resolution]],strlu_msr_min_geo_resolution,2,FALSE)</f>
        <v>1</v>
      </c>
      <c r="AL77" s="25">
        <f>(MAX(tblMeasure[[#This Row],[src_year_last_published]]-2010+1,0)+MIN(2010-tblMeasure[[#This Row],[src_year_first_published]],0)-MAX(tblMeasure[[#This Row],[src_year_last_published]]-2019,0))/10</f>
        <v>0.8</v>
      </c>
      <c r="AM77" s="25">
        <f>IF(OR(tblMeasure[[#This Row],[src_discontinuity]]="None",tblMeasure[[#This Row],[src_discontinuity]]=0),1,0)</f>
        <v>0</v>
      </c>
      <c r="AN77" s="25">
        <f>VLOOKUP(tblMeasure[[#This Row],[src_pub_frequency]],strlu_src_pub_frequency,2,FALSE)</f>
        <v>0.8</v>
      </c>
      <c r="AO77" s="25">
        <f>VLOOKUP(tblMeasure[[#This Row],[src_pub_lag_months]],strlu_src_pub_lag_months,2,FALSE)</f>
        <v>0.3</v>
      </c>
      <c r="AP77" s="25">
        <f>VLOOKUP(tblMeasure[[#This Row],[src_statistic_class]],strlu_src_statistic_class,2,FALSE)</f>
        <v>1</v>
      </c>
      <c r="AQ77" s="25">
        <f>IF(tblMeasure[[#This Row],[src_methodology_url]]="TBD",0,1)</f>
        <v>1</v>
      </c>
      <c r="AR77" s="25">
        <f>IF(tblMeasure[[#This Row],[src_quality_url]]="TBD",0,1)</f>
        <v>1</v>
      </c>
      <c r="AS77" s="85" cm="1">
        <f t="array" ref="AS77">SUMPRODUCT(TRANSPOSE(tblMeasure[[#This Row],[str_msr_population_or_survey]:[str_src_quality_url]]),str_weights)/str_weights_total</f>
        <v>0.80769230769230771</v>
      </c>
    </row>
    <row r="78" spans="1:45" hidden="1" x14ac:dyDescent="0.15">
      <c r="A78" s="30">
        <v>76</v>
      </c>
      <c r="B78" s="15">
        <f>COUNTIF(requirement_measure_map!$D$3:$D$1514,measure!A78)</f>
        <v>4</v>
      </c>
      <c r="C78" s="30" t="s">
        <v>315</v>
      </c>
      <c r="D78" s="15" t="s">
        <v>424</v>
      </c>
      <c r="E78" s="15" t="s">
        <v>447</v>
      </c>
      <c r="F78" s="15" t="s">
        <v>448</v>
      </c>
      <c r="G78" s="29" t="s">
        <v>427</v>
      </c>
      <c r="H78" s="15" t="s">
        <v>449</v>
      </c>
      <c r="I78" s="15" t="s">
        <v>429</v>
      </c>
      <c r="J78" s="15" t="s">
        <v>450</v>
      </c>
      <c r="K78" s="15" t="s">
        <v>431</v>
      </c>
      <c r="L78" s="15" t="s">
        <v>217</v>
      </c>
      <c r="M78" s="15" t="s">
        <v>218</v>
      </c>
      <c r="N78" s="15" t="s">
        <v>220</v>
      </c>
      <c r="O78" s="15" t="s">
        <v>219</v>
      </c>
      <c r="P78" s="15" t="s">
        <v>219</v>
      </c>
      <c r="Q78" s="15" t="s">
        <v>219</v>
      </c>
      <c r="R78" s="15" t="s">
        <v>219</v>
      </c>
      <c r="S78" s="15" t="s">
        <v>219</v>
      </c>
      <c r="T78" s="15" t="s">
        <v>219</v>
      </c>
      <c r="U78" s="15" t="s">
        <v>219</v>
      </c>
      <c r="V78" s="15" t="s">
        <v>219</v>
      </c>
      <c r="W78" s="15">
        <v>2</v>
      </c>
      <c r="X78" s="15" t="str">
        <f>_xlfn.XLOOKUP(tblMeasure[[#This Row],[id_src]],tblSource[id_src],tblSource[org])</f>
        <v>NHS Digital</v>
      </c>
      <c r="Y78" s="15" t="str">
        <f>_xlfn.XLOOKUP(tblMeasure[[#This Row],[id_src]],tblSource[id_src],tblSource[source])</f>
        <v>ASCOF</v>
      </c>
      <c r="Z78" s="15" t="str">
        <f>_xlfn.XLOOKUP(tblMeasure[[#This Row],[id_src]],tblSource[id_src],tblSource[url_source])</f>
        <v>https://digital.nhs.uk/data-and-information/publications/statistical/adult-social-care-outcomes-framework-ascof</v>
      </c>
      <c r="AA78" s="15">
        <f>_xlfn.XLOOKUP(tblMeasure[[#This Row],[id_src]],tblSource[id_src],tblSource[year_first_published])</f>
        <v>2012</v>
      </c>
      <c r="AB78" s="15">
        <f>_xlfn.XLOOKUP(tblMeasure[[#This Row],[id_src]],tblSource[id_src],tblSource[year_last_published])</f>
        <v>2019</v>
      </c>
      <c r="AC78" s="15" t="str">
        <f>_xlfn.XLOOKUP(tblMeasure[[#This Row],[id_src]],tblSource[id_src],tblSource[discontinuity])</f>
        <v>At least one measure impact each year since 2012</v>
      </c>
      <c r="AD78" s="15" t="str">
        <f>_xlfn.XLOOKUP(tblMeasure[[#This Row],[id_src]],tblSource[id_src],tblSource[publication_frequency])</f>
        <v>Annual</v>
      </c>
      <c r="AE78" s="15">
        <f>_xlfn.XLOOKUP(tblMeasure[[#This Row],[id_src]],tblSource[id_src],tblSource[publication_lag_months])</f>
        <v>7</v>
      </c>
      <c r="AF78" s="25" t="str">
        <f>_xlfn.XLOOKUP(tblMeasure[[#This Row],[id_src]],tblSource[id_src],tblSource[data_providers])</f>
        <v>See trace</v>
      </c>
      <c r="AG78" s="25" t="str">
        <f>_xlfn.XLOOKUP(tblMeasure[[#This Row],[id_src]],tblSource[id_src],tblSource[statistic_class])</f>
        <v>Official</v>
      </c>
      <c r="AH78" s="25" t="str">
        <f>_xlfn.XLOOKUP(tblMeasure[[#This Row],[id_src]],tblSource[id_src],tblSource[methodology_link])</f>
        <v>https://files.digital.nhs.uk/19/C45DF7/meas-from-asc-of-eng-1819-Appendices.pdf</v>
      </c>
      <c r="AI78" s="25" t="str">
        <f>_xlfn.XLOOKUP(tblMeasure[[#This Row],[id_src]],tblSource[id_src],tblSource[quality_issues])</f>
        <v>https://files.digital.nhs.uk/19/C45DF7/meas-from-asc-of-eng-1819-Appendices.pdf</v>
      </c>
      <c r="AJ78" s="25">
        <f>VLOOKUP(tblMeasure[[#This Row],[msr_population_or_survey]],strlu_msr_population_or_survey,2,FALSE)</f>
        <v>0</v>
      </c>
      <c r="AK78" s="25">
        <f>VLOOKUP(tblMeasure[[#This Row],[msr_min_geo_resolution]],strlu_msr_min_geo_resolution,2,FALSE)</f>
        <v>1</v>
      </c>
      <c r="AL78" s="25">
        <f>(MAX(tblMeasure[[#This Row],[src_year_last_published]]-2010+1,0)+MIN(2010-tblMeasure[[#This Row],[src_year_first_published]],0)-MAX(tblMeasure[[#This Row],[src_year_last_published]]-2019,0))/10</f>
        <v>0.8</v>
      </c>
      <c r="AM78" s="25">
        <f>IF(OR(tblMeasure[[#This Row],[src_discontinuity]]="None",tblMeasure[[#This Row],[src_discontinuity]]=0),1,0)</f>
        <v>0</v>
      </c>
      <c r="AN78" s="25">
        <f>VLOOKUP(tblMeasure[[#This Row],[src_pub_frequency]],strlu_src_pub_frequency,2,FALSE)</f>
        <v>0.8</v>
      </c>
      <c r="AO78" s="25">
        <f>VLOOKUP(tblMeasure[[#This Row],[src_pub_lag_months]],strlu_src_pub_lag_months,2,FALSE)</f>
        <v>0.3</v>
      </c>
      <c r="AP78" s="25">
        <f>VLOOKUP(tblMeasure[[#This Row],[src_statistic_class]],strlu_src_statistic_class,2,FALSE)</f>
        <v>1</v>
      </c>
      <c r="AQ78" s="25">
        <f>IF(tblMeasure[[#This Row],[src_methodology_url]]="TBD",0,1)</f>
        <v>1</v>
      </c>
      <c r="AR78" s="25">
        <f>IF(tblMeasure[[#This Row],[src_quality_url]]="TBD",0,1)</f>
        <v>1</v>
      </c>
      <c r="AS78" s="85" cm="1">
        <f t="array" ref="AS78">SUMPRODUCT(TRANSPOSE(tblMeasure[[#This Row],[str_msr_population_or_survey]:[str_src_quality_url]]),str_weights)/str_weights_total</f>
        <v>0.65384615384615385</v>
      </c>
    </row>
    <row r="79" spans="1:45" hidden="1" x14ac:dyDescent="0.15">
      <c r="A79" s="30">
        <v>77</v>
      </c>
      <c r="B79" s="15">
        <f>COUNTIF(requirement_measure_map!$D$3:$D$1514,measure!A79)</f>
        <v>4</v>
      </c>
      <c r="C79" s="30" t="s">
        <v>315</v>
      </c>
      <c r="D79" s="15" t="s">
        <v>424</v>
      </c>
      <c r="E79" s="15" t="s">
        <v>451</v>
      </c>
      <c r="F79" s="15" t="s">
        <v>452</v>
      </c>
      <c r="G79" s="29" t="s">
        <v>427</v>
      </c>
      <c r="H79" s="15" t="s">
        <v>224</v>
      </c>
      <c r="I79" s="15" t="s">
        <v>214</v>
      </c>
      <c r="J79" s="15" t="s">
        <v>215</v>
      </c>
      <c r="K79" s="15" t="s">
        <v>453</v>
      </c>
      <c r="L79" s="15" t="s">
        <v>217</v>
      </c>
      <c r="M79" s="15" t="s">
        <v>219</v>
      </c>
      <c r="N79" s="15" t="s">
        <v>220</v>
      </c>
      <c r="O79" s="15" t="s">
        <v>219</v>
      </c>
      <c r="P79" s="15" t="s">
        <v>220</v>
      </c>
      <c r="Q79" s="15" t="s">
        <v>219</v>
      </c>
      <c r="R79" s="15" t="s">
        <v>219</v>
      </c>
      <c r="S79" s="15" t="s">
        <v>219</v>
      </c>
      <c r="T79" s="15" t="s">
        <v>219</v>
      </c>
      <c r="U79" s="15" t="s">
        <v>219</v>
      </c>
      <c r="V79" s="15" t="s">
        <v>219</v>
      </c>
      <c r="W79" s="15">
        <v>2</v>
      </c>
      <c r="X79" s="15" t="str">
        <f>_xlfn.XLOOKUP(tblMeasure[[#This Row],[id_src]],tblSource[id_src],tblSource[org])</f>
        <v>NHS Digital</v>
      </c>
      <c r="Y79" s="15" t="str">
        <f>_xlfn.XLOOKUP(tblMeasure[[#This Row],[id_src]],tblSource[id_src],tblSource[source])</f>
        <v>ASCOF</v>
      </c>
      <c r="Z79" s="15" t="str">
        <f>_xlfn.XLOOKUP(tblMeasure[[#This Row],[id_src]],tblSource[id_src],tblSource[url_source])</f>
        <v>https://digital.nhs.uk/data-and-information/publications/statistical/adult-social-care-outcomes-framework-ascof</v>
      </c>
      <c r="AA79" s="15">
        <f>_xlfn.XLOOKUP(tblMeasure[[#This Row],[id_src]],tblSource[id_src],tblSource[year_first_published])</f>
        <v>2012</v>
      </c>
      <c r="AB79" s="15">
        <f>_xlfn.XLOOKUP(tblMeasure[[#This Row],[id_src]],tblSource[id_src],tblSource[year_last_published])</f>
        <v>2019</v>
      </c>
      <c r="AC79" s="15" t="str">
        <f>_xlfn.XLOOKUP(tblMeasure[[#This Row],[id_src]],tblSource[id_src],tblSource[discontinuity])</f>
        <v>At least one measure impact each year since 2012</v>
      </c>
      <c r="AD79" s="15" t="str">
        <f>_xlfn.XLOOKUP(tblMeasure[[#This Row],[id_src]],tblSource[id_src],tblSource[publication_frequency])</f>
        <v>Annual</v>
      </c>
      <c r="AE79" s="15">
        <f>_xlfn.XLOOKUP(tblMeasure[[#This Row],[id_src]],tblSource[id_src],tblSource[publication_lag_months])</f>
        <v>7</v>
      </c>
      <c r="AF79" s="25" t="str">
        <f>_xlfn.XLOOKUP(tblMeasure[[#This Row],[id_src]],tblSource[id_src],tblSource[data_providers])</f>
        <v>See trace</v>
      </c>
      <c r="AG79" s="25" t="str">
        <f>_xlfn.XLOOKUP(tblMeasure[[#This Row],[id_src]],tblSource[id_src],tblSource[statistic_class])</f>
        <v>Official</v>
      </c>
      <c r="AH79" s="25" t="str">
        <f>_xlfn.XLOOKUP(tblMeasure[[#This Row],[id_src]],tblSource[id_src],tblSource[methodology_link])</f>
        <v>https://files.digital.nhs.uk/19/C45DF7/meas-from-asc-of-eng-1819-Appendices.pdf</v>
      </c>
      <c r="AI79" s="25" t="str">
        <f>_xlfn.XLOOKUP(tblMeasure[[#This Row],[id_src]],tblSource[id_src],tblSource[quality_issues])</f>
        <v>https://files.digital.nhs.uk/19/C45DF7/meas-from-asc-of-eng-1819-Appendices.pdf</v>
      </c>
      <c r="AJ79" s="25">
        <f>VLOOKUP(tblMeasure[[#This Row],[msr_population_or_survey]],strlu_msr_population_or_survey,2,FALSE)</f>
        <v>1</v>
      </c>
      <c r="AK79" s="25">
        <f>VLOOKUP(tblMeasure[[#This Row],[msr_min_geo_resolution]],strlu_msr_min_geo_resolution,2,FALSE)</f>
        <v>1</v>
      </c>
      <c r="AL79" s="25">
        <f>(MAX(tblMeasure[[#This Row],[src_year_last_published]]-2010+1,0)+MIN(2010-tblMeasure[[#This Row],[src_year_first_published]],0)-MAX(tblMeasure[[#This Row],[src_year_last_published]]-2019,0))/10</f>
        <v>0.8</v>
      </c>
      <c r="AM79" s="25">
        <f>IF(OR(tblMeasure[[#This Row],[src_discontinuity]]="None",tblMeasure[[#This Row],[src_discontinuity]]=0),1,0)</f>
        <v>0</v>
      </c>
      <c r="AN79" s="25">
        <f>VLOOKUP(tblMeasure[[#This Row],[src_pub_frequency]],strlu_src_pub_frequency,2,FALSE)</f>
        <v>0.8</v>
      </c>
      <c r="AO79" s="25">
        <f>VLOOKUP(tblMeasure[[#This Row],[src_pub_lag_months]],strlu_src_pub_lag_months,2,FALSE)</f>
        <v>0.3</v>
      </c>
      <c r="AP79" s="25">
        <f>VLOOKUP(tblMeasure[[#This Row],[src_statistic_class]],strlu_src_statistic_class,2,FALSE)</f>
        <v>1</v>
      </c>
      <c r="AQ79" s="25">
        <f>IF(tblMeasure[[#This Row],[src_methodology_url]]="TBD",0,1)</f>
        <v>1</v>
      </c>
      <c r="AR79" s="25">
        <f>IF(tblMeasure[[#This Row],[src_quality_url]]="TBD",0,1)</f>
        <v>1</v>
      </c>
      <c r="AS79" s="85" cm="1">
        <f t="array" ref="AS79">SUMPRODUCT(TRANSPOSE(tblMeasure[[#This Row],[str_msr_population_or_survey]:[str_src_quality_url]]),str_weights)/str_weights_total</f>
        <v>0.80769230769230771</v>
      </c>
    </row>
    <row r="80" spans="1:45" hidden="1" x14ac:dyDescent="0.15">
      <c r="A80" s="30">
        <v>78</v>
      </c>
      <c r="B80" s="15">
        <f>COUNTIF(requirement_measure_map!$D$3:$D$1514,measure!A80)</f>
        <v>4</v>
      </c>
      <c r="C80" s="30" t="s">
        <v>315</v>
      </c>
      <c r="D80" s="15" t="s">
        <v>424</v>
      </c>
      <c r="E80" s="15" t="s">
        <v>454</v>
      </c>
      <c r="F80" s="15" t="s">
        <v>455</v>
      </c>
      <c r="G80" s="29" t="s">
        <v>427</v>
      </c>
      <c r="H80" s="15" t="s">
        <v>456</v>
      </c>
      <c r="I80" s="15" t="s">
        <v>214</v>
      </c>
      <c r="J80" s="15" t="s">
        <v>215</v>
      </c>
      <c r="K80" s="15" t="s">
        <v>457</v>
      </c>
      <c r="L80" s="15" t="s">
        <v>217</v>
      </c>
      <c r="M80" s="15" t="s">
        <v>219</v>
      </c>
      <c r="N80" s="15" t="s">
        <v>220</v>
      </c>
      <c r="O80" s="15" t="s">
        <v>219</v>
      </c>
      <c r="P80" s="15" t="s">
        <v>219</v>
      </c>
      <c r="Q80" s="15" t="s">
        <v>219</v>
      </c>
      <c r="R80" s="15" t="s">
        <v>219</v>
      </c>
      <c r="S80" s="15" t="s">
        <v>219</v>
      </c>
      <c r="T80" s="15" t="s">
        <v>219</v>
      </c>
      <c r="U80" s="15" t="s">
        <v>219</v>
      </c>
      <c r="V80" s="15" t="s">
        <v>219</v>
      </c>
      <c r="W80" s="15">
        <v>2</v>
      </c>
      <c r="X80" s="15" t="str">
        <f>_xlfn.XLOOKUP(tblMeasure[[#This Row],[id_src]],tblSource[id_src],tblSource[org])</f>
        <v>NHS Digital</v>
      </c>
      <c r="Y80" s="15" t="str">
        <f>_xlfn.XLOOKUP(tblMeasure[[#This Row],[id_src]],tblSource[id_src],tblSource[source])</f>
        <v>ASCOF</v>
      </c>
      <c r="Z80" s="15" t="str">
        <f>_xlfn.XLOOKUP(tblMeasure[[#This Row],[id_src]],tblSource[id_src],tblSource[url_source])</f>
        <v>https://digital.nhs.uk/data-and-information/publications/statistical/adult-social-care-outcomes-framework-ascof</v>
      </c>
      <c r="AA80" s="15">
        <f>_xlfn.XLOOKUP(tblMeasure[[#This Row],[id_src]],tblSource[id_src],tblSource[year_first_published])</f>
        <v>2012</v>
      </c>
      <c r="AB80" s="15">
        <f>_xlfn.XLOOKUP(tblMeasure[[#This Row],[id_src]],tblSource[id_src],tblSource[year_last_published])</f>
        <v>2019</v>
      </c>
      <c r="AC80" s="15" t="str">
        <f>_xlfn.XLOOKUP(tblMeasure[[#This Row],[id_src]],tblSource[id_src],tblSource[discontinuity])</f>
        <v>At least one measure impact each year since 2012</v>
      </c>
      <c r="AD80" s="15" t="str">
        <f>_xlfn.XLOOKUP(tblMeasure[[#This Row],[id_src]],tblSource[id_src],tblSource[publication_frequency])</f>
        <v>Annual</v>
      </c>
      <c r="AE80" s="15">
        <f>_xlfn.XLOOKUP(tblMeasure[[#This Row],[id_src]],tblSource[id_src],tblSource[publication_lag_months])</f>
        <v>7</v>
      </c>
      <c r="AF80" s="25" t="str">
        <f>_xlfn.XLOOKUP(tblMeasure[[#This Row],[id_src]],tblSource[id_src],tblSource[data_providers])</f>
        <v>See trace</v>
      </c>
      <c r="AG80" s="25" t="str">
        <f>_xlfn.XLOOKUP(tblMeasure[[#This Row],[id_src]],tblSource[id_src],tblSource[statistic_class])</f>
        <v>Official</v>
      </c>
      <c r="AH80" s="25" t="str">
        <f>_xlfn.XLOOKUP(tblMeasure[[#This Row],[id_src]],tblSource[id_src],tblSource[methodology_link])</f>
        <v>https://files.digital.nhs.uk/19/C45DF7/meas-from-asc-of-eng-1819-Appendices.pdf</v>
      </c>
      <c r="AI80" s="25" t="str">
        <f>_xlfn.XLOOKUP(tblMeasure[[#This Row],[id_src]],tblSource[id_src],tblSource[quality_issues])</f>
        <v>https://files.digital.nhs.uk/19/C45DF7/meas-from-asc-of-eng-1819-Appendices.pdf</v>
      </c>
      <c r="AJ80" s="25">
        <f>VLOOKUP(tblMeasure[[#This Row],[msr_population_or_survey]],strlu_msr_population_or_survey,2,FALSE)</f>
        <v>1</v>
      </c>
      <c r="AK80" s="25">
        <f>VLOOKUP(tblMeasure[[#This Row],[msr_min_geo_resolution]],strlu_msr_min_geo_resolution,2,FALSE)</f>
        <v>1</v>
      </c>
      <c r="AL80" s="25">
        <f>(MAX(tblMeasure[[#This Row],[src_year_last_published]]-2010+1,0)+MIN(2010-tblMeasure[[#This Row],[src_year_first_published]],0)-MAX(tblMeasure[[#This Row],[src_year_last_published]]-2019,0))/10</f>
        <v>0.8</v>
      </c>
      <c r="AM80" s="25">
        <f>IF(OR(tblMeasure[[#This Row],[src_discontinuity]]="None",tblMeasure[[#This Row],[src_discontinuity]]=0),1,0)</f>
        <v>0</v>
      </c>
      <c r="AN80" s="25">
        <f>VLOOKUP(tblMeasure[[#This Row],[src_pub_frequency]],strlu_src_pub_frequency,2,FALSE)</f>
        <v>0.8</v>
      </c>
      <c r="AO80" s="25">
        <f>VLOOKUP(tblMeasure[[#This Row],[src_pub_lag_months]],strlu_src_pub_lag_months,2,FALSE)</f>
        <v>0.3</v>
      </c>
      <c r="AP80" s="25">
        <f>VLOOKUP(tblMeasure[[#This Row],[src_statistic_class]],strlu_src_statistic_class,2,FALSE)</f>
        <v>1</v>
      </c>
      <c r="AQ80" s="25">
        <f>IF(tblMeasure[[#This Row],[src_methodology_url]]="TBD",0,1)</f>
        <v>1</v>
      </c>
      <c r="AR80" s="25">
        <f>IF(tblMeasure[[#This Row],[src_quality_url]]="TBD",0,1)</f>
        <v>1</v>
      </c>
      <c r="AS80" s="85" cm="1">
        <f t="array" ref="AS80">SUMPRODUCT(TRANSPOSE(tblMeasure[[#This Row],[str_msr_population_or_survey]:[str_src_quality_url]]),str_weights)/str_weights_total</f>
        <v>0.80769230769230771</v>
      </c>
    </row>
    <row r="81" spans="1:45" hidden="1" x14ac:dyDescent="0.15">
      <c r="A81" s="30">
        <v>79</v>
      </c>
      <c r="B81" s="15">
        <f>COUNTIF(requirement_measure_map!$D$3:$D$1514,measure!A81)</f>
        <v>5</v>
      </c>
      <c r="C81" s="30" t="s">
        <v>315</v>
      </c>
      <c r="D81" s="15" t="s">
        <v>424</v>
      </c>
      <c r="E81" s="15" t="s">
        <v>458</v>
      </c>
      <c r="F81" s="15" t="s">
        <v>459</v>
      </c>
      <c r="G81" s="29" t="s">
        <v>427</v>
      </c>
      <c r="H81" s="15" t="s">
        <v>224</v>
      </c>
      <c r="I81" s="15" t="s">
        <v>214</v>
      </c>
      <c r="J81" s="15" t="s">
        <v>215</v>
      </c>
      <c r="K81" s="15" t="s">
        <v>460</v>
      </c>
      <c r="L81" s="15" t="s">
        <v>217</v>
      </c>
      <c r="M81" s="15" t="s">
        <v>219</v>
      </c>
      <c r="N81" s="15" t="s">
        <v>220</v>
      </c>
      <c r="O81" s="15" t="s">
        <v>219</v>
      </c>
      <c r="P81" s="15" t="s">
        <v>220</v>
      </c>
      <c r="Q81" s="15" t="s">
        <v>219</v>
      </c>
      <c r="R81" s="15" t="s">
        <v>219</v>
      </c>
      <c r="S81" s="15" t="s">
        <v>219</v>
      </c>
      <c r="T81" s="15" t="s">
        <v>219</v>
      </c>
      <c r="U81" s="15" t="s">
        <v>219</v>
      </c>
      <c r="V81" s="15" t="s">
        <v>219</v>
      </c>
      <c r="W81" s="15">
        <v>2</v>
      </c>
      <c r="X81" s="15" t="str">
        <f>_xlfn.XLOOKUP(tblMeasure[[#This Row],[id_src]],tblSource[id_src],tblSource[org])</f>
        <v>NHS Digital</v>
      </c>
      <c r="Y81" s="15" t="str">
        <f>_xlfn.XLOOKUP(tblMeasure[[#This Row],[id_src]],tblSource[id_src],tblSource[source])</f>
        <v>ASCOF</v>
      </c>
      <c r="Z81" s="15" t="str">
        <f>_xlfn.XLOOKUP(tblMeasure[[#This Row],[id_src]],tblSource[id_src],tblSource[url_source])</f>
        <v>https://digital.nhs.uk/data-and-information/publications/statistical/adult-social-care-outcomes-framework-ascof</v>
      </c>
      <c r="AA81" s="15">
        <f>_xlfn.XLOOKUP(tblMeasure[[#This Row],[id_src]],tblSource[id_src],tblSource[year_first_published])</f>
        <v>2012</v>
      </c>
      <c r="AB81" s="15">
        <f>_xlfn.XLOOKUP(tblMeasure[[#This Row],[id_src]],tblSource[id_src],tblSource[year_last_published])</f>
        <v>2019</v>
      </c>
      <c r="AC81" s="15" t="str">
        <f>_xlfn.XLOOKUP(tblMeasure[[#This Row],[id_src]],tblSource[id_src],tblSource[discontinuity])</f>
        <v>At least one measure impact each year since 2012</v>
      </c>
      <c r="AD81" s="15" t="str">
        <f>_xlfn.XLOOKUP(tblMeasure[[#This Row],[id_src]],tblSource[id_src],tblSource[publication_frequency])</f>
        <v>Annual</v>
      </c>
      <c r="AE81" s="15">
        <f>_xlfn.XLOOKUP(tblMeasure[[#This Row],[id_src]],tblSource[id_src],tblSource[publication_lag_months])</f>
        <v>7</v>
      </c>
      <c r="AF81" s="25" t="str">
        <f>_xlfn.XLOOKUP(tblMeasure[[#This Row],[id_src]],tblSource[id_src],tblSource[data_providers])</f>
        <v>See trace</v>
      </c>
      <c r="AG81" s="25" t="str">
        <f>_xlfn.XLOOKUP(tblMeasure[[#This Row],[id_src]],tblSource[id_src],tblSource[statistic_class])</f>
        <v>Official</v>
      </c>
      <c r="AH81" s="25" t="str">
        <f>_xlfn.XLOOKUP(tblMeasure[[#This Row],[id_src]],tblSource[id_src],tblSource[methodology_link])</f>
        <v>https://files.digital.nhs.uk/19/C45DF7/meas-from-asc-of-eng-1819-Appendices.pdf</v>
      </c>
      <c r="AI81" s="25" t="str">
        <f>_xlfn.XLOOKUP(tblMeasure[[#This Row],[id_src]],tblSource[id_src],tblSource[quality_issues])</f>
        <v>https://files.digital.nhs.uk/19/C45DF7/meas-from-asc-of-eng-1819-Appendices.pdf</v>
      </c>
      <c r="AJ81" s="25">
        <f>VLOOKUP(tblMeasure[[#This Row],[msr_population_or_survey]],strlu_msr_population_or_survey,2,FALSE)</f>
        <v>1</v>
      </c>
      <c r="AK81" s="25">
        <f>VLOOKUP(tblMeasure[[#This Row],[msr_min_geo_resolution]],strlu_msr_min_geo_resolution,2,FALSE)</f>
        <v>1</v>
      </c>
      <c r="AL81" s="25">
        <f>(MAX(tblMeasure[[#This Row],[src_year_last_published]]-2010+1,0)+MIN(2010-tblMeasure[[#This Row],[src_year_first_published]],0)-MAX(tblMeasure[[#This Row],[src_year_last_published]]-2019,0))/10</f>
        <v>0.8</v>
      </c>
      <c r="AM81" s="25">
        <f>IF(OR(tblMeasure[[#This Row],[src_discontinuity]]="None",tblMeasure[[#This Row],[src_discontinuity]]=0),1,0)</f>
        <v>0</v>
      </c>
      <c r="AN81" s="25">
        <f>VLOOKUP(tblMeasure[[#This Row],[src_pub_frequency]],strlu_src_pub_frequency,2,FALSE)</f>
        <v>0.8</v>
      </c>
      <c r="AO81" s="25">
        <f>VLOOKUP(tblMeasure[[#This Row],[src_pub_lag_months]],strlu_src_pub_lag_months,2,FALSE)</f>
        <v>0.3</v>
      </c>
      <c r="AP81" s="25">
        <f>VLOOKUP(tblMeasure[[#This Row],[src_statistic_class]],strlu_src_statistic_class,2,FALSE)</f>
        <v>1</v>
      </c>
      <c r="AQ81" s="25">
        <f>IF(tblMeasure[[#This Row],[src_methodology_url]]="TBD",0,1)</f>
        <v>1</v>
      </c>
      <c r="AR81" s="25">
        <f>IF(tblMeasure[[#This Row],[src_quality_url]]="TBD",0,1)</f>
        <v>1</v>
      </c>
      <c r="AS81" s="85" cm="1">
        <f t="array" ref="AS81">SUMPRODUCT(TRANSPOSE(tblMeasure[[#This Row],[str_msr_population_or_survey]:[str_src_quality_url]]),str_weights)/str_weights_total</f>
        <v>0.80769230769230771</v>
      </c>
    </row>
    <row r="82" spans="1:45" hidden="1" x14ac:dyDescent="0.15">
      <c r="A82" s="30">
        <v>80</v>
      </c>
      <c r="B82" s="15">
        <f>COUNTIF(requirement_measure_map!$D$3:$D$1514,measure!A82)</f>
        <v>4</v>
      </c>
      <c r="C82" s="30" t="s">
        <v>315</v>
      </c>
      <c r="D82" s="15" t="s">
        <v>424</v>
      </c>
      <c r="E82" s="15" t="s">
        <v>461</v>
      </c>
      <c r="F82" s="15" t="s">
        <v>462</v>
      </c>
      <c r="G82" s="29" t="s">
        <v>427</v>
      </c>
      <c r="H82" s="15" t="s">
        <v>456</v>
      </c>
      <c r="I82" s="15" t="s">
        <v>214</v>
      </c>
      <c r="J82" s="15" t="s">
        <v>215</v>
      </c>
      <c r="K82" s="15" t="s">
        <v>463</v>
      </c>
      <c r="L82" s="15" t="s">
        <v>217</v>
      </c>
      <c r="M82" s="15" t="s">
        <v>219</v>
      </c>
      <c r="N82" s="15" t="s">
        <v>220</v>
      </c>
      <c r="O82" s="15" t="s">
        <v>219</v>
      </c>
      <c r="P82" s="15" t="s">
        <v>219</v>
      </c>
      <c r="Q82" s="15" t="s">
        <v>219</v>
      </c>
      <c r="R82" s="15" t="s">
        <v>219</v>
      </c>
      <c r="S82" s="15" t="s">
        <v>219</v>
      </c>
      <c r="T82" s="15" t="s">
        <v>219</v>
      </c>
      <c r="U82" s="15" t="s">
        <v>219</v>
      </c>
      <c r="V82" s="15" t="s">
        <v>219</v>
      </c>
      <c r="W82" s="15">
        <v>2</v>
      </c>
      <c r="X82" s="15" t="str">
        <f>_xlfn.XLOOKUP(tblMeasure[[#This Row],[id_src]],tblSource[id_src],tblSource[org])</f>
        <v>NHS Digital</v>
      </c>
      <c r="Y82" s="15" t="str">
        <f>_xlfn.XLOOKUP(tblMeasure[[#This Row],[id_src]],tblSource[id_src],tblSource[source])</f>
        <v>ASCOF</v>
      </c>
      <c r="Z82" s="15" t="str">
        <f>_xlfn.XLOOKUP(tblMeasure[[#This Row],[id_src]],tblSource[id_src],tblSource[url_source])</f>
        <v>https://digital.nhs.uk/data-and-information/publications/statistical/adult-social-care-outcomes-framework-ascof</v>
      </c>
      <c r="AA82" s="15">
        <f>_xlfn.XLOOKUP(tblMeasure[[#This Row],[id_src]],tblSource[id_src],tblSource[year_first_published])</f>
        <v>2012</v>
      </c>
      <c r="AB82" s="15">
        <f>_xlfn.XLOOKUP(tblMeasure[[#This Row],[id_src]],tblSource[id_src],tblSource[year_last_published])</f>
        <v>2019</v>
      </c>
      <c r="AC82" s="15" t="str">
        <f>_xlfn.XLOOKUP(tblMeasure[[#This Row],[id_src]],tblSource[id_src],tblSource[discontinuity])</f>
        <v>At least one measure impact each year since 2012</v>
      </c>
      <c r="AD82" s="15" t="str">
        <f>_xlfn.XLOOKUP(tblMeasure[[#This Row],[id_src]],tblSource[id_src],tblSource[publication_frequency])</f>
        <v>Annual</v>
      </c>
      <c r="AE82" s="15">
        <f>_xlfn.XLOOKUP(tblMeasure[[#This Row],[id_src]],tblSource[id_src],tblSource[publication_lag_months])</f>
        <v>7</v>
      </c>
      <c r="AF82" s="25" t="str">
        <f>_xlfn.XLOOKUP(tblMeasure[[#This Row],[id_src]],tblSource[id_src],tblSource[data_providers])</f>
        <v>See trace</v>
      </c>
      <c r="AG82" s="25" t="str">
        <f>_xlfn.XLOOKUP(tblMeasure[[#This Row],[id_src]],tblSource[id_src],tblSource[statistic_class])</f>
        <v>Official</v>
      </c>
      <c r="AH82" s="25" t="str">
        <f>_xlfn.XLOOKUP(tblMeasure[[#This Row],[id_src]],tblSource[id_src],tblSource[methodology_link])</f>
        <v>https://files.digital.nhs.uk/19/C45DF7/meas-from-asc-of-eng-1819-Appendices.pdf</v>
      </c>
      <c r="AI82" s="25" t="str">
        <f>_xlfn.XLOOKUP(tblMeasure[[#This Row],[id_src]],tblSource[id_src],tblSource[quality_issues])</f>
        <v>https://files.digital.nhs.uk/19/C45DF7/meas-from-asc-of-eng-1819-Appendices.pdf</v>
      </c>
      <c r="AJ82" s="25">
        <f>VLOOKUP(tblMeasure[[#This Row],[msr_population_or_survey]],strlu_msr_population_or_survey,2,FALSE)</f>
        <v>1</v>
      </c>
      <c r="AK82" s="25">
        <f>VLOOKUP(tblMeasure[[#This Row],[msr_min_geo_resolution]],strlu_msr_min_geo_resolution,2,FALSE)</f>
        <v>1</v>
      </c>
      <c r="AL82" s="25">
        <f>(MAX(tblMeasure[[#This Row],[src_year_last_published]]-2010+1,0)+MIN(2010-tblMeasure[[#This Row],[src_year_first_published]],0)-MAX(tblMeasure[[#This Row],[src_year_last_published]]-2019,0))/10</f>
        <v>0.8</v>
      </c>
      <c r="AM82" s="25">
        <f>IF(OR(tblMeasure[[#This Row],[src_discontinuity]]="None",tblMeasure[[#This Row],[src_discontinuity]]=0),1,0)</f>
        <v>0</v>
      </c>
      <c r="AN82" s="25">
        <f>VLOOKUP(tblMeasure[[#This Row],[src_pub_frequency]],strlu_src_pub_frequency,2,FALSE)</f>
        <v>0.8</v>
      </c>
      <c r="AO82" s="25">
        <f>VLOOKUP(tblMeasure[[#This Row],[src_pub_lag_months]],strlu_src_pub_lag_months,2,FALSE)</f>
        <v>0.3</v>
      </c>
      <c r="AP82" s="25">
        <f>VLOOKUP(tblMeasure[[#This Row],[src_statistic_class]],strlu_src_statistic_class,2,FALSE)</f>
        <v>1</v>
      </c>
      <c r="AQ82" s="25">
        <f>IF(tblMeasure[[#This Row],[src_methodology_url]]="TBD",0,1)</f>
        <v>1</v>
      </c>
      <c r="AR82" s="25">
        <f>IF(tblMeasure[[#This Row],[src_quality_url]]="TBD",0,1)</f>
        <v>1</v>
      </c>
      <c r="AS82" s="85" cm="1">
        <f t="array" ref="AS82">SUMPRODUCT(TRANSPOSE(tblMeasure[[#This Row],[str_msr_population_or_survey]:[str_src_quality_url]]),str_weights)/str_weights_total</f>
        <v>0.80769230769230771</v>
      </c>
    </row>
    <row r="83" spans="1:45" hidden="1" x14ac:dyDescent="0.15">
      <c r="A83" s="30">
        <v>81</v>
      </c>
      <c r="B83" s="15">
        <f>COUNTIF(requirement_measure_map!$D$3:$D$1514,measure!A83)</f>
        <v>3</v>
      </c>
      <c r="C83" s="30" t="s">
        <v>315</v>
      </c>
      <c r="D83" s="15" t="s">
        <v>424</v>
      </c>
      <c r="E83" s="15" t="s">
        <v>464</v>
      </c>
      <c r="F83" s="15" t="s">
        <v>465</v>
      </c>
      <c r="G83" s="29" t="s">
        <v>427</v>
      </c>
      <c r="H83" s="15" t="s">
        <v>428</v>
      </c>
      <c r="I83" s="15" t="s">
        <v>429</v>
      </c>
      <c r="J83" s="15" t="s">
        <v>430</v>
      </c>
      <c r="K83" s="15" t="s">
        <v>466</v>
      </c>
      <c r="L83" s="15" t="s">
        <v>217</v>
      </c>
      <c r="M83" s="15" t="s">
        <v>218</v>
      </c>
      <c r="N83" s="15" t="s">
        <v>220</v>
      </c>
      <c r="O83" s="15" t="s">
        <v>219</v>
      </c>
      <c r="P83" s="15" t="s">
        <v>219</v>
      </c>
      <c r="Q83" s="15" t="s">
        <v>219</v>
      </c>
      <c r="R83" s="15" t="s">
        <v>219</v>
      </c>
      <c r="S83" s="15" t="s">
        <v>219</v>
      </c>
      <c r="T83" s="15" t="s">
        <v>219</v>
      </c>
      <c r="U83" s="15" t="s">
        <v>219</v>
      </c>
      <c r="V83" s="15" t="s">
        <v>219</v>
      </c>
      <c r="W83" s="15">
        <v>2</v>
      </c>
      <c r="X83" s="15" t="str">
        <f>_xlfn.XLOOKUP(tblMeasure[[#This Row],[id_src]],tblSource[id_src],tblSource[org])</f>
        <v>NHS Digital</v>
      </c>
      <c r="Y83" s="15" t="str">
        <f>_xlfn.XLOOKUP(tblMeasure[[#This Row],[id_src]],tblSource[id_src],tblSource[source])</f>
        <v>ASCOF</v>
      </c>
      <c r="Z83" s="15" t="str">
        <f>_xlfn.XLOOKUP(tblMeasure[[#This Row],[id_src]],tblSource[id_src],tblSource[url_source])</f>
        <v>https://digital.nhs.uk/data-and-information/publications/statistical/adult-social-care-outcomes-framework-ascof</v>
      </c>
      <c r="AA83" s="15">
        <f>_xlfn.XLOOKUP(tblMeasure[[#This Row],[id_src]],tblSource[id_src],tblSource[year_first_published])</f>
        <v>2012</v>
      </c>
      <c r="AB83" s="15">
        <f>_xlfn.XLOOKUP(tblMeasure[[#This Row],[id_src]],tblSource[id_src],tblSource[year_last_published])</f>
        <v>2019</v>
      </c>
      <c r="AC83" s="15" t="str">
        <f>_xlfn.XLOOKUP(tblMeasure[[#This Row],[id_src]],tblSource[id_src],tblSource[discontinuity])</f>
        <v>At least one measure impact each year since 2012</v>
      </c>
      <c r="AD83" s="15" t="str">
        <f>_xlfn.XLOOKUP(tblMeasure[[#This Row],[id_src]],tblSource[id_src],tblSource[publication_frequency])</f>
        <v>Annual</v>
      </c>
      <c r="AE83" s="15">
        <f>_xlfn.XLOOKUP(tblMeasure[[#This Row],[id_src]],tblSource[id_src],tblSource[publication_lag_months])</f>
        <v>7</v>
      </c>
      <c r="AF83" s="25" t="str">
        <f>_xlfn.XLOOKUP(tblMeasure[[#This Row],[id_src]],tblSource[id_src],tblSource[data_providers])</f>
        <v>See trace</v>
      </c>
      <c r="AG83" s="25" t="str">
        <f>_xlfn.XLOOKUP(tblMeasure[[#This Row],[id_src]],tblSource[id_src],tblSource[statistic_class])</f>
        <v>Official</v>
      </c>
      <c r="AH83" s="25" t="str">
        <f>_xlfn.XLOOKUP(tblMeasure[[#This Row],[id_src]],tblSource[id_src],tblSource[methodology_link])</f>
        <v>https://files.digital.nhs.uk/19/C45DF7/meas-from-asc-of-eng-1819-Appendices.pdf</v>
      </c>
      <c r="AI83" s="25" t="str">
        <f>_xlfn.XLOOKUP(tblMeasure[[#This Row],[id_src]],tblSource[id_src],tblSource[quality_issues])</f>
        <v>https://files.digital.nhs.uk/19/C45DF7/meas-from-asc-of-eng-1819-Appendices.pdf</v>
      </c>
      <c r="AJ83" s="25">
        <f>VLOOKUP(tblMeasure[[#This Row],[msr_population_or_survey]],strlu_msr_population_or_survey,2,FALSE)</f>
        <v>0</v>
      </c>
      <c r="AK83" s="25">
        <f>VLOOKUP(tblMeasure[[#This Row],[msr_min_geo_resolution]],strlu_msr_min_geo_resolution,2,FALSE)</f>
        <v>1</v>
      </c>
      <c r="AL83" s="25">
        <f>(MAX(tblMeasure[[#This Row],[src_year_last_published]]-2010+1,0)+MIN(2010-tblMeasure[[#This Row],[src_year_first_published]],0)-MAX(tblMeasure[[#This Row],[src_year_last_published]]-2019,0))/10</f>
        <v>0.8</v>
      </c>
      <c r="AM83" s="25">
        <f>IF(OR(tblMeasure[[#This Row],[src_discontinuity]]="None",tblMeasure[[#This Row],[src_discontinuity]]=0),1,0)</f>
        <v>0</v>
      </c>
      <c r="AN83" s="25">
        <f>VLOOKUP(tblMeasure[[#This Row],[src_pub_frequency]],strlu_src_pub_frequency,2,FALSE)</f>
        <v>0.8</v>
      </c>
      <c r="AO83" s="25">
        <f>VLOOKUP(tblMeasure[[#This Row],[src_pub_lag_months]],strlu_src_pub_lag_months,2,FALSE)</f>
        <v>0.3</v>
      </c>
      <c r="AP83" s="25">
        <f>VLOOKUP(tblMeasure[[#This Row],[src_statistic_class]],strlu_src_statistic_class,2,FALSE)</f>
        <v>1</v>
      </c>
      <c r="AQ83" s="25">
        <f>IF(tblMeasure[[#This Row],[src_methodology_url]]="TBD",0,1)</f>
        <v>1</v>
      </c>
      <c r="AR83" s="25">
        <f>IF(tblMeasure[[#This Row],[src_quality_url]]="TBD",0,1)</f>
        <v>1</v>
      </c>
      <c r="AS83" s="85" cm="1">
        <f t="array" ref="AS83">SUMPRODUCT(TRANSPOSE(tblMeasure[[#This Row],[str_msr_population_or_survey]:[str_src_quality_url]]),str_weights)/str_weights_total</f>
        <v>0.65384615384615385</v>
      </c>
    </row>
    <row r="84" spans="1:45" hidden="1" x14ac:dyDescent="0.15">
      <c r="A84" s="30">
        <v>82</v>
      </c>
      <c r="B84" s="15">
        <f>COUNTIF(requirement_measure_map!$D$3:$D$1514,measure!A84)</f>
        <v>4</v>
      </c>
      <c r="C84" s="30" t="s">
        <v>315</v>
      </c>
      <c r="D84" s="15" t="s">
        <v>424</v>
      </c>
      <c r="E84" s="15" t="s">
        <v>467</v>
      </c>
      <c r="F84" s="15" t="s">
        <v>468</v>
      </c>
      <c r="G84" s="29" t="s">
        <v>427</v>
      </c>
      <c r="H84" s="15" t="s">
        <v>449</v>
      </c>
      <c r="I84" s="15" t="s">
        <v>429</v>
      </c>
      <c r="J84" s="15" t="s">
        <v>450</v>
      </c>
      <c r="K84" s="15" t="s">
        <v>469</v>
      </c>
      <c r="L84" s="15" t="s">
        <v>217</v>
      </c>
      <c r="M84" s="15" t="s">
        <v>219</v>
      </c>
      <c r="N84" s="15" t="s">
        <v>219</v>
      </c>
      <c r="O84" s="15" t="s">
        <v>219</v>
      </c>
      <c r="P84" s="15" t="s">
        <v>219</v>
      </c>
      <c r="Q84" s="15" t="s">
        <v>219</v>
      </c>
      <c r="R84" s="15" t="s">
        <v>219</v>
      </c>
      <c r="S84" s="15" t="s">
        <v>220</v>
      </c>
      <c r="T84" s="15" t="s">
        <v>219</v>
      </c>
      <c r="U84" s="15" t="s">
        <v>219</v>
      </c>
      <c r="V84" s="15" t="s">
        <v>219</v>
      </c>
      <c r="W84" s="15">
        <v>2</v>
      </c>
      <c r="X84" s="15" t="str">
        <f>_xlfn.XLOOKUP(tblMeasure[[#This Row],[id_src]],tblSource[id_src],tblSource[org])</f>
        <v>NHS Digital</v>
      </c>
      <c r="Y84" s="15" t="str">
        <f>_xlfn.XLOOKUP(tblMeasure[[#This Row],[id_src]],tblSource[id_src],tblSource[source])</f>
        <v>ASCOF</v>
      </c>
      <c r="Z84" s="15" t="str">
        <f>_xlfn.XLOOKUP(tblMeasure[[#This Row],[id_src]],tblSource[id_src],tblSource[url_source])</f>
        <v>https://digital.nhs.uk/data-and-information/publications/statistical/adult-social-care-outcomes-framework-ascof</v>
      </c>
      <c r="AA84" s="15">
        <f>_xlfn.XLOOKUP(tblMeasure[[#This Row],[id_src]],tblSource[id_src],tblSource[year_first_published])</f>
        <v>2012</v>
      </c>
      <c r="AB84" s="15">
        <f>_xlfn.XLOOKUP(tblMeasure[[#This Row],[id_src]],tblSource[id_src],tblSource[year_last_published])</f>
        <v>2019</v>
      </c>
      <c r="AC84" s="15" t="str">
        <f>_xlfn.XLOOKUP(tblMeasure[[#This Row],[id_src]],tblSource[id_src],tblSource[discontinuity])</f>
        <v>At least one measure impact each year since 2012</v>
      </c>
      <c r="AD84" s="15" t="str">
        <f>_xlfn.XLOOKUP(tblMeasure[[#This Row],[id_src]],tblSource[id_src],tblSource[publication_frequency])</f>
        <v>Annual</v>
      </c>
      <c r="AE84" s="15">
        <f>_xlfn.XLOOKUP(tblMeasure[[#This Row],[id_src]],tblSource[id_src],tblSource[publication_lag_months])</f>
        <v>7</v>
      </c>
      <c r="AF84" s="25" t="str">
        <f>_xlfn.XLOOKUP(tblMeasure[[#This Row],[id_src]],tblSource[id_src],tblSource[data_providers])</f>
        <v>See trace</v>
      </c>
      <c r="AG84" s="25" t="str">
        <f>_xlfn.XLOOKUP(tblMeasure[[#This Row],[id_src]],tblSource[id_src],tblSource[statistic_class])</f>
        <v>Official</v>
      </c>
      <c r="AH84" s="25" t="str">
        <f>_xlfn.XLOOKUP(tblMeasure[[#This Row],[id_src]],tblSource[id_src],tblSource[methodology_link])</f>
        <v>https://files.digital.nhs.uk/19/C45DF7/meas-from-asc-of-eng-1819-Appendices.pdf</v>
      </c>
      <c r="AI84" s="25" t="str">
        <f>_xlfn.XLOOKUP(tblMeasure[[#This Row],[id_src]],tblSource[id_src],tblSource[quality_issues])</f>
        <v>https://files.digital.nhs.uk/19/C45DF7/meas-from-asc-of-eng-1819-Appendices.pdf</v>
      </c>
      <c r="AJ84" s="25">
        <f>VLOOKUP(tblMeasure[[#This Row],[msr_population_or_survey]],strlu_msr_population_or_survey,2,FALSE)</f>
        <v>0</v>
      </c>
      <c r="AK84" s="25">
        <f>VLOOKUP(tblMeasure[[#This Row],[msr_min_geo_resolution]],strlu_msr_min_geo_resolution,2,FALSE)</f>
        <v>1</v>
      </c>
      <c r="AL84" s="25">
        <f>(MAX(tblMeasure[[#This Row],[src_year_last_published]]-2010+1,0)+MIN(2010-tblMeasure[[#This Row],[src_year_first_published]],0)-MAX(tblMeasure[[#This Row],[src_year_last_published]]-2019,0))/10</f>
        <v>0.8</v>
      </c>
      <c r="AM84" s="25">
        <f>IF(OR(tblMeasure[[#This Row],[src_discontinuity]]="None",tblMeasure[[#This Row],[src_discontinuity]]=0),1,0)</f>
        <v>0</v>
      </c>
      <c r="AN84" s="25">
        <f>VLOOKUP(tblMeasure[[#This Row],[src_pub_frequency]],strlu_src_pub_frequency,2,FALSE)</f>
        <v>0.8</v>
      </c>
      <c r="AO84" s="25">
        <f>VLOOKUP(tblMeasure[[#This Row],[src_pub_lag_months]],strlu_src_pub_lag_months,2,FALSE)</f>
        <v>0.3</v>
      </c>
      <c r="AP84" s="25">
        <f>VLOOKUP(tblMeasure[[#This Row],[src_statistic_class]],strlu_src_statistic_class,2,FALSE)</f>
        <v>1</v>
      </c>
      <c r="AQ84" s="25">
        <f>IF(tblMeasure[[#This Row],[src_methodology_url]]="TBD",0,1)</f>
        <v>1</v>
      </c>
      <c r="AR84" s="25">
        <f>IF(tblMeasure[[#This Row],[src_quality_url]]="TBD",0,1)</f>
        <v>1</v>
      </c>
      <c r="AS84" s="85" cm="1">
        <f t="array" ref="AS84">SUMPRODUCT(TRANSPOSE(tblMeasure[[#This Row],[str_msr_population_or_survey]:[str_src_quality_url]]),str_weights)/str_weights_total</f>
        <v>0.65384615384615385</v>
      </c>
    </row>
    <row r="85" spans="1:45" hidden="1" x14ac:dyDescent="0.15">
      <c r="A85" s="30">
        <v>83</v>
      </c>
      <c r="B85" s="15">
        <f>COUNTIF(requirement_measure_map!$D$3:$D$1514,measure!A85)</f>
        <v>1</v>
      </c>
      <c r="C85" s="30" t="s">
        <v>315</v>
      </c>
      <c r="D85" s="15" t="s">
        <v>424</v>
      </c>
      <c r="E85" s="15" t="s">
        <v>470</v>
      </c>
      <c r="F85" s="15" t="s">
        <v>471</v>
      </c>
      <c r="G85" s="29" t="s">
        <v>427</v>
      </c>
      <c r="H85" s="15" t="s">
        <v>428</v>
      </c>
      <c r="I85" s="15" t="s">
        <v>429</v>
      </c>
      <c r="J85" s="15" t="s">
        <v>430</v>
      </c>
      <c r="K85" s="15" t="s">
        <v>431</v>
      </c>
      <c r="L85" s="15" t="s">
        <v>217</v>
      </c>
      <c r="M85" s="15" t="s">
        <v>219</v>
      </c>
      <c r="N85" s="15" t="s">
        <v>219</v>
      </c>
      <c r="O85" s="15" t="s">
        <v>219</v>
      </c>
      <c r="P85" s="15" t="s">
        <v>219</v>
      </c>
      <c r="Q85" s="15" t="s">
        <v>219</v>
      </c>
      <c r="R85" s="15" t="s">
        <v>219</v>
      </c>
      <c r="S85" s="15" t="s">
        <v>219</v>
      </c>
      <c r="T85" s="15" t="s">
        <v>219</v>
      </c>
      <c r="U85" s="15" t="s">
        <v>219</v>
      </c>
      <c r="V85" s="15" t="s">
        <v>219</v>
      </c>
      <c r="W85" s="15">
        <v>2</v>
      </c>
      <c r="X85" s="15" t="str">
        <f>_xlfn.XLOOKUP(tblMeasure[[#This Row],[id_src]],tblSource[id_src],tblSource[org])</f>
        <v>NHS Digital</v>
      </c>
      <c r="Y85" s="15" t="str">
        <f>_xlfn.XLOOKUP(tblMeasure[[#This Row],[id_src]],tblSource[id_src],tblSource[source])</f>
        <v>ASCOF</v>
      </c>
      <c r="Z85" s="15" t="str">
        <f>_xlfn.XLOOKUP(tblMeasure[[#This Row],[id_src]],tblSource[id_src],tblSource[url_source])</f>
        <v>https://digital.nhs.uk/data-and-information/publications/statistical/adult-social-care-outcomes-framework-ascof</v>
      </c>
      <c r="AA85" s="15">
        <f>_xlfn.XLOOKUP(tblMeasure[[#This Row],[id_src]],tblSource[id_src],tblSource[year_first_published])</f>
        <v>2012</v>
      </c>
      <c r="AB85" s="15">
        <f>_xlfn.XLOOKUP(tblMeasure[[#This Row],[id_src]],tblSource[id_src],tblSource[year_last_published])</f>
        <v>2019</v>
      </c>
      <c r="AC85" s="15" t="str">
        <f>_xlfn.XLOOKUP(tblMeasure[[#This Row],[id_src]],tblSource[id_src],tblSource[discontinuity])</f>
        <v>At least one measure impact each year since 2012</v>
      </c>
      <c r="AD85" s="15" t="str">
        <f>_xlfn.XLOOKUP(tblMeasure[[#This Row],[id_src]],tblSource[id_src],tblSource[publication_frequency])</f>
        <v>Annual</v>
      </c>
      <c r="AE85" s="15">
        <f>_xlfn.XLOOKUP(tblMeasure[[#This Row],[id_src]],tblSource[id_src],tblSource[publication_lag_months])</f>
        <v>7</v>
      </c>
      <c r="AF85" s="25" t="str">
        <f>_xlfn.XLOOKUP(tblMeasure[[#This Row],[id_src]],tblSource[id_src],tblSource[data_providers])</f>
        <v>See trace</v>
      </c>
      <c r="AG85" s="25" t="str">
        <f>_xlfn.XLOOKUP(tblMeasure[[#This Row],[id_src]],tblSource[id_src],tblSource[statistic_class])</f>
        <v>Official</v>
      </c>
      <c r="AH85" s="25" t="str">
        <f>_xlfn.XLOOKUP(tblMeasure[[#This Row],[id_src]],tblSource[id_src],tblSource[methodology_link])</f>
        <v>https://files.digital.nhs.uk/19/C45DF7/meas-from-asc-of-eng-1819-Appendices.pdf</v>
      </c>
      <c r="AI85" s="25" t="str">
        <f>_xlfn.XLOOKUP(tblMeasure[[#This Row],[id_src]],tblSource[id_src],tblSource[quality_issues])</f>
        <v>https://files.digital.nhs.uk/19/C45DF7/meas-from-asc-of-eng-1819-Appendices.pdf</v>
      </c>
      <c r="AJ85" s="25">
        <f>VLOOKUP(tblMeasure[[#This Row],[msr_population_or_survey]],strlu_msr_population_or_survey,2,FALSE)</f>
        <v>0</v>
      </c>
      <c r="AK85" s="25">
        <f>VLOOKUP(tblMeasure[[#This Row],[msr_min_geo_resolution]],strlu_msr_min_geo_resolution,2,FALSE)</f>
        <v>1</v>
      </c>
      <c r="AL85" s="25">
        <f>(MAX(tblMeasure[[#This Row],[src_year_last_published]]-2010+1,0)+MIN(2010-tblMeasure[[#This Row],[src_year_first_published]],0)-MAX(tblMeasure[[#This Row],[src_year_last_published]]-2019,0))/10</f>
        <v>0.8</v>
      </c>
      <c r="AM85" s="25">
        <f>IF(OR(tblMeasure[[#This Row],[src_discontinuity]]="None",tblMeasure[[#This Row],[src_discontinuity]]=0),1,0)</f>
        <v>0</v>
      </c>
      <c r="AN85" s="25">
        <f>VLOOKUP(tblMeasure[[#This Row],[src_pub_frequency]],strlu_src_pub_frequency,2,FALSE)</f>
        <v>0.8</v>
      </c>
      <c r="AO85" s="25">
        <f>VLOOKUP(tblMeasure[[#This Row],[src_pub_lag_months]],strlu_src_pub_lag_months,2,FALSE)</f>
        <v>0.3</v>
      </c>
      <c r="AP85" s="25">
        <f>VLOOKUP(tblMeasure[[#This Row],[src_statistic_class]],strlu_src_statistic_class,2,FALSE)</f>
        <v>1</v>
      </c>
      <c r="AQ85" s="25">
        <f>IF(tblMeasure[[#This Row],[src_methodology_url]]="TBD",0,1)</f>
        <v>1</v>
      </c>
      <c r="AR85" s="25">
        <f>IF(tblMeasure[[#This Row],[src_quality_url]]="TBD",0,1)</f>
        <v>1</v>
      </c>
      <c r="AS85" s="85" cm="1">
        <f t="array" ref="AS85">SUMPRODUCT(TRANSPOSE(tblMeasure[[#This Row],[str_msr_population_or_survey]:[str_src_quality_url]]),str_weights)/str_weights_total</f>
        <v>0.65384615384615385</v>
      </c>
    </row>
    <row r="86" spans="1:45" hidden="1" x14ac:dyDescent="0.15">
      <c r="A86" s="30">
        <v>84</v>
      </c>
      <c r="B86" s="15">
        <f>COUNTIF(requirement_measure_map!$D$3:$D$1514,measure!A86)</f>
        <v>4</v>
      </c>
      <c r="C86" s="30" t="s">
        <v>315</v>
      </c>
      <c r="D86" s="15" t="s">
        <v>472</v>
      </c>
      <c r="E86" s="15" t="s">
        <v>473</v>
      </c>
      <c r="F86" s="15" t="s">
        <v>474</v>
      </c>
      <c r="G86" s="29" t="s">
        <v>427</v>
      </c>
      <c r="H86" s="15" t="s">
        <v>224</v>
      </c>
      <c r="I86" s="15" t="s">
        <v>214</v>
      </c>
      <c r="J86" s="15" t="s">
        <v>215</v>
      </c>
      <c r="K86" s="15" t="s">
        <v>475</v>
      </c>
      <c r="L86" s="15" t="s">
        <v>217</v>
      </c>
      <c r="M86" s="15" t="s">
        <v>220</v>
      </c>
      <c r="N86" s="15" t="s">
        <v>219</v>
      </c>
      <c r="O86" s="15" t="s">
        <v>219</v>
      </c>
      <c r="P86" s="15" t="s">
        <v>219</v>
      </c>
      <c r="Q86" s="15" t="s">
        <v>219</v>
      </c>
      <c r="R86" s="15" t="s">
        <v>219</v>
      </c>
      <c r="S86" s="15" t="s">
        <v>219</v>
      </c>
      <c r="T86" s="15" t="s">
        <v>220</v>
      </c>
      <c r="U86" s="15" t="s">
        <v>218</v>
      </c>
      <c r="V86" s="15" t="s">
        <v>219</v>
      </c>
      <c r="W86" s="15">
        <v>2</v>
      </c>
      <c r="X86" s="15" t="str">
        <f>_xlfn.XLOOKUP(tblMeasure[[#This Row],[id_src]],tblSource[id_src],tblSource[org])</f>
        <v>NHS Digital</v>
      </c>
      <c r="Y86" s="15" t="str">
        <f>_xlfn.XLOOKUP(tblMeasure[[#This Row],[id_src]],tblSource[id_src],tblSource[source])</f>
        <v>ASCOF</v>
      </c>
      <c r="Z86" s="15" t="str">
        <f>_xlfn.XLOOKUP(tblMeasure[[#This Row],[id_src]],tblSource[id_src],tblSource[url_source])</f>
        <v>https://digital.nhs.uk/data-and-information/publications/statistical/adult-social-care-outcomes-framework-ascof</v>
      </c>
      <c r="AA86" s="15">
        <f>_xlfn.XLOOKUP(tblMeasure[[#This Row],[id_src]],tblSource[id_src],tblSource[year_first_published])</f>
        <v>2012</v>
      </c>
      <c r="AB86" s="15">
        <f>_xlfn.XLOOKUP(tblMeasure[[#This Row],[id_src]],tblSource[id_src],tblSource[year_last_published])</f>
        <v>2019</v>
      </c>
      <c r="AC86" s="15" t="str">
        <f>_xlfn.XLOOKUP(tblMeasure[[#This Row],[id_src]],tblSource[id_src],tblSource[discontinuity])</f>
        <v>At least one measure impact each year since 2012</v>
      </c>
      <c r="AD86" s="15" t="str">
        <f>_xlfn.XLOOKUP(tblMeasure[[#This Row],[id_src]],tblSource[id_src],tblSource[publication_frequency])</f>
        <v>Annual</v>
      </c>
      <c r="AE86" s="15">
        <f>_xlfn.XLOOKUP(tblMeasure[[#This Row],[id_src]],tblSource[id_src],tblSource[publication_lag_months])</f>
        <v>7</v>
      </c>
      <c r="AF86" s="25" t="str">
        <f>_xlfn.XLOOKUP(tblMeasure[[#This Row],[id_src]],tblSource[id_src],tblSource[data_providers])</f>
        <v>See trace</v>
      </c>
      <c r="AG86" s="25" t="str">
        <f>_xlfn.XLOOKUP(tblMeasure[[#This Row],[id_src]],tblSource[id_src],tblSource[statistic_class])</f>
        <v>Official</v>
      </c>
      <c r="AH86" s="25" t="str">
        <f>_xlfn.XLOOKUP(tblMeasure[[#This Row],[id_src]],tblSource[id_src],tblSource[methodology_link])</f>
        <v>https://files.digital.nhs.uk/19/C45DF7/meas-from-asc-of-eng-1819-Appendices.pdf</v>
      </c>
      <c r="AI86" s="25" t="str">
        <f>_xlfn.XLOOKUP(tblMeasure[[#This Row],[id_src]],tblSource[id_src],tblSource[quality_issues])</f>
        <v>https://files.digital.nhs.uk/19/C45DF7/meas-from-asc-of-eng-1819-Appendices.pdf</v>
      </c>
      <c r="AJ86" s="25">
        <f>VLOOKUP(tblMeasure[[#This Row],[msr_population_or_survey]],strlu_msr_population_or_survey,2,FALSE)</f>
        <v>1</v>
      </c>
      <c r="AK86" s="25">
        <f>VLOOKUP(tblMeasure[[#This Row],[msr_min_geo_resolution]],strlu_msr_min_geo_resolution,2,FALSE)</f>
        <v>1</v>
      </c>
      <c r="AL86" s="25">
        <f>(MAX(tblMeasure[[#This Row],[src_year_last_published]]-2010+1,0)+MIN(2010-tblMeasure[[#This Row],[src_year_first_published]],0)-MAX(tblMeasure[[#This Row],[src_year_last_published]]-2019,0))/10</f>
        <v>0.8</v>
      </c>
      <c r="AM86" s="25">
        <f>IF(OR(tblMeasure[[#This Row],[src_discontinuity]]="None",tblMeasure[[#This Row],[src_discontinuity]]=0),1,0)</f>
        <v>0</v>
      </c>
      <c r="AN86" s="25">
        <f>VLOOKUP(tblMeasure[[#This Row],[src_pub_frequency]],strlu_src_pub_frequency,2,FALSE)</f>
        <v>0.8</v>
      </c>
      <c r="AO86" s="25">
        <f>VLOOKUP(tblMeasure[[#This Row],[src_pub_lag_months]],strlu_src_pub_lag_months,2,FALSE)</f>
        <v>0.3</v>
      </c>
      <c r="AP86" s="25">
        <f>VLOOKUP(tblMeasure[[#This Row],[src_statistic_class]],strlu_src_statistic_class,2,FALSE)</f>
        <v>1</v>
      </c>
      <c r="AQ86" s="25">
        <f>IF(tblMeasure[[#This Row],[src_methodology_url]]="TBD",0,1)</f>
        <v>1</v>
      </c>
      <c r="AR86" s="25">
        <f>IF(tblMeasure[[#This Row],[src_quality_url]]="TBD",0,1)</f>
        <v>1</v>
      </c>
      <c r="AS86" s="85" cm="1">
        <f t="array" ref="AS86">SUMPRODUCT(TRANSPOSE(tblMeasure[[#This Row],[str_msr_population_or_survey]:[str_src_quality_url]]),str_weights)/str_weights_total</f>
        <v>0.80769230769230771</v>
      </c>
    </row>
    <row r="87" spans="1:45" hidden="1" x14ac:dyDescent="0.15">
      <c r="A87" s="30">
        <v>85</v>
      </c>
      <c r="B87" s="15">
        <f>COUNTIF(requirement_measure_map!$D$3:$D$1514,measure!A87)</f>
        <v>4</v>
      </c>
      <c r="C87" s="30" t="s">
        <v>315</v>
      </c>
      <c r="D87" s="15" t="s">
        <v>472</v>
      </c>
      <c r="E87" s="15" t="s">
        <v>476</v>
      </c>
      <c r="F87" s="15" t="s">
        <v>477</v>
      </c>
      <c r="G87" s="29" t="s">
        <v>427</v>
      </c>
      <c r="H87" s="15" t="s">
        <v>224</v>
      </c>
      <c r="I87" s="15" t="s">
        <v>214</v>
      </c>
      <c r="J87" s="15" t="s">
        <v>215</v>
      </c>
      <c r="K87" s="15" t="s">
        <v>475</v>
      </c>
      <c r="L87" s="15" t="s">
        <v>217</v>
      </c>
      <c r="M87" s="15" t="s">
        <v>220</v>
      </c>
      <c r="N87" s="15" t="s">
        <v>219</v>
      </c>
      <c r="O87" s="15" t="s">
        <v>219</v>
      </c>
      <c r="P87" s="15" t="s">
        <v>219</v>
      </c>
      <c r="Q87" s="15" t="s">
        <v>219</v>
      </c>
      <c r="R87" s="15" t="s">
        <v>219</v>
      </c>
      <c r="S87" s="15" t="s">
        <v>219</v>
      </c>
      <c r="T87" s="15" t="s">
        <v>220</v>
      </c>
      <c r="U87" s="15" t="s">
        <v>218</v>
      </c>
      <c r="V87" s="15" t="s">
        <v>219</v>
      </c>
      <c r="W87" s="15">
        <v>2</v>
      </c>
      <c r="X87" s="15" t="str">
        <f>_xlfn.XLOOKUP(tblMeasure[[#This Row],[id_src]],tblSource[id_src],tblSource[org])</f>
        <v>NHS Digital</v>
      </c>
      <c r="Y87" s="15" t="str">
        <f>_xlfn.XLOOKUP(tblMeasure[[#This Row],[id_src]],tblSource[id_src],tblSource[source])</f>
        <v>ASCOF</v>
      </c>
      <c r="Z87" s="15" t="str">
        <f>_xlfn.XLOOKUP(tblMeasure[[#This Row],[id_src]],tblSource[id_src],tblSource[url_source])</f>
        <v>https://digital.nhs.uk/data-and-information/publications/statistical/adult-social-care-outcomes-framework-ascof</v>
      </c>
      <c r="AA87" s="15">
        <f>_xlfn.XLOOKUP(tblMeasure[[#This Row],[id_src]],tblSource[id_src],tblSource[year_first_published])</f>
        <v>2012</v>
      </c>
      <c r="AB87" s="15">
        <f>_xlfn.XLOOKUP(tblMeasure[[#This Row],[id_src]],tblSource[id_src],tblSource[year_last_published])</f>
        <v>2019</v>
      </c>
      <c r="AC87" s="15" t="str">
        <f>_xlfn.XLOOKUP(tblMeasure[[#This Row],[id_src]],tblSource[id_src],tblSource[discontinuity])</f>
        <v>At least one measure impact each year since 2012</v>
      </c>
      <c r="AD87" s="15" t="str">
        <f>_xlfn.XLOOKUP(tblMeasure[[#This Row],[id_src]],tblSource[id_src],tblSource[publication_frequency])</f>
        <v>Annual</v>
      </c>
      <c r="AE87" s="15">
        <f>_xlfn.XLOOKUP(tblMeasure[[#This Row],[id_src]],tblSource[id_src],tblSource[publication_lag_months])</f>
        <v>7</v>
      </c>
      <c r="AF87" s="25" t="str">
        <f>_xlfn.XLOOKUP(tblMeasure[[#This Row],[id_src]],tblSource[id_src],tblSource[data_providers])</f>
        <v>See trace</v>
      </c>
      <c r="AG87" s="25" t="str">
        <f>_xlfn.XLOOKUP(tblMeasure[[#This Row],[id_src]],tblSource[id_src],tblSource[statistic_class])</f>
        <v>Official</v>
      </c>
      <c r="AH87" s="25" t="str">
        <f>_xlfn.XLOOKUP(tblMeasure[[#This Row],[id_src]],tblSource[id_src],tblSource[methodology_link])</f>
        <v>https://files.digital.nhs.uk/19/C45DF7/meas-from-asc-of-eng-1819-Appendices.pdf</v>
      </c>
      <c r="AI87" s="25" t="str">
        <f>_xlfn.XLOOKUP(tblMeasure[[#This Row],[id_src]],tblSource[id_src],tblSource[quality_issues])</f>
        <v>https://files.digital.nhs.uk/19/C45DF7/meas-from-asc-of-eng-1819-Appendices.pdf</v>
      </c>
      <c r="AJ87" s="25">
        <f>VLOOKUP(tblMeasure[[#This Row],[msr_population_or_survey]],strlu_msr_population_or_survey,2,FALSE)</f>
        <v>1</v>
      </c>
      <c r="AK87" s="25">
        <f>VLOOKUP(tblMeasure[[#This Row],[msr_min_geo_resolution]],strlu_msr_min_geo_resolution,2,FALSE)</f>
        <v>1</v>
      </c>
      <c r="AL87" s="25">
        <f>(MAX(tblMeasure[[#This Row],[src_year_last_published]]-2010+1,0)+MIN(2010-tblMeasure[[#This Row],[src_year_first_published]],0)-MAX(tblMeasure[[#This Row],[src_year_last_published]]-2019,0))/10</f>
        <v>0.8</v>
      </c>
      <c r="AM87" s="25">
        <f>IF(OR(tblMeasure[[#This Row],[src_discontinuity]]="None",tblMeasure[[#This Row],[src_discontinuity]]=0),1,0)</f>
        <v>0</v>
      </c>
      <c r="AN87" s="25">
        <f>VLOOKUP(tblMeasure[[#This Row],[src_pub_frequency]],strlu_src_pub_frequency,2,FALSE)</f>
        <v>0.8</v>
      </c>
      <c r="AO87" s="25">
        <f>VLOOKUP(tblMeasure[[#This Row],[src_pub_lag_months]],strlu_src_pub_lag_months,2,FALSE)</f>
        <v>0.3</v>
      </c>
      <c r="AP87" s="25">
        <f>VLOOKUP(tblMeasure[[#This Row],[src_statistic_class]],strlu_src_statistic_class,2,FALSE)</f>
        <v>1</v>
      </c>
      <c r="AQ87" s="25">
        <f>IF(tblMeasure[[#This Row],[src_methodology_url]]="TBD",0,1)</f>
        <v>1</v>
      </c>
      <c r="AR87" s="25">
        <f>IF(tblMeasure[[#This Row],[src_quality_url]]="TBD",0,1)</f>
        <v>1</v>
      </c>
      <c r="AS87" s="85" cm="1">
        <f t="array" ref="AS87">SUMPRODUCT(TRANSPOSE(tblMeasure[[#This Row],[str_msr_population_or_survey]:[str_src_quality_url]]),str_weights)/str_weights_total</f>
        <v>0.80769230769230771</v>
      </c>
    </row>
    <row r="88" spans="1:45" hidden="1" x14ac:dyDescent="0.15">
      <c r="A88" s="30">
        <v>86</v>
      </c>
      <c r="B88" s="15">
        <f>COUNTIF(requirement_measure_map!$D$3:$D$1514,measure!A88)</f>
        <v>4</v>
      </c>
      <c r="C88" s="30" t="s">
        <v>315</v>
      </c>
      <c r="D88" s="15" t="s">
        <v>472</v>
      </c>
      <c r="E88" s="15" t="s">
        <v>478</v>
      </c>
      <c r="F88" s="15" t="s">
        <v>479</v>
      </c>
      <c r="G88" s="29" t="s">
        <v>427</v>
      </c>
      <c r="H88" s="15" t="s">
        <v>480</v>
      </c>
      <c r="I88" s="15" t="s">
        <v>214</v>
      </c>
      <c r="J88" s="15" t="s">
        <v>215</v>
      </c>
      <c r="K88" s="15" t="s">
        <v>481</v>
      </c>
      <c r="L88" s="15" t="s">
        <v>217</v>
      </c>
      <c r="M88" s="15" t="s">
        <v>267</v>
      </c>
      <c r="N88" s="15" t="s">
        <v>220</v>
      </c>
      <c r="O88" s="15" t="s">
        <v>219</v>
      </c>
      <c r="P88" s="15" t="s">
        <v>219</v>
      </c>
      <c r="Q88" s="15" t="s">
        <v>219</v>
      </c>
      <c r="R88" s="15" t="s">
        <v>219</v>
      </c>
      <c r="S88" s="15" t="s">
        <v>219</v>
      </c>
      <c r="T88" s="15" t="s">
        <v>219</v>
      </c>
      <c r="U88" s="15" t="s">
        <v>219</v>
      </c>
      <c r="V88" s="15" t="s">
        <v>219</v>
      </c>
      <c r="W88" s="15">
        <v>2</v>
      </c>
      <c r="X88" s="15" t="str">
        <f>_xlfn.XLOOKUP(tblMeasure[[#This Row],[id_src]],tblSource[id_src],tblSource[org])</f>
        <v>NHS Digital</v>
      </c>
      <c r="Y88" s="15" t="str">
        <f>_xlfn.XLOOKUP(tblMeasure[[#This Row],[id_src]],tblSource[id_src],tblSource[source])</f>
        <v>ASCOF</v>
      </c>
      <c r="Z88" s="15" t="str">
        <f>_xlfn.XLOOKUP(tblMeasure[[#This Row],[id_src]],tblSource[id_src],tblSource[url_source])</f>
        <v>https://digital.nhs.uk/data-and-information/publications/statistical/adult-social-care-outcomes-framework-ascof</v>
      </c>
      <c r="AA88" s="15">
        <f>_xlfn.XLOOKUP(tblMeasure[[#This Row],[id_src]],tblSource[id_src],tblSource[year_first_published])</f>
        <v>2012</v>
      </c>
      <c r="AB88" s="15">
        <f>_xlfn.XLOOKUP(tblMeasure[[#This Row],[id_src]],tblSource[id_src],tblSource[year_last_published])</f>
        <v>2019</v>
      </c>
      <c r="AC88" s="15" t="str">
        <f>_xlfn.XLOOKUP(tblMeasure[[#This Row],[id_src]],tblSource[id_src],tblSource[discontinuity])</f>
        <v>At least one measure impact each year since 2012</v>
      </c>
      <c r="AD88" s="15" t="str">
        <f>_xlfn.XLOOKUP(tblMeasure[[#This Row],[id_src]],tblSource[id_src],tblSource[publication_frequency])</f>
        <v>Annual</v>
      </c>
      <c r="AE88" s="15">
        <f>_xlfn.XLOOKUP(tblMeasure[[#This Row],[id_src]],tblSource[id_src],tblSource[publication_lag_months])</f>
        <v>7</v>
      </c>
      <c r="AF88" s="25" t="str">
        <f>_xlfn.XLOOKUP(tblMeasure[[#This Row],[id_src]],tblSource[id_src],tblSource[data_providers])</f>
        <v>See trace</v>
      </c>
      <c r="AG88" s="25" t="str">
        <f>_xlfn.XLOOKUP(tblMeasure[[#This Row],[id_src]],tblSource[id_src],tblSource[statistic_class])</f>
        <v>Official</v>
      </c>
      <c r="AH88" s="25" t="str">
        <f>_xlfn.XLOOKUP(tblMeasure[[#This Row],[id_src]],tblSource[id_src],tblSource[methodology_link])</f>
        <v>https://files.digital.nhs.uk/19/C45DF7/meas-from-asc-of-eng-1819-Appendices.pdf</v>
      </c>
      <c r="AI88" s="25" t="str">
        <f>_xlfn.XLOOKUP(tblMeasure[[#This Row],[id_src]],tblSource[id_src],tblSource[quality_issues])</f>
        <v>https://files.digital.nhs.uk/19/C45DF7/meas-from-asc-of-eng-1819-Appendices.pdf</v>
      </c>
      <c r="AJ88" s="25">
        <f>VLOOKUP(tblMeasure[[#This Row],[msr_population_or_survey]],strlu_msr_population_or_survey,2,FALSE)</f>
        <v>1</v>
      </c>
      <c r="AK88" s="25">
        <f>VLOOKUP(tblMeasure[[#This Row],[msr_min_geo_resolution]],strlu_msr_min_geo_resolution,2,FALSE)</f>
        <v>1</v>
      </c>
      <c r="AL88" s="25">
        <f>(MAX(tblMeasure[[#This Row],[src_year_last_published]]-2010+1,0)+MIN(2010-tblMeasure[[#This Row],[src_year_first_published]],0)-MAX(tblMeasure[[#This Row],[src_year_last_published]]-2019,0))/10</f>
        <v>0.8</v>
      </c>
      <c r="AM88" s="25">
        <f>IF(OR(tblMeasure[[#This Row],[src_discontinuity]]="None",tblMeasure[[#This Row],[src_discontinuity]]=0),1,0)</f>
        <v>0</v>
      </c>
      <c r="AN88" s="25">
        <f>VLOOKUP(tblMeasure[[#This Row],[src_pub_frequency]],strlu_src_pub_frequency,2,FALSE)</f>
        <v>0.8</v>
      </c>
      <c r="AO88" s="25">
        <f>VLOOKUP(tblMeasure[[#This Row],[src_pub_lag_months]],strlu_src_pub_lag_months,2,FALSE)</f>
        <v>0.3</v>
      </c>
      <c r="AP88" s="25">
        <f>VLOOKUP(tblMeasure[[#This Row],[src_statistic_class]],strlu_src_statistic_class,2,FALSE)</f>
        <v>1</v>
      </c>
      <c r="AQ88" s="25">
        <f>IF(tblMeasure[[#This Row],[src_methodology_url]]="TBD",0,1)</f>
        <v>1</v>
      </c>
      <c r="AR88" s="25">
        <f>IF(tblMeasure[[#This Row],[src_quality_url]]="TBD",0,1)</f>
        <v>1</v>
      </c>
      <c r="AS88" s="85" cm="1">
        <f t="array" ref="AS88">SUMPRODUCT(TRANSPOSE(tblMeasure[[#This Row],[str_msr_population_or_survey]:[str_src_quality_url]]),str_weights)/str_weights_total</f>
        <v>0.80769230769230771</v>
      </c>
    </row>
    <row r="89" spans="1:45" hidden="1" x14ac:dyDescent="0.15">
      <c r="A89" s="30">
        <v>87</v>
      </c>
      <c r="B89" s="15">
        <f>COUNTIF(requirement_measure_map!$D$3:$D$1514,measure!A89)</f>
        <v>3</v>
      </c>
      <c r="C89" s="30" t="s">
        <v>315</v>
      </c>
      <c r="D89" s="15" t="s">
        <v>472</v>
      </c>
      <c r="E89" s="15" t="s">
        <v>482</v>
      </c>
      <c r="F89" s="15" t="s">
        <v>483</v>
      </c>
      <c r="G89" s="29" t="s">
        <v>427</v>
      </c>
      <c r="H89" s="15" t="s">
        <v>480</v>
      </c>
      <c r="I89" s="15" t="s">
        <v>214</v>
      </c>
      <c r="J89" s="15" t="s">
        <v>215</v>
      </c>
      <c r="K89" s="15" t="s">
        <v>484</v>
      </c>
      <c r="L89" s="15" t="s">
        <v>217</v>
      </c>
      <c r="M89" s="15" t="s">
        <v>267</v>
      </c>
      <c r="N89" s="15" t="s">
        <v>220</v>
      </c>
      <c r="O89" s="15" t="s">
        <v>219</v>
      </c>
      <c r="P89" s="15" t="s">
        <v>219</v>
      </c>
      <c r="Q89" s="15" t="s">
        <v>219</v>
      </c>
      <c r="R89" s="15" t="s">
        <v>219</v>
      </c>
      <c r="S89" s="15" t="s">
        <v>219</v>
      </c>
      <c r="T89" s="15" t="s">
        <v>219</v>
      </c>
      <c r="U89" s="15" t="s">
        <v>219</v>
      </c>
      <c r="V89" s="15" t="s">
        <v>219</v>
      </c>
      <c r="W89" s="15">
        <v>2</v>
      </c>
      <c r="X89" s="15" t="str">
        <f>_xlfn.XLOOKUP(tblMeasure[[#This Row],[id_src]],tblSource[id_src],tblSource[org])</f>
        <v>NHS Digital</v>
      </c>
      <c r="Y89" s="15" t="str">
        <f>_xlfn.XLOOKUP(tblMeasure[[#This Row],[id_src]],tblSource[id_src],tblSource[source])</f>
        <v>ASCOF</v>
      </c>
      <c r="Z89" s="15" t="str">
        <f>_xlfn.XLOOKUP(tblMeasure[[#This Row],[id_src]],tblSource[id_src],tblSource[url_source])</f>
        <v>https://digital.nhs.uk/data-and-information/publications/statistical/adult-social-care-outcomes-framework-ascof</v>
      </c>
      <c r="AA89" s="15">
        <f>_xlfn.XLOOKUP(tblMeasure[[#This Row],[id_src]],tblSource[id_src],tblSource[year_first_published])</f>
        <v>2012</v>
      </c>
      <c r="AB89" s="15">
        <f>_xlfn.XLOOKUP(tblMeasure[[#This Row],[id_src]],tblSource[id_src],tblSource[year_last_published])</f>
        <v>2019</v>
      </c>
      <c r="AC89" s="15" t="str">
        <f>_xlfn.XLOOKUP(tblMeasure[[#This Row],[id_src]],tblSource[id_src],tblSource[discontinuity])</f>
        <v>At least one measure impact each year since 2012</v>
      </c>
      <c r="AD89" s="15" t="str">
        <f>_xlfn.XLOOKUP(tblMeasure[[#This Row],[id_src]],tblSource[id_src],tblSource[publication_frequency])</f>
        <v>Annual</v>
      </c>
      <c r="AE89" s="15">
        <f>_xlfn.XLOOKUP(tblMeasure[[#This Row],[id_src]],tblSource[id_src],tblSource[publication_lag_months])</f>
        <v>7</v>
      </c>
      <c r="AF89" s="25" t="str">
        <f>_xlfn.XLOOKUP(tblMeasure[[#This Row],[id_src]],tblSource[id_src],tblSource[data_providers])</f>
        <v>See trace</v>
      </c>
      <c r="AG89" s="25" t="str">
        <f>_xlfn.XLOOKUP(tblMeasure[[#This Row],[id_src]],tblSource[id_src],tblSource[statistic_class])</f>
        <v>Official</v>
      </c>
      <c r="AH89" s="25" t="str">
        <f>_xlfn.XLOOKUP(tblMeasure[[#This Row],[id_src]],tblSource[id_src],tblSource[methodology_link])</f>
        <v>https://files.digital.nhs.uk/19/C45DF7/meas-from-asc-of-eng-1819-Appendices.pdf</v>
      </c>
      <c r="AI89" s="25" t="str">
        <f>_xlfn.XLOOKUP(tblMeasure[[#This Row],[id_src]],tblSource[id_src],tblSource[quality_issues])</f>
        <v>https://files.digital.nhs.uk/19/C45DF7/meas-from-asc-of-eng-1819-Appendices.pdf</v>
      </c>
      <c r="AJ89" s="25">
        <f>VLOOKUP(tblMeasure[[#This Row],[msr_population_or_survey]],strlu_msr_population_or_survey,2,FALSE)</f>
        <v>1</v>
      </c>
      <c r="AK89" s="25">
        <f>VLOOKUP(tblMeasure[[#This Row],[msr_min_geo_resolution]],strlu_msr_min_geo_resolution,2,FALSE)</f>
        <v>1</v>
      </c>
      <c r="AL89" s="25">
        <f>(MAX(tblMeasure[[#This Row],[src_year_last_published]]-2010+1,0)+MIN(2010-tblMeasure[[#This Row],[src_year_first_published]],0)-MAX(tblMeasure[[#This Row],[src_year_last_published]]-2019,0))/10</f>
        <v>0.8</v>
      </c>
      <c r="AM89" s="25">
        <f>IF(OR(tblMeasure[[#This Row],[src_discontinuity]]="None",tblMeasure[[#This Row],[src_discontinuity]]=0),1,0)</f>
        <v>0</v>
      </c>
      <c r="AN89" s="25">
        <f>VLOOKUP(tblMeasure[[#This Row],[src_pub_frequency]],strlu_src_pub_frequency,2,FALSE)</f>
        <v>0.8</v>
      </c>
      <c r="AO89" s="25">
        <f>VLOOKUP(tblMeasure[[#This Row],[src_pub_lag_months]],strlu_src_pub_lag_months,2,FALSE)</f>
        <v>0.3</v>
      </c>
      <c r="AP89" s="25">
        <f>VLOOKUP(tblMeasure[[#This Row],[src_statistic_class]],strlu_src_statistic_class,2,FALSE)</f>
        <v>1</v>
      </c>
      <c r="AQ89" s="25">
        <f>IF(tblMeasure[[#This Row],[src_methodology_url]]="TBD",0,1)</f>
        <v>1</v>
      </c>
      <c r="AR89" s="25">
        <f>IF(tblMeasure[[#This Row],[src_quality_url]]="TBD",0,1)</f>
        <v>1</v>
      </c>
      <c r="AS89" s="85" cm="1">
        <f t="array" ref="AS89">SUMPRODUCT(TRANSPOSE(tblMeasure[[#This Row],[str_msr_population_or_survey]:[str_src_quality_url]]),str_weights)/str_weights_total</f>
        <v>0.80769230769230771</v>
      </c>
    </row>
    <row r="90" spans="1:45" hidden="1" x14ac:dyDescent="0.15">
      <c r="A90" s="30">
        <v>88</v>
      </c>
      <c r="B90" s="15">
        <f>COUNTIF(requirement_measure_map!$D$3:$D$1514,measure!A90)</f>
        <v>1</v>
      </c>
      <c r="C90" s="30" t="s">
        <v>315</v>
      </c>
      <c r="D90" s="15" t="s">
        <v>472</v>
      </c>
      <c r="E90" s="15" t="s">
        <v>485</v>
      </c>
      <c r="F90" s="15" t="s">
        <v>486</v>
      </c>
      <c r="G90" s="29" t="s">
        <v>427</v>
      </c>
      <c r="H90" s="15" t="s">
        <v>487</v>
      </c>
      <c r="I90" s="15" t="s">
        <v>214</v>
      </c>
      <c r="J90" s="15" t="s">
        <v>215</v>
      </c>
      <c r="K90" s="15" t="s">
        <v>488</v>
      </c>
      <c r="L90" s="15" t="s">
        <v>217</v>
      </c>
      <c r="M90" s="15" t="s">
        <v>219</v>
      </c>
      <c r="N90" s="15" t="s">
        <v>219</v>
      </c>
      <c r="O90" s="15" t="s">
        <v>219</v>
      </c>
      <c r="P90" s="15" t="s">
        <v>219</v>
      </c>
      <c r="Q90" s="15" t="s">
        <v>219</v>
      </c>
      <c r="R90" s="15" t="s">
        <v>219</v>
      </c>
      <c r="S90" s="15" t="s">
        <v>219</v>
      </c>
      <c r="T90" s="15" t="s">
        <v>219</v>
      </c>
      <c r="U90" s="15" t="s">
        <v>219</v>
      </c>
      <c r="V90" s="15" t="s">
        <v>219</v>
      </c>
      <c r="W90" s="15">
        <v>2</v>
      </c>
      <c r="X90" s="15" t="str">
        <f>_xlfn.XLOOKUP(tblMeasure[[#This Row],[id_src]],tblSource[id_src],tblSource[org])</f>
        <v>NHS Digital</v>
      </c>
      <c r="Y90" s="15" t="str">
        <f>_xlfn.XLOOKUP(tblMeasure[[#This Row],[id_src]],tblSource[id_src],tblSource[source])</f>
        <v>ASCOF</v>
      </c>
      <c r="Z90" s="15" t="str">
        <f>_xlfn.XLOOKUP(tblMeasure[[#This Row],[id_src]],tblSource[id_src],tblSource[url_source])</f>
        <v>https://digital.nhs.uk/data-and-information/publications/statistical/adult-social-care-outcomes-framework-ascof</v>
      </c>
      <c r="AA90" s="15">
        <f>_xlfn.XLOOKUP(tblMeasure[[#This Row],[id_src]],tblSource[id_src],tblSource[year_first_published])</f>
        <v>2012</v>
      </c>
      <c r="AB90" s="15">
        <f>_xlfn.XLOOKUP(tblMeasure[[#This Row],[id_src]],tblSource[id_src],tblSource[year_last_published])</f>
        <v>2019</v>
      </c>
      <c r="AC90" s="15" t="str">
        <f>_xlfn.XLOOKUP(tblMeasure[[#This Row],[id_src]],tblSource[id_src],tblSource[discontinuity])</f>
        <v>At least one measure impact each year since 2012</v>
      </c>
      <c r="AD90" s="15" t="str">
        <f>_xlfn.XLOOKUP(tblMeasure[[#This Row],[id_src]],tblSource[id_src],tblSource[publication_frequency])</f>
        <v>Annual</v>
      </c>
      <c r="AE90" s="15">
        <f>_xlfn.XLOOKUP(tblMeasure[[#This Row],[id_src]],tblSource[id_src],tblSource[publication_lag_months])</f>
        <v>7</v>
      </c>
      <c r="AF90" s="25" t="str">
        <f>_xlfn.XLOOKUP(tblMeasure[[#This Row],[id_src]],tblSource[id_src],tblSource[data_providers])</f>
        <v>See trace</v>
      </c>
      <c r="AG90" s="25" t="str">
        <f>_xlfn.XLOOKUP(tblMeasure[[#This Row],[id_src]],tblSource[id_src],tblSource[statistic_class])</f>
        <v>Official</v>
      </c>
      <c r="AH90" s="25" t="str">
        <f>_xlfn.XLOOKUP(tblMeasure[[#This Row],[id_src]],tblSource[id_src],tblSource[methodology_link])</f>
        <v>https://files.digital.nhs.uk/19/C45DF7/meas-from-asc-of-eng-1819-Appendices.pdf</v>
      </c>
      <c r="AI90" s="25" t="str">
        <f>_xlfn.XLOOKUP(tblMeasure[[#This Row],[id_src]],tblSource[id_src],tblSource[quality_issues])</f>
        <v>https://files.digital.nhs.uk/19/C45DF7/meas-from-asc-of-eng-1819-Appendices.pdf</v>
      </c>
      <c r="AJ90" s="25">
        <f>VLOOKUP(tblMeasure[[#This Row],[msr_population_or_survey]],strlu_msr_population_or_survey,2,FALSE)</f>
        <v>1</v>
      </c>
      <c r="AK90" s="25">
        <f>VLOOKUP(tblMeasure[[#This Row],[msr_min_geo_resolution]],strlu_msr_min_geo_resolution,2,FALSE)</f>
        <v>1</v>
      </c>
      <c r="AL90" s="25">
        <f>(MAX(tblMeasure[[#This Row],[src_year_last_published]]-2010+1,0)+MIN(2010-tblMeasure[[#This Row],[src_year_first_published]],0)-MAX(tblMeasure[[#This Row],[src_year_last_published]]-2019,0))/10</f>
        <v>0.8</v>
      </c>
      <c r="AM90" s="25">
        <f>IF(OR(tblMeasure[[#This Row],[src_discontinuity]]="None",tblMeasure[[#This Row],[src_discontinuity]]=0),1,0)</f>
        <v>0</v>
      </c>
      <c r="AN90" s="25">
        <f>VLOOKUP(tblMeasure[[#This Row],[src_pub_frequency]],strlu_src_pub_frequency,2,FALSE)</f>
        <v>0.8</v>
      </c>
      <c r="AO90" s="25">
        <f>VLOOKUP(tblMeasure[[#This Row],[src_pub_lag_months]],strlu_src_pub_lag_months,2,FALSE)</f>
        <v>0.3</v>
      </c>
      <c r="AP90" s="25">
        <f>VLOOKUP(tblMeasure[[#This Row],[src_statistic_class]],strlu_src_statistic_class,2,FALSE)</f>
        <v>1</v>
      </c>
      <c r="AQ90" s="25">
        <f>IF(tblMeasure[[#This Row],[src_methodology_url]]="TBD",0,1)</f>
        <v>1</v>
      </c>
      <c r="AR90" s="25">
        <f>IF(tblMeasure[[#This Row],[src_quality_url]]="TBD",0,1)</f>
        <v>1</v>
      </c>
      <c r="AS90" s="85" cm="1">
        <f t="array" ref="AS90">SUMPRODUCT(TRANSPOSE(tblMeasure[[#This Row],[str_msr_population_or_survey]:[str_src_quality_url]]),str_weights)/str_weights_total</f>
        <v>0.80769230769230771</v>
      </c>
    </row>
    <row r="91" spans="1:45" hidden="1" x14ac:dyDescent="0.15">
      <c r="A91" s="30">
        <v>89</v>
      </c>
      <c r="B91" s="15">
        <f>COUNTIF(requirement_measure_map!$D$3:$D$1514,measure!A91)</f>
        <v>1</v>
      </c>
      <c r="C91" s="30" t="s">
        <v>315</v>
      </c>
      <c r="D91" s="15" t="s">
        <v>472</v>
      </c>
      <c r="E91" s="15" t="s">
        <v>489</v>
      </c>
      <c r="F91" s="15" t="s">
        <v>490</v>
      </c>
      <c r="G91" s="29" t="s">
        <v>427</v>
      </c>
      <c r="H91" s="15" t="s">
        <v>487</v>
      </c>
      <c r="I91" s="15" t="s">
        <v>214</v>
      </c>
      <c r="J91" s="15" t="s">
        <v>215</v>
      </c>
      <c r="K91" s="15" t="s">
        <v>491</v>
      </c>
      <c r="L91" s="15" t="s">
        <v>217</v>
      </c>
      <c r="M91" s="15" t="s">
        <v>219</v>
      </c>
      <c r="N91" s="15" t="s">
        <v>219</v>
      </c>
      <c r="O91" s="15" t="s">
        <v>219</v>
      </c>
      <c r="P91" s="15" t="s">
        <v>219</v>
      </c>
      <c r="Q91" s="15" t="s">
        <v>219</v>
      </c>
      <c r="R91" s="15" t="s">
        <v>219</v>
      </c>
      <c r="S91" s="15" t="s">
        <v>219</v>
      </c>
      <c r="T91" s="15" t="s">
        <v>219</v>
      </c>
      <c r="U91" s="15" t="s">
        <v>219</v>
      </c>
      <c r="V91" s="15" t="s">
        <v>219</v>
      </c>
      <c r="W91" s="15">
        <v>2</v>
      </c>
      <c r="X91" s="15" t="str">
        <f>_xlfn.XLOOKUP(tblMeasure[[#This Row],[id_src]],tblSource[id_src],tblSource[org])</f>
        <v>NHS Digital</v>
      </c>
      <c r="Y91" s="15" t="str">
        <f>_xlfn.XLOOKUP(tblMeasure[[#This Row],[id_src]],tblSource[id_src],tblSource[source])</f>
        <v>ASCOF</v>
      </c>
      <c r="Z91" s="15" t="str">
        <f>_xlfn.XLOOKUP(tblMeasure[[#This Row],[id_src]],tblSource[id_src],tblSource[url_source])</f>
        <v>https://digital.nhs.uk/data-and-information/publications/statistical/adult-social-care-outcomes-framework-ascof</v>
      </c>
      <c r="AA91" s="15">
        <f>_xlfn.XLOOKUP(tblMeasure[[#This Row],[id_src]],tblSource[id_src],tblSource[year_first_published])</f>
        <v>2012</v>
      </c>
      <c r="AB91" s="15">
        <f>_xlfn.XLOOKUP(tblMeasure[[#This Row],[id_src]],tblSource[id_src],tblSource[year_last_published])</f>
        <v>2019</v>
      </c>
      <c r="AC91" s="15" t="str">
        <f>_xlfn.XLOOKUP(tblMeasure[[#This Row],[id_src]],tblSource[id_src],tblSource[discontinuity])</f>
        <v>At least one measure impact each year since 2012</v>
      </c>
      <c r="AD91" s="15" t="str">
        <f>_xlfn.XLOOKUP(tblMeasure[[#This Row],[id_src]],tblSource[id_src],tblSource[publication_frequency])</f>
        <v>Annual</v>
      </c>
      <c r="AE91" s="15">
        <f>_xlfn.XLOOKUP(tblMeasure[[#This Row],[id_src]],tblSource[id_src],tblSource[publication_lag_months])</f>
        <v>7</v>
      </c>
      <c r="AF91" s="25" t="str">
        <f>_xlfn.XLOOKUP(tblMeasure[[#This Row],[id_src]],tblSource[id_src],tblSource[data_providers])</f>
        <v>See trace</v>
      </c>
      <c r="AG91" s="25" t="str">
        <f>_xlfn.XLOOKUP(tblMeasure[[#This Row],[id_src]],tblSource[id_src],tblSource[statistic_class])</f>
        <v>Official</v>
      </c>
      <c r="AH91" s="25" t="str">
        <f>_xlfn.XLOOKUP(tblMeasure[[#This Row],[id_src]],tblSource[id_src],tblSource[methodology_link])</f>
        <v>https://files.digital.nhs.uk/19/C45DF7/meas-from-asc-of-eng-1819-Appendices.pdf</v>
      </c>
      <c r="AI91" s="25" t="str">
        <f>_xlfn.XLOOKUP(tblMeasure[[#This Row],[id_src]],tblSource[id_src],tblSource[quality_issues])</f>
        <v>https://files.digital.nhs.uk/19/C45DF7/meas-from-asc-of-eng-1819-Appendices.pdf</v>
      </c>
      <c r="AJ91" s="25">
        <f>VLOOKUP(tblMeasure[[#This Row],[msr_population_or_survey]],strlu_msr_population_or_survey,2,FALSE)</f>
        <v>1</v>
      </c>
      <c r="AK91" s="25">
        <f>VLOOKUP(tblMeasure[[#This Row],[msr_min_geo_resolution]],strlu_msr_min_geo_resolution,2,FALSE)</f>
        <v>1</v>
      </c>
      <c r="AL91" s="25">
        <f>(MAX(tblMeasure[[#This Row],[src_year_last_published]]-2010+1,0)+MIN(2010-tblMeasure[[#This Row],[src_year_first_published]],0)-MAX(tblMeasure[[#This Row],[src_year_last_published]]-2019,0))/10</f>
        <v>0.8</v>
      </c>
      <c r="AM91" s="25">
        <f>IF(OR(tblMeasure[[#This Row],[src_discontinuity]]="None",tblMeasure[[#This Row],[src_discontinuity]]=0),1,0)</f>
        <v>0</v>
      </c>
      <c r="AN91" s="25">
        <f>VLOOKUP(tblMeasure[[#This Row],[src_pub_frequency]],strlu_src_pub_frequency,2,FALSE)</f>
        <v>0.8</v>
      </c>
      <c r="AO91" s="25">
        <f>VLOOKUP(tblMeasure[[#This Row],[src_pub_lag_months]],strlu_src_pub_lag_months,2,FALSE)</f>
        <v>0.3</v>
      </c>
      <c r="AP91" s="25">
        <f>VLOOKUP(tblMeasure[[#This Row],[src_statistic_class]],strlu_src_statistic_class,2,FALSE)</f>
        <v>1</v>
      </c>
      <c r="AQ91" s="25">
        <f>IF(tblMeasure[[#This Row],[src_methodology_url]]="TBD",0,1)</f>
        <v>1</v>
      </c>
      <c r="AR91" s="25">
        <f>IF(tblMeasure[[#This Row],[src_quality_url]]="TBD",0,1)</f>
        <v>1</v>
      </c>
      <c r="AS91" s="85" cm="1">
        <f t="array" ref="AS91">SUMPRODUCT(TRANSPOSE(tblMeasure[[#This Row],[str_msr_population_or_survey]:[str_src_quality_url]]),str_weights)/str_weights_total</f>
        <v>0.80769230769230771</v>
      </c>
    </row>
    <row r="92" spans="1:45" hidden="1" x14ac:dyDescent="0.15">
      <c r="A92" s="30">
        <v>90</v>
      </c>
      <c r="B92" s="15">
        <f>COUNTIF(requirement_measure_map!$D$3:$D$1514,measure!A92)</f>
        <v>1</v>
      </c>
      <c r="C92" s="30" t="s">
        <v>315</v>
      </c>
      <c r="D92" s="15" t="s">
        <v>472</v>
      </c>
      <c r="E92" s="15" t="s">
        <v>492</v>
      </c>
      <c r="F92" s="15" t="s">
        <v>490</v>
      </c>
      <c r="G92" s="29" t="s">
        <v>427</v>
      </c>
      <c r="H92" s="15" t="s">
        <v>487</v>
      </c>
      <c r="I92" s="15" t="s">
        <v>214</v>
      </c>
      <c r="J92" s="15" t="s">
        <v>215</v>
      </c>
      <c r="K92" s="15" t="s">
        <v>493</v>
      </c>
      <c r="L92" s="15" t="s">
        <v>217</v>
      </c>
      <c r="M92" s="15" t="s">
        <v>219</v>
      </c>
      <c r="N92" s="15" t="s">
        <v>219</v>
      </c>
      <c r="O92" s="15" t="s">
        <v>219</v>
      </c>
      <c r="P92" s="15" t="s">
        <v>219</v>
      </c>
      <c r="Q92" s="15" t="s">
        <v>219</v>
      </c>
      <c r="R92" s="15" t="s">
        <v>219</v>
      </c>
      <c r="S92" s="15" t="s">
        <v>219</v>
      </c>
      <c r="T92" s="15" t="s">
        <v>219</v>
      </c>
      <c r="U92" s="15" t="s">
        <v>219</v>
      </c>
      <c r="V92" s="15" t="s">
        <v>219</v>
      </c>
      <c r="W92" s="15">
        <v>2</v>
      </c>
      <c r="X92" s="15" t="str">
        <f>_xlfn.XLOOKUP(tblMeasure[[#This Row],[id_src]],tblSource[id_src],tblSource[org])</f>
        <v>NHS Digital</v>
      </c>
      <c r="Y92" s="15" t="str">
        <f>_xlfn.XLOOKUP(tblMeasure[[#This Row],[id_src]],tblSource[id_src],tblSource[source])</f>
        <v>ASCOF</v>
      </c>
      <c r="Z92" s="15" t="str">
        <f>_xlfn.XLOOKUP(tblMeasure[[#This Row],[id_src]],tblSource[id_src],tblSource[url_source])</f>
        <v>https://digital.nhs.uk/data-and-information/publications/statistical/adult-social-care-outcomes-framework-ascof</v>
      </c>
      <c r="AA92" s="15">
        <f>_xlfn.XLOOKUP(tblMeasure[[#This Row],[id_src]],tblSource[id_src],tblSource[year_first_published])</f>
        <v>2012</v>
      </c>
      <c r="AB92" s="15">
        <f>_xlfn.XLOOKUP(tblMeasure[[#This Row],[id_src]],tblSource[id_src],tblSource[year_last_published])</f>
        <v>2019</v>
      </c>
      <c r="AC92" s="15" t="str">
        <f>_xlfn.XLOOKUP(tblMeasure[[#This Row],[id_src]],tblSource[id_src],tblSource[discontinuity])</f>
        <v>At least one measure impact each year since 2012</v>
      </c>
      <c r="AD92" s="15" t="str">
        <f>_xlfn.XLOOKUP(tblMeasure[[#This Row],[id_src]],tblSource[id_src],tblSource[publication_frequency])</f>
        <v>Annual</v>
      </c>
      <c r="AE92" s="15">
        <f>_xlfn.XLOOKUP(tblMeasure[[#This Row],[id_src]],tblSource[id_src],tblSource[publication_lag_months])</f>
        <v>7</v>
      </c>
      <c r="AF92" s="25" t="str">
        <f>_xlfn.XLOOKUP(tblMeasure[[#This Row],[id_src]],tblSource[id_src],tblSource[data_providers])</f>
        <v>See trace</v>
      </c>
      <c r="AG92" s="25" t="str">
        <f>_xlfn.XLOOKUP(tblMeasure[[#This Row],[id_src]],tblSource[id_src],tblSource[statistic_class])</f>
        <v>Official</v>
      </c>
      <c r="AH92" s="25" t="str">
        <f>_xlfn.XLOOKUP(tblMeasure[[#This Row],[id_src]],tblSource[id_src],tblSource[methodology_link])</f>
        <v>https://files.digital.nhs.uk/19/C45DF7/meas-from-asc-of-eng-1819-Appendices.pdf</v>
      </c>
      <c r="AI92" s="25" t="str">
        <f>_xlfn.XLOOKUP(tblMeasure[[#This Row],[id_src]],tblSource[id_src],tblSource[quality_issues])</f>
        <v>https://files.digital.nhs.uk/19/C45DF7/meas-from-asc-of-eng-1819-Appendices.pdf</v>
      </c>
      <c r="AJ92" s="25">
        <f>VLOOKUP(tblMeasure[[#This Row],[msr_population_or_survey]],strlu_msr_population_or_survey,2,FALSE)</f>
        <v>1</v>
      </c>
      <c r="AK92" s="25">
        <f>VLOOKUP(tblMeasure[[#This Row],[msr_min_geo_resolution]],strlu_msr_min_geo_resolution,2,FALSE)</f>
        <v>1</v>
      </c>
      <c r="AL92" s="25">
        <f>(MAX(tblMeasure[[#This Row],[src_year_last_published]]-2010+1,0)+MIN(2010-tblMeasure[[#This Row],[src_year_first_published]],0)-MAX(tblMeasure[[#This Row],[src_year_last_published]]-2019,0))/10</f>
        <v>0.8</v>
      </c>
      <c r="AM92" s="25">
        <f>IF(OR(tblMeasure[[#This Row],[src_discontinuity]]="None",tblMeasure[[#This Row],[src_discontinuity]]=0),1,0)</f>
        <v>0</v>
      </c>
      <c r="AN92" s="25">
        <f>VLOOKUP(tblMeasure[[#This Row],[src_pub_frequency]],strlu_src_pub_frequency,2,FALSE)</f>
        <v>0.8</v>
      </c>
      <c r="AO92" s="25">
        <f>VLOOKUP(tblMeasure[[#This Row],[src_pub_lag_months]],strlu_src_pub_lag_months,2,FALSE)</f>
        <v>0.3</v>
      </c>
      <c r="AP92" s="25">
        <f>VLOOKUP(tblMeasure[[#This Row],[src_statistic_class]],strlu_src_statistic_class,2,FALSE)</f>
        <v>1</v>
      </c>
      <c r="AQ92" s="25">
        <f>IF(tblMeasure[[#This Row],[src_methodology_url]]="TBD",0,1)</f>
        <v>1</v>
      </c>
      <c r="AR92" s="25">
        <f>IF(tblMeasure[[#This Row],[src_quality_url]]="TBD",0,1)</f>
        <v>1</v>
      </c>
      <c r="AS92" s="85" cm="1">
        <f t="array" ref="AS92">SUMPRODUCT(TRANSPOSE(tblMeasure[[#This Row],[str_msr_population_or_survey]:[str_src_quality_url]]),str_weights)/str_weights_total</f>
        <v>0.80769230769230771</v>
      </c>
    </row>
    <row r="93" spans="1:45" hidden="1" x14ac:dyDescent="0.15">
      <c r="A93" s="30">
        <v>91</v>
      </c>
      <c r="B93" s="15">
        <f>COUNTIF(requirement_measure_map!$D$3:$D$1514,measure!A93)</f>
        <v>3</v>
      </c>
      <c r="C93" s="30" t="s">
        <v>315</v>
      </c>
      <c r="D93" s="15" t="s">
        <v>472</v>
      </c>
      <c r="E93" s="15" t="s">
        <v>494</v>
      </c>
      <c r="F93" s="15" t="s">
        <v>495</v>
      </c>
      <c r="G93" s="29" t="s">
        <v>427</v>
      </c>
      <c r="H93" s="15" t="s">
        <v>224</v>
      </c>
      <c r="I93" s="15" t="s">
        <v>214</v>
      </c>
      <c r="J93" s="15" t="s">
        <v>215</v>
      </c>
      <c r="K93" s="15" t="s">
        <v>496</v>
      </c>
      <c r="L93" s="15" t="s">
        <v>217</v>
      </c>
      <c r="M93" s="15" t="s">
        <v>218</v>
      </c>
      <c r="N93" s="15" t="s">
        <v>219</v>
      </c>
      <c r="O93" s="15" t="s">
        <v>219</v>
      </c>
      <c r="P93" s="15" t="s">
        <v>219</v>
      </c>
      <c r="Q93" s="15" t="s">
        <v>219</v>
      </c>
      <c r="R93" s="15" t="s">
        <v>219</v>
      </c>
      <c r="S93" s="15" t="s">
        <v>219</v>
      </c>
      <c r="T93" s="15" t="s">
        <v>220</v>
      </c>
      <c r="U93" s="15" t="s">
        <v>219</v>
      </c>
      <c r="V93" s="15" t="s">
        <v>219</v>
      </c>
      <c r="W93" s="15">
        <v>2</v>
      </c>
      <c r="X93" s="15" t="str">
        <f>_xlfn.XLOOKUP(tblMeasure[[#This Row],[id_src]],tblSource[id_src],tblSource[org])</f>
        <v>NHS Digital</v>
      </c>
      <c r="Y93" s="15" t="str">
        <f>_xlfn.XLOOKUP(tblMeasure[[#This Row],[id_src]],tblSource[id_src],tblSource[source])</f>
        <v>ASCOF</v>
      </c>
      <c r="Z93" s="15" t="str">
        <f>_xlfn.XLOOKUP(tblMeasure[[#This Row],[id_src]],tblSource[id_src],tblSource[url_source])</f>
        <v>https://digital.nhs.uk/data-and-information/publications/statistical/adult-social-care-outcomes-framework-ascof</v>
      </c>
      <c r="AA93" s="15">
        <f>_xlfn.XLOOKUP(tblMeasure[[#This Row],[id_src]],tblSource[id_src],tblSource[year_first_published])</f>
        <v>2012</v>
      </c>
      <c r="AB93" s="15">
        <f>_xlfn.XLOOKUP(tblMeasure[[#This Row],[id_src]],tblSource[id_src],tblSource[year_last_published])</f>
        <v>2019</v>
      </c>
      <c r="AC93" s="15" t="str">
        <f>_xlfn.XLOOKUP(tblMeasure[[#This Row],[id_src]],tblSource[id_src],tblSource[discontinuity])</f>
        <v>At least one measure impact each year since 2012</v>
      </c>
      <c r="AD93" s="15" t="str">
        <f>_xlfn.XLOOKUP(tblMeasure[[#This Row],[id_src]],tblSource[id_src],tblSource[publication_frequency])</f>
        <v>Annual</v>
      </c>
      <c r="AE93" s="15">
        <f>_xlfn.XLOOKUP(tblMeasure[[#This Row],[id_src]],tblSource[id_src],tblSource[publication_lag_months])</f>
        <v>7</v>
      </c>
      <c r="AF93" s="25" t="str">
        <f>_xlfn.XLOOKUP(tblMeasure[[#This Row],[id_src]],tblSource[id_src],tblSource[data_providers])</f>
        <v>See trace</v>
      </c>
      <c r="AG93" s="25" t="str">
        <f>_xlfn.XLOOKUP(tblMeasure[[#This Row],[id_src]],tblSource[id_src],tblSource[statistic_class])</f>
        <v>Official</v>
      </c>
      <c r="AH93" s="25" t="str">
        <f>_xlfn.XLOOKUP(tblMeasure[[#This Row],[id_src]],tblSource[id_src],tblSource[methodology_link])</f>
        <v>https://files.digital.nhs.uk/19/C45DF7/meas-from-asc-of-eng-1819-Appendices.pdf</v>
      </c>
      <c r="AI93" s="25" t="str">
        <f>_xlfn.XLOOKUP(tblMeasure[[#This Row],[id_src]],tblSource[id_src],tblSource[quality_issues])</f>
        <v>https://files.digital.nhs.uk/19/C45DF7/meas-from-asc-of-eng-1819-Appendices.pdf</v>
      </c>
      <c r="AJ93" s="25">
        <f>VLOOKUP(tblMeasure[[#This Row],[msr_population_or_survey]],strlu_msr_population_or_survey,2,FALSE)</f>
        <v>1</v>
      </c>
      <c r="AK93" s="25">
        <f>VLOOKUP(tblMeasure[[#This Row],[msr_min_geo_resolution]],strlu_msr_min_geo_resolution,2,FALSE)</f>
        <v>1</v>
      </c>
      <c r="AL93" s="25">
        <f>(MAX(tblMeasure[[#This Row],[src_year_last_published]]-2010+1,0)+MIN(2010-tblMeasure[[#This Row],[src_year_first_published]],0)-MAX(tblMeasure[[#This Row],[src_year_last_published]]-2019,0))/10</f>
        <v>0.8</v>
      </c>
      <c r="AM93" s="25">
        <f>IF(OR(tblMeasure[[#This Row],[src_discontinuity]]="None",tblMeasure[[#This Row],[src_discontinuity]]=0),1,0)</f>
        <v>0</v>
      </c>
      <c r="AN93" s="25">
        <f>VLOOKUP(tblMeasure[[#This Row],[src_pub_frequency]],strlu_src_pub_frequency,2,FALSE)</f>
        <v>0.8</v>
      </c>
      <c r="AO93" s="25">
        <f>VLOOKUP(tblMeasure[[#This Row],[src_pub_lag_months]],strlu_src_pub_lag_months,2,FALSE)</f>
        <v>0.3</v>
      </c>
      <c r="AP93" s="25">
        <f>VLOOKUP(tblMeasure[[#This Row],[src_statistic_class]],strlu_src_statistic_class,2,FALSE)</f>
        <v>1</v>
      </c>
      <c r="AQ93" s="25">
        <f>IF(tblMeasure[[#This Row],[src_methodology_url]]="TBD",0,1)</f>
        <v>1</v>
      </c>
      <c r="AR93" s="25">
        <f>IF(tblMeasure[[#This Row],[src_quality_url]]="TBD",0,1)</f>
        <v>1</v>
      </c>
      <c r="AS93" s="85" cm="1">
        <f t="array" ref="AS93">SUMPRODUCT(TRANSPOSE(tblMeasure[[#This Row],[str_msr_population_or_survey]:[str_src_quality_url]]),str_weights)/str_weights_total</f>
        <v>0.80769230769230771</v>
      </c>
    </row>
    <row r="94" spans="1:45" hidden="1" x14ac:dyDescent="0.15">
      <c r="A94" s="30">
        <v>92</v>
      </c>
      <c r="B94" s="15">
        <f>COUNTIF(requirement_measure_map!$D$3:$D$1514,measure!A94)</f>
        <v>4</v>
      </c>
      <c r="C94" s="30" t="s">
        <v>315</v>
      </c>
      <c r="D94" s="15" t="s">
        <v>497</v>
      </c>
      <c r="E94" s="15" t="s">
        <v>498</v>
      </c>
      <c r="F94" s="15" t="s">
        <v>499</v>
      </c>
      <c r="G94" s="29" t="s">
        <v>427</v>
      </c>
      <c r="H94" s="15" t="s">
        <v>428</v>
      </c>
      <c r="I94" s="15" t="s">
        <v>429</v>
      </c>
      <c r="J94" s="15" t="s">
        <v>430</v>
      </c>
      <c r="K94" s="15" t="s">
        <v>500</v>
      </c>
      <c r="L94" s="15" t="s">
        <v>217</v>
      </c>
      <c r="M94" s="15" t="s">
        <v>218</v>
      </c>
      <c r="N94" s="15" t="s">
        <v>220</v>
      </c>
      <c r="O94" s="15" t="s">
        <v>219</v>
      </c>
      <c r="P94" s="15" t="s">
        <v>219</v>
      </c>
      <c r="Q94" s="15" t="s">
        <v>219</v>
      </c>
      <c r="R94" s="15" t="s">
        <v>219</v>
      </c>
      <c r="S94" s="15" t="s">
        <v>219</v>
      </c>
      <c r="T94" s="15" t="s">
        <v>219</v>
      </c>
      <c r="U94" s="15" t="s">
        <v>219</v>
      </c>
      <c r="V94" s="15" t="s">
        <v>219</v>
      </c>
      <c r="W94" s="15">
        <v>2</v>
      </c>
      <c r="X94" s="15" t="str">
        <f>_xlfn.XLOOKUP(tblMeasure[[#This Row],[id_src]],tblSource[id_src],tblSource[org])</f>
        <v>NHS Digital</v>
      </c>
      <c r="Y94" s="15" t="str">
        <f>_xlfn.XLOOKUP(tblMeasure[[#This Row],[id_src]],tblSource[id_src],tblSource[source])</f>
        <v>ASCOF</v>
      </c>
      <c r="Z94" s="15" t="str">
        <f>_xlfn.XLOOKUP(tblMeasure[[#This Row],[id_src]],tblSource[id_src],tblSource[url_source])</f>
        <v>https://digital.nhs.uk/data-and-information/publications/statistical/adult-social-care-outcomes-framework-ascof</v>
      </c>
      <c r="AA94" s="15">
        <f>_xlfn.XLOOKUP(tblMeasure[[#This Row],[id_src]],tblSource[id_src],tblSource[year_first_published])</f>
        <v>2012</v>
      </c>
      <c r="AB94" s="15">
        <f>_xlfn.XLOOKUP(tblMeasure[[#This Row],[id_src]],tblSource[id_src],tblSource[year_last_published])</f>
        <v>2019</v>
      </c>
      <c r="AC94" s="15" t="str">
        <f>_xlfn.XLOOKUP(tblMeasure[[#This Row],[id_src]],tblSource[id_src],tblSource[discontinuity])</f>
        <v>At least one measure impact each year since 2012</v>
      </c>
      <c r="AD94" s="15" t="str">
        <f>_xlfn.XLOOKUP(tblMeasure[[#This Row],[id_src]],tblSource[id_src],tblSource[publication_frequency])</f>
        <v>Annual</v>
      </c>
      <c r="AE94" s="15">
        <f>_xlfn.XLOOKUP(tblMeasure[[#This Row],[id_src]],tblSource[id_src],tblSource[publication_lag_months])</f>
        <v>7</v>
      </c>
      <c r="AF94" s="25" t="str">
        <f>_xlfn.XLOOKUP(tblMeasure[[#This Row],[id_src]],tblSource[id_src],tblSource[data_providers])</f>
        <v>See trace</v>
      </c>
      <c r="AG94" s="25" t="str">
        <f>_xlfn.XLOOKUP(tblMeasure[[#This Row],[id_src]],tblSource[id_src],tblSource[statistic_class])</f>
        <v>Official</v>
      </c>
      <c r="AH94" s="25" t="str">
        <f>_xlfn.XLOOKUP(tblMeasure[[#This Row],[id_src]],tblSource[id_src],tblSource[methodology_link])</f>
        <v>https://files.digital.nhs.uk/19/C45DF7/meas-from-asc-of-eng-1819-Appendices.pdf</v>
      </c>
      <c r="AI94" s="25" t="str">
        <f>_xlfn.XLOOKUP(tblMeasure[[#This Row],[id_src]],tblSource[id_src],tblSource[quality_issues])</f>
        <v>https://files.digital.nhs.uk/19/C45DF7/meas-from-asc-of-eng-1819-Appendices.pdf</v>
      </c>
      <c r="AJ94" s="25">
        <f>VLOOKUP(tblMeasure[[#This Row],[msr_population_or_survey]],strlu_msr_population_or_survey,2,FALSE)</f>
        <v>0</v>
      </c>
      <c r="AK94" s="25">
        <f>VLOOKUP(tblMeasure[[#This Row],[msr_min_geo_resolution]],strlu_msr_min_geo_resolution,2,FALSE)</f>
        <v>1</v>
      </c>
      <c r="AL94" s="25">
        <f>(MAX(tblMeasure[[#This Row],[src_year_last_published]]-2010+1,0)+MIN(2010-tblMeasure[[#This Row],[src_year_first_published]],0)-MAX(tblMeasure[[#This Row],[src_year_last_published]]-2019,0))/10</f>
        <v>0.8</v>
      </c>
      <c r="AM94" s="25">
        <f>IF(OR(tblMeasure[[#This Row],[src_discontinuity]]="None",tblMeasure[[#This Row],[src_discontinuity]]=0),1,0)</f>
        <v>0</v>
      </c>
      <c r="AN94" s="25">
        <f>VLOOKUP(tblMeasure[[#This Row],[src_pub_frequency]],strlu_src_pub_frequency,2,FALSE)</f>
        <v>0.8</v>
      </c>
      <c r="AO94" s="25">
        <f>VLOOKUP(tblMeasure[[#This Row],[src_pub_lag_months]],strlu_src_pub_lag_months,2,FALSE)</f>
        <v>0.3</v>
      </c>
      <c r="AP94" s="25">
        <f>VLOOKUP(tblMeasure[[#This Row],[src_statistic_class]],strlu_src_statistic_class,2,FALSE)</f>
        <v>1</v>
      </c>
      <c r="AQ94" s="25">
        <f>IF(tblMeasure[[#This Row],[src_methodology_url]]="TBD",0,1)</f>
        <v>1</v>
      </c>
      <c r="AR94" s="25">
        <f>IF(tblMeasure[[#This Row],[src_quality_url]]="TBD",0,1)</f>
        <v>1</v>
      </c>
      <c r="AS94" s="85" cm="1">
        <f t="array" ref="AS94">SUMPRODUCT(TRANSPOSE(tblMeasure[[#This Row],[str_msr_population_or_survey]:[str_src_quality_url]]),str_weights)/str_weights_total</f>
        <v>0.65384615384615385</v>
      </c>
    </row>
    <row r="95" spans="1:45" hidden="1" x14ac:dyDescent="0.15">
      <c r="A95" s="30">
        <v>93</v>
      </c>
      <c r="B95" s="15">
        <f>COUNTIF(requirement_measure_map!$D$3:$D$1514,measure!A95)</f>
        <v>5</v>
      </c>
      <c r="C95" s="30" t="s">
        <v>315</v>
      </c>
      <c r="D95" s="15" t="s">
        <v>497</v>
      </c>
      <c r="E95" s="15" t="s">
        <v>501</v>
      </c>
      <c r="F95" s="15" t="s">
        <v>502</v>
      </c>
      <c r="G95" s="29" t="s">
        <v>427</v>
      </c>
      <c r="H95" s="15" t="s">
        <v>449</v>
      </c>
      <c r="I95" s="15" t="s">
        <v>429</v>
      </c>
      <c r="J95" s="15" t="s">
        <v>450</v>
      </c>
      <c r="K95" s="15" t="s">
        <v>503</v>
      </c>
      <c r="L95" s="15" t="s">
        <v>217</v>
      </c>
      <c r="M95" s="15" t="s">
        <v>219</v>
      </c>
      <c r="N95" s="15" t="s">
        <v>219</v>
      </c>
      <c r="O95" s="15" t="s">
        <v>219</v>
      </c>
      <c r="P95" s="15" t="s">
        <v>219</v>
      </c>
      <c r="Q95" s="15" t="s">
        <v>219</v>
      </c>
      <c r="R95" s="15" t="s">
        <v>219</v>
      </c>
      <c r="S95" s="15" t="s">
        <v>220</v>
      </c>
      <c r="T95" s="15" t="s">
        <v>219</v>
      </c>
      <c r="U95" s="15" t="s">
        <v>219</v>
      </c>
      <c r="V95" s="15" t="s">
        <v>219</v>
      </c>
      <c r="W95" s="15">
        <v>2</v>
      </c>
      <c r="X95" s="15" t="str">
        <f>_xlfn.XLOOKUP(tblMeasure[[#This Row],[id_src]],tblSource[id_src],tblSource[org])</f>
        <v>NHS Digital</v>
      </c>
      <c r="Y95" s="15" t="str">
        <f>_xlfn.XLOOKUP(tblMeasure[[#This Row],[id_src]],tblSource[id_src],tblSource[source])</f>
        <v>ASCOF</v>
      </c>
      <c r="Z95" s="15" t="str">
        <f>_xlfn.XLOOKUP(tblMeasure[[#This Row],[id_src]],tblSource[id_src],tblSource[url_source])</f>
        <v>https://digital.nhs.uk/data-and-information/publications/statistical/adult-social-care-outcomes-framework-ascof</v>
      </c>
      <c r="AA95" s="15">
        <f>_xlfn.XLOOKUP(tblMeasure[[#This Row],[id_src]],tblSource[id_src],tblSource[year_first_published])</f>
        <v>2012</v>
      </c>
      <c r="AB95" s="15">
        <f>_xlfn.XLOOKUP(tblMeasure[[#This Row],[id_src]],tblSource[id_src],tblSource[year_last_published])</f>
        <v>2019</v>
      </c>
      <c r="AC95" s="15" t="str">
        <f>_xlfn.XLOOKUP(tblMeasure[[#This Row],[id_src]],tblSource[id_src],tblSource[discontinuity])</f>
        <v>At least one measure impact each year since 2012</v>
      </c>
      <c r="AD95" s="15" t="str">
        <f>_xlfn.XLOOKUP(tblMeasure[[#This Row],[id_src]],tblSource[id_src],tblSource[publication_frequency])</f>
        <v>Annual</v>
      </c>
      <c r="AE95" s="15">
        <f>_xlfn.XLOOKUP(tblMeasure[[#This Row],[id_src]],tblSource[id_src],tblSource[publication_lag_months])</f>
        <v>7</v>
      </c>
      <c r="AF95" s="25" t="str">
        <f>_xlfn.XLOOKUP(tblMeasure[[#This Row],[id_src]],tblSource[id_src],tblSource[data_providers])</f>
        <v>See trace</v>
      </c>
      <c r="AG95" s="25" t="str">
        <f>_xlfn.XLOOKUP(tblMeasure[[#This Row],[id_src]],tblSource[id_src],tblSource[statistic_class])</f>
        <v>Official</v>
      </c>
      <c r="AH95" s="25" t="str">
        <f>_xlfn.XLOOKUP(tblMeasure[[#This Row],[id_src]],tblSource[id_src],tblSource[methodology_link])</f>
        <v>https://files.digital.nhs.uk/19/C45DF7/meas-from-asc-of-eng-1819-Appendices.pdf</v>
      </c>
      <c r="AI95" s="25" t="str">
        <f>_xlfn.XLOOKUP(tblMeasure[[#This Row],[id_src]],tblSource[id_src],tblSource[quality_issues])</f>
        <v>https://files.digital.nhs.uk/19/C45DF7/meas-from-asc-of-eng-1819-Appendices.pdf</v>
      </c>
      <c r="AJ95" s="25">
        <f>VLOOKUP(tblMeasure[[#This Row],[msr_population_or_survey]],strlu_msr_population_or_survey,2,FALSE)</f>
        <v>0</v>
      </c>
      <c r="AK95" s="25">
        <f>VLOOKUP(tblMeasure[[#This Row],[msr_min_geo_resolution]],strlu_msr_min_geo_resolution,2,FALSE)</f>
        <v>1</v>
      </c>
      <c r="AL95" s="25">
        <f>(MAX(tblMeasure[[#This Row],[src_year_last_published]]-2010+1,0)+MIN(2010-tblMeasure[[#This Row],[src_year_first_published]],0)-MAX(tblMeasure[[#This Row],[src_year_last_published]]-2019,0))/10</f>
        <v>0.8</v>
      </c>
      <c r="AM95" s="25">
        <f>IF(OR(tblMeasure[[#This Row],[src_discontinuity]]="None",tblMeasure[[#This Row],[src_discontinuity]]=0),1,0)</f>
        <v>0</v>
      </c>
      <c r="AN95" s="25">
        <f>VLOOKUP(tblMeasure[[#This Row],[src_pub_frequency]],strlu_src_pub_frequency,2,FALSE)</f>
        <v>0.8</v>
      </c>
      <c r="AO95" s="25">
        <f>VLOOKUP(tblMeasure[[#This Row],[src_pub_lag_months]],strlu_src_pub_lag_months,2,FALSE)</f>
        <v>0.3</v>
      </c>
      <c r="AP95" s="25">
        <f>VLOOKUP(tblMeasure[[#This Row],[src_statistic_class]],strlu_src_statistic_class,2,FALSE)</f>
        <v>1</v>
      </c>
      <c r="AQ95" s="25">
        <f>IF(tblMeasure[[#This Row],[src_methodology_url]]="TBD",0,1)</f>
        <v>1</v>
      </c>
      <c r="AR95" s="25">
        <f>IF(tblMeasure[[#This Row],[src_quality_url]]="TBD",0,1)</f>
        <v>1</v>
      </c>
      <c r="AS95" s="85" cm="1">
        <f t="array" ref="AS95">SUMPRODUCT(TRANSPOSE(tblMeasure[[#This Row],[str_msr_population_or_survey]:[str_src_quality_url]]),str_weights)/str_weights_total</f>
        <v>0.65384615384615385</v>
      </c>
    </row>
    <row r="96" spans="1:45" hidden="1" x14ac:dyDescent="0.15">
      <c r="A96" s="30">
        <v>94</v>
      </c>
      <c r="B96" s="15">
        <f>COUNTIF(requirement_measure_map!$D$3:$D$1514,measure!A96)</f>
        <v>4</v>
      </c>
      <c r="C96" s="30" t="s">
        <v>315</v>
      </c>
      <c r="D96" s="15" t="s">
        <v>497</v>
      </c>
      <c r="E96" s="15" t="s">
        <v>504</v>
      </c>
      <c r="F96" s="15" t="s">
        <v>505</v>
      </c>
      <c r="G96" s="29" t="s">
        <v>427</v>
      </c>
      <c r="H96" s="15" t="s">
        <v>449</v>
      </c>
      <c r="I96" s="15" t="s">
        <v>429</v>
      </c>
      <c r="J96" s="15" t="s">
        <v>450</v>
      </c>
      <c r="K96" s="15" t="s">
        <v>506</v>
      </c>
      <c r="L96" s="15" t="s">
        <v>217</v>
      </c>
      <c r="M96" s="15" t="s">
        <v>219</v>
      </c>
      <c r="N96" s="15" t="s">
        <v>219</v>
      </c>
      <c r="O96" s="15" t="s">
        <v>219</v>
      </c>
      <c r="P96" s="15" t="s">
        <v>219</v>
      </c>
      <c r="Q96" s="15" t="s">
        <v>219</v>
      </c>
      <c r="R96" s="15" t="s">
        <v>219</v>
      </c>
      <c r="S96" s="15" t="s">
        <v>220</v>
      </c>
      <c r="T96" s="15" t="s">
        <v>219</v>
      </c>
      <c r="U96" s="15" t="s">
        <v>219</v>
      </c>
      <c r="V96" s="15" t="s">
        <v>219</v>
      </c>
      <c r="W96" s="15">
        <v>2</v>
      </c>
      <c r="X96" s="15" t="str">
        <f>_xlfn.XLOOKUP(tblMeasure[[#This Row],[id_src]],tblSource[id_src],tblSource[org])</f>
        <v>NHS Digital</v>
      </c>
      <c r="Y96" s="15" t="str">
        <f>_xlfn.XLOOKUP(tblMeasure[[#This Row],[id_src]],tblSource[id_src],tblSource[source])</f>
        <v>ASCOF</v>
      </c>
      <c r="Z96" s="15" t="str">
        <f>_xlfn.XLOOKUP(tblMeasure[[#This Row],[id_src]],tblSource[id_src],tblSource[url_source])</f>
        <v>https://digital.nhs.uk/data-and-information/publications/statistical/adult-social-care-outcomes-framework-ascof</v>
      </c>
      <c r="AA96" s="15">
        <f>_xlfn.XLOOKUP(tblMeasure[[#This Row],[id_src]],tblSource[id_src],tblSource[year_first_published])</f>
        <v>2012</v>
      </c>
      <c r="AB96" s="15">
        <f>_xlfn.XLOOKUP(tblMeasure[[#This Row],[id_src]],tblSource[id_src],tblSource[year_last_published])</f>
        <v>2019</v>
      </c>
      <c r="AC96" s="15" t="str">
        <f>_xlfn.XLOOKUP(tblMeasure[[#This Row],[id_src]],tblSource[id_src],tblSource[discontinuity])</f>
        <v>At least one measure impact each year since 2012</v>
      </c>
      <c r="AD96" s="15" t="str">
        <f>_xlfn.XLOOKUP(tblMeasure[[#This Row],[id_src]],tblSource[id_src],tblSource[publication_frequency])</f>
        <v>Annual</v>
      </c>
      <c r="AE96" s="15">
        <f>_xlfn.XLOOKUP(tblMeasure[[#This Row],[id_src]],tblSource[id_src],tblSource[publication_lag_months])</f>
        <v>7</v>
      </c>
      <c r="AF96" s="25" t="str">
        <f>_xlfn.XLOOKUP(tblMeasure[[#This Row],[id_src]],tblSource[id_src],tblSource[data_providers])</f>
        <v>See trace</v>
      </c>
      <c r="AG96" s="25" t="str">
        <f>_xlfn.XLOOKUP(tblMeasure[[#This Row],[id_src]],tblSource[id_src],tblSource[statistic_class])</f>
        <v>Official</v>
      </c>
      <c r="AH96" s="25" t="str">
        <f>_xlfn.XLOOKUP(tblMeasure[[#This Row],[id_src]],tblSource[id_src],tblSource[methodology_link])</f>
        <v>https://files.digital.nhs.uk/19/C45DF7/meas-from-asc-of-eng-1819-Appendices.pdf</v>
      </c>
      <c r="AI96" s="25" t="str">
        <f>_xlfn.XLOOKUP(tblMeasure[[#This Row],[id_src]],tblSource[id_src],tblSource[quality_issues])</f>
        <v>https://files.digital.nhs.uk/19/C45DF7/meas-from-asc-of-eng-1819-Appendices.pdf</v>
      </c>
      <c r="AJ96" s="25">
        <f>VLOOKUP(tblMeasure[[#This Row],[msr_population_or_survey]],strlu_msr_population_or_survey,2,FALSE)</f>
        <v>0</v>
      </c>
      <c r="AK96" s="25">
        <f>VLOOKUP(tblMeasure[[#This Row],[msr_min_geo_resolution]],strlu_msr_min_geo_resolution,2,FALSE)</f>
        <v>1</v>
      </c>
      <c r="AL96" s="25">
        <f>(MAX(tblMeasure[[#This Row],[src_year_last_published]]-2010+1,0)+MIN(2010-tblMeasure[[#This Row],[src_year_first_published]],0)-MAX(tblMeasure[[#This Row],[src_year_last_published]]-2019,0))/10</f>
        <v>0.8</v>
      </c>
      <c r="AM96" s="25">
        <f>IF(OR(tblMeasure[[#This Row],[src_discontinuity]]="None",tblMeasure[[#This Row],[src_discontinuity]]=0),1,0)</f>
        <v>0</v>
      </c>
      <c r="AN96" s="25">
        <f>VLOOKUP(tblMeasure[[#This Row],[src_pub_frequency]],strlu_src_pub_frequency,2,FALSE)</f>
        <v>0.8</v>
      </c>
      <c r="AO96" s="25">
        <f>VLOOKUP(tblMeasure[[#This Row],[src_pub_lag_months]],strlu_src_pub_lag_months,2,FALSE)</f>
        <v>0.3</v>
      </c>
      <c r="AP96" s="25">
        <f>VLOOKUP(tblMeasure[[#This Row],[src_statistic_class]],strlu_src_statistic_class,2,FALSE)</f>
        <v>1</v>
      </c>
      <c r="AQ96" s="25">
        <f>IF(tblMeasure[[#This Row],[src_methodology_url]]="TBD",0,1)</f>
        <v>1</v>
      </c>
      <c r="AR96" s="25">
        <f>IF(tblMeasure[[#This Row],[src_quality_url]]="TBD",0,1)</f>
        <v>1</v>
      </c>
      <c r="AS96" s="85" cm="1">
        <f t="array" ref="AS96">SUMPRODUCT(TRANSPOSE(tblMeasure[[#This Row],[str_msr_population_or_survey]:[str_src_quality_url]]),str_weights)/str_weights_total</f>
        <v>0.65384615384615385</v>
      </c>
    </row>
    <row r="97" spans="1:45" hidden="1" x14ac:dyDescent="0.15">
      <c r="A97" s="30">
        <v>95</v>
      </c>
      <c r="B97" s="15">
        <f>COUNTIF(requirement_measure_map!$D$3:$D$1514,measure!A97)</f>
        <v>3</v>
      </c>
      <c r="C97" s="30" t="s">
        <v>315</v>
      </c>
      <c r="D97" s="15" t="s">
        <v>497</v>
      </c>
      <c r="E97" s="15" t="s">
        <v>507</v>
      </c>
      <c r="F97" s="15" t="s">
        <v>508</v>
      </c>
      <c r="G97" s="29" t="s">
        <v>427</v>
      </c>
      <c r="H97" s="15" t="s">
        <v>428</v>
      </c>
      <c r="I97" s="15" t="s">
        <v>429</v>
      </c>
      <c r="J97" s="15" t="s">
        <v>430</v>
      </c>
      <c r="K97" s="15" t="s">
        <v>509</v>
      </c>
      <c r="L97" s="15" t="s">
        <v>217</v>
      </c>
      <c r="M97" s="15" t="s">
        <v>218</v>
      </c>
      <c r="N97" s="15" t="s">
        <v>220</v>
      </c>
      <c r="O97" s="15" t="s">
        <v>219</v>
      </c>
      <c r="P97" s="15" t="s">
        <v>219</v>
      </c>
      <c r="Q97" s="15" t="s">
        <v>219</v>
      </c>
      <c r="R97" s="15" t="s">
        <v>219</v>
      </c>
      <c r="S97" s="15" t="s">
        <v>219</v>
      </c>
      <c r="T97" s="15" t="s">
        <v>219</v>
      </c>
      <c r="U97" s="15" t="s">
        <v>219</v>
      </c>
      <c r="V97" s="15" t="s">
        <v>219</v>
      </c>
      <c r="W97" s="15">
        <v>2</v>
      </c>
      <c r="X97" s="15" t="str">
        <f>_xlfn.XLOOKUP(tblMeasure[[#This Row],[id_src]],tblSource[id_src],tblSource[org])</f>
        <v>NHS Digital</v>
      </c>
      <c r="Y97" s="15" t="str">
        <f>_xlfn.XLOOKUP(tblMeasure[[#This Row],[id_src]],tblSource[id_src],tblSource[source])</f>
        <v>ASCOF</v>
      </c>
      <c r="Z97" s="15" t="str">
        <f>_xlfn.XLOOKUP(tblMeasure[[#This Row],[id_src]],tblSource[id_src],tblSource[url_source])</f>
        <v>https://digital.nhs.uk/data-and-information/publications/statistical/adult-social-care-outcomes-framework-ascof</v>
      </c>
      <c r="AA97" s="15">
        <f>_xlfn.XLOOKUP(tblMeasure[[#This Row],[id_src]],tblSource[id_src],tblSource[year_first_published])</f>
        <v>2012</v>
      </c>
      <c r="AB97" s="15">
        <f>_xlfn.XLOOKUP(tblMeasure[[#This Row],[id_src]],tblSource[id_src],tblSource[year_last_published])</f>
        <v>2019</v>
      </c>
      <c r="AC97" s="15" t="str">
        <f>_xlfn.XLOOKUP(tblMeasure[[#This Row],[id_src]],tblSource[id_src],tblSource[discontinuity])</f>
        <v>At least one measure impact each year since 2012</v>
      </c>
      <c r="AD97" s="15" t="str">
        <f>_xlfn.XLOOKUP(tblMeasure[[#This Row],[id_src]],tblSource[id_src],tblSource[publication_frequency])</f>
        <v>Annual</v>
      </c>
      <c r="AE97" s="15">
        <f>_xlfn.XLOOKUP(tblMeasure[[#This Row],[id_src]],tblSource[id_src],tblSource[publication_lag_months])</f>
        <v>7</v>
      </c>
      <c r="AF97" s="25" t="str">
        <f>_xlfn.XLOOKUP(tblMeasure[[#This Row],[id_src]],tblSource[id_src],tblSource[data_providers])</f>
        <v>See trace</v>
      </c>
      <c r="AG97" s="25" t="str">
        <f>_xlfn.XLOOKUP(tblMeasure[[#This Row],[id_src]],tblSource[id_src],tblSource[statistic_class])</f>
        <v>Official</v>
      </c>
      <c r="AH97" s="25" t="str">
        <f>_xlfn.XLOOKUP(tblMeasure[[#This Row],[id_src]],tblSource[id_src],tblSource[methodology_link])</f>
        <v>https://files.digital.nhs.uk/19/C45DF7/meas-from-asc-of-eng-1819-Appendices.pdf</v>
      </c>
      <c r="AI97" s="25" t="str">
        <f>_xlfn.XLOOKUP(tblMeasure[[#This Row],[id_src]],tblSource[id_src],tblSource[quality_issues])</f>
        <v>https://files.digital.nhs.uk/19/C45DF7/meas-from-asc-of-eng-1819-Appendices.pdf</v>
      </c>
      <c r="AJ97" s="25">
        <f>VLOOKUP(tblMeasure[[#This Row],[msr_population_or_survey]],strlu_msr_population_or_survey,2,FALSE)</f>
        <v>0</v>
      </c>
      <c r="AK97" s="25">
        <f>VLOOKUP(tblMeasure[[#This Row],[msr_min_geo_resolution]],strlu_msr_min_geo_resolution,2,FALSE)</f>
        <v>1</v>
      </c>
      <c r="AL97" s="25">
        <f>(MAX(tblMeasure[[#This Row],[src_year_last_published]]-2010+1,0)+MIN(2010-tblMeasure[[#This Row],[src_year_first_published]],0)-MAX(tblMeasure[[#This Row],[src_year_last_published]]-2019,0))/10</f>
        <v>0.8</v>
      </c>
      <c r="AM97" s="25">
        <f>IF(OR(tblMeasure[[#This Row],[src_discontinuity]]="None",tblMeasure[[#This Row],[src_discontinuity]]=0),1,0)</f>
        <v>0</v>
      </c>
      <c r="AN97" s="25">
        <f>VLOOKUP(tblMeasure[[#This Row],[src_pub_frequency]],strlu_src_pub_frequency,2,FALSE)</f>
        <v>0.8</v>
      </c>
      <c r="AO97" s="25">
        <f>VLOOKUP(tblMeasure[[#This Row],[src_pub_lag_months]],strlu_src_pub_lag_months,2,FALSE)</f>
        <v>0.3</v>
      </c>
      <c r="AP97" s="25">
        <f>VLOOKUP(tblMeasure[[#This Row],[src_statistic_class]],strlu_src_statistic_class,2,FALSE)</f>
        <v>1</v>
      </c>
      <c r="AQ97" s="25">
        <f>IF(tblMeasure[[#This Row],[src_methodology_url]]="TBD",0,1)</f>
        <v>1</v>
      </c>
      <c r="AR97" s="25">
        <f>IF(tblMeasure[[#This Row],[src_quality_url]]="TBD",0,1)</f>
        <v>1</v>
      </c>
      <c r="AS97" s="85" cm="1">
        <f t="array" ref="AS97">SUMPRODUCT(TRANSPOSE(tblMeasure[[#This Row],[str_msr_population_or_survey]:[str_src_quality_url]]),str_weights)/str_weights_total</f>
        <v>0.65384615384615385</v>
      </c>
    </row>
    <row r="98" spans="1:45" hidden="1" x14ac:dyDescent="0.15">
      <c r="A98" s="30">
        <v>96</v>
      </c>
      <c r="B98" s="15">
        <f>COUNTIF(requirement_measure_map!$D$3:$D$1514,measure!A98)</f>
        <v>4</v>
      </c>
      <c r="C98" s="30" t="s">
        <v>315</v>
      </c>
      <c r="D98" s="15" t="s">
        <v>497</v>
      </c>
      <c r="E98" s="15" t="s">
        <v>510</v>
      </c>
      <c r="F98" s="15" t="s">
        <v>511</v>
      </c>
      <c r="G98" s="29" t="s">
        <v>427</v>
      </c>
      <c r="H98" s="15" t="s">
        <v>449</v>
      </c>
      <c r="I98" s="15" t="s">
        <v>429</v>
      </c>
      <c r="J98" s="15" t="s">
        <v>450</v>
      </c>
      <c r="K98" s="15" t="s">
        <v>512</v>
      </c>
      <c r="L98" s="15" t="s">
        <v>217</v>
      </c>
      <c r="M98" s="15" t="s">
        <v>219</v>
      </c>
      <c r="N98" s="15" t="s">
        <v>219</v>
      </c>
      <c r="O98" s="15" t="s">
        <v>219</v>
      </c>
      <c r="P98" s="15" t="s">
        <v>219</v>
      </c>
      <c r="Q98" s="15" t="s">
        <v>219</v>
      </c>
      <c r="R98" s="15" t="s">
        <v>219</v>
      </c>
      <c r="S98" s="15" t="s">
        <v>220</v>
      </c>
      <c r="T98" s="15" t="s">
        <v>219</v>
      </c>
      <c r="U98" s="15" t="s">
        <v>219</v>
      </c>
      <c r="V98" s="15" t="s">
        <v>219</v>
      </c>
      <c r="W98" s="15">
        <v>2</v>
      </c>
      <c r="X98" s="15" t="str">
        <f>_xlfn.XLOOKUP(tblMeasure[[#This Row],[id_src]],tblSource[id_src],tblSource[org])</f>
        <v>NHS Digital</v>
      </c>
      <c r="Y98" s="15" t="str">
        <f>_xlfn.XLOOKUP(tblMeasure[[#This Row],[id_src]],tblSource[id_src],tblSource[source])</f>
        <v>ASCOF</v>
      </c>
      <c r="Z98" s="15" t="str">
        <f>_xlfn.XLOOKUP(tblMeasure[[#This Row],[id_src]],tblSource[id_src],tblSource[url_source])</f>
        <v>https://digital.nhs.uk/data-and-information/publications/statistical/adult-social-care-outcomes-framework-ascof</v>
      </c>
      <c r="AA98" s="15">
        <f>_xlfn.XLOOKUP(tblMeasure[[#This Row],[id_src]],tblSource[id_src],tblSource[year_first_published])</f>
        <v>2012</v>
      </c>
      <c r="AB98" s="15">
        <f>_xlfn.XLOOKUP(tblMeasure[[#This Row],[id_src]],tblSource[id_src],tblSource[year_last_published])</f>
        <v>2019</v>
      </c>
      <c r="AC98" s="15" t="str">
        <f>_xlfn.XLOOKUP(tblMeasure[[#This Row],[id_src]],tblSource[id_src],tblSource[discontinuity])</f>
        <v>At least one measure impact each year since 2012</v>
      </c>
      <c r="AD98" s="15" t="str">
        <f>_xlfn.XLOOKUP(tblMeasure[[#This Row],[id_src]],tblSource[id_src],tblSource[publication_frequency])</f>
        <v>Annual</v>
      </c>
      <c r="AE98" s="15">
        <f>_xlfn.XLOOKUP(tblMeasure[[#This Row],[id_src]],tblSource[id_src],tblSource[publication_lag_months])</f>
        <v>7</v>
      </c>
      <c r="AF98" s="25" t="str">
        <f>_xlfn.XLOOKUP(tblMeasure[[#This Row],[id_src]],tblSource[id_src],tblSource[data_providers])</f>
        <v>See trace</v>
      </c>
      <c r="AG98" s="25" t="str">
        <f>_xlfn.XLOOKUP(tblMeasure[[#This Row],[id_src]],tblSource[id_src],tblSource[statistic_class])</f>
        <v>Official</v>
      </c>
      <c r="AH98" s="25" t="str">
        <f>_xlfn.XLOOKUP(tblMeasure[[#This Row],[id_src]],tblSource[id_src],tblSource[methodology_link])</f>
        <v>https://files.digital.nhs.uk/19/C45DF7/meas-from-asc-of-eng-1819-Appendices.pdf</v>
      </c>
      <c r="AI98" s="25" t="str">
        <f>_xlfn.XLOOKUP(tblMeasure[[#This Row],[id_src]],tblSource[id_src],tblSource[quality_issues])</f>
        <v>https://files.digital.nhs.uk/19/C45DF7/meas-from-asc-of-eng-1819-Appendices.pdf</v>
      </c>
      <c r="AJ98" s="25">
        <f>VLOOKUP(tblMeasure[[#This Row],[msr_population_or_survey]],strlu_msr_population_or_survey,2,FALSE)</f>
        <v>0</v>
      </c>
      <c r="AK98" s="25">
        <f>VLOOKUP(tblMeasure[[#This Row],[msr_min_geo_resolution]],strlu_msr_min_geo_resolution,2,FALSE)</f>
        <v>1</v>
      </c>
      <c r="AL98" s="25">
        <f>(MAX(tblMeasure[[#This Row],[src_year_last_published]]-2010+1,0)+MIN(2010-tblMeasure[[#This Row],[src_year_first_published]],0)-MAX(tblMeasure[[#This Row],[src_year_last_published]]-2019,0))/10</f>
        <v>0.8</v>
      </c>
      <c r="AM98" s="25">
        <f>IF(OR(tblMeasure[[#This Row],[src_discontinuity]]="None",tblMeasure[[#This Row],[src_discontinuity]]=0),1,0)</f>
        <v>0</v>
      </c>
      <c r="AN98" s="25">
        <f>VLOOKUP(tblMeasure[[#This Row],[src_pub_frequency]],strlu_src_pub_frequency,2,FALSE)</f>
        <v>0.8</v>
      </c>
      <c r="AO98" s="25">
        <f>VLOOKUP(tblMeasure[[#This Row],[src_pub_lag_months]],strlu_src_pub_lag_months,2,FALSE)</f>
        <v>0.3</v>
      </c>
      <c r="AP98" s="25">
        <f>VLOOKUP(tblMeasure[[#This Row],[src_statistic_class]],strlu_src_statistic_class,2,FALSE)</f>
        <v>1</v>
      </c>
      <c r="AQ98" s="25">
        <f>IF(tblMeasure[[#This Row],[src_methodology_url]]="TBD",0,1)</f>
        <v>1</v>
      </c>
      <c r="AR98" s="25">
        <f>IF(tblMeasure[[#This Row],[src_quality_url]]="TBD",0,1)</f>
        <v>1</v>
      </c>
      <c r="AS98" s="85" cm="1">
        <f t="array" ref="AS98">SUMPRODUCT(TRANSPOSE(tblMeasure[[#This Row],[str_msr_population_or_survey]:[str_src_quality_url]]),str_weights)/str_weights_total</f>
        <v>0.65384615384615385</v>
      </c>
    </row>
    <row r="99" spans="1:45" hidden="1" x14ac:dyDescent="0.15">
      <c r="A99" s="30">
        <v>97</v>
      </c>
      <c r="B99" s="15">
        <f>COUNTIF(requirement_measure_map!$D$3:$D$1514,measure!A99)</f>
        <v>3</v>
      </c>
      <c r="C99" s="30" t="s">
        <v>315</v>
      </c>
      <c r="D99" s="15" t="s">
        <v>513</v>
      </c>
      <c r="E99" s="15" t="s">
        <v>514</v>
      </c>
      <c r="F99" s="15" t="s">
        <v>515</v>
      </c>
      <c r="G99" s="29" t="s">
        <v>427</v>
      </c>
      <c r="H99" s="15" t="s">
        <v>428</v>
      </c>
      <c r="I99" s="15" t="s">
        <v>429</v>
      </c>
      <c r="J99" s="15" t="s">
        <v>430</v>
      </c>
      <c r="K99" s="15" t="s">
        <v>516</v>
      </c>
      <c r="L99" s="15" t="s">
        <v>217</v>
      </c>
      <c r="M99" s="15" t="s">
        <v>218</v>
      </c>
      <c r="N99" s="15" t="s">
        <v>220</v>
      </c>
      <c r="O99" s="15" t="s">
        <v>219</v>
      </c>
      <c r="P99" s="15" t="s">
        <v>219</v>
      </c>
      <c r="Q99" s="15" t="s">
        <v>219</v>
      </c>
      <c r="R99" s="15" t="s">
        <v>219</v>
      </c>
      <c r="S99" s="15" t="s">
        <v>219</v>
      </c>
      <c r="T99" s="15" t="s">
        <v>219</v>
      </c>
      <c r="U99" s="15" t="s">
        <v>219</v>
      </c>
      <c r="V99" s="15" t="s">
        <v>219</v>
      </c>
      <c r="W99" s="15">
        <v>2</v>
      </c>
      <c r="X99" s="15" t="str">
        <f>_xlfn.XLOOKUP(tblMeasure[[#This Row],[id_src]],tblSource[id_src],tblSource[org])</f>
        <v>NHS Digital</v>
      </c>
      <c r="Y99" s="15" t="str">
        <f>_xlfn.XLOOKUP(tblMeasure[[#This Row],[id_src]],tblSource[id_src],tblSource[source])</f>
        <v>ASCOF</v>
      </c>
      <c r="Z99" s="15" t="str">
        <f>_xlfn.XLOOKUP(tblMeasure[[#This Row],[id_src]],tblSource[id_src],tblSource[url_source])</f>
        <v>https://digital.nhs.uk/data-and-information/publications/statistical/adult-social-care-outcomes-framework-ascof</v>
      </c>
      <c r="AA99" s="15">
        <f>_xlfn.XLOOKUP(tblMeasure[[#This Row],[id_src]],tblSource[id_src],tblSource[year_first_published])</f>
        <v>2012</v>
      </c>
      <c r="AB99" s="15">
        <f>_xlfn.XLOOKUP(tblMeasure[[#This Row],[id_src]],tblSource[id_src],tblSource[year_last_published])</f>
        <v>2019</v>
      </c>
      <c r="AC99" s="15" t="str">
        <f>_xlfn.XLOOKUP(tblMeasure[[#This Row],[id_src]],tblSource[id_src],tblSource[discontinuity])</f>
        <v>At least one measure impact each year since 2012</v>
      </c>
      <c r="AD99" s="15" t="str">
        <f>_xlfn.XLOOKUP(tblMeasure[[#This Row],[id_src]],tblSource[id_src],tblSource[publication_frequency])</f>
        <v>Annual</v>
      </c>
      <c r="AE99" s="15">
        <f>_xlfn.XLOOKUP(tblMeasure[[#This Row],[id_src]],tblSource[id_src],tblSource[publication_lag_months])</f>
        <v>7</v>
      </c>
      <c r="AF99" s="25" t="str">
        <f>_xlfn.XLOOKUP(tblMeasure[[#This Row],[id_src]],tblSource[id_src],tblSource[data_providers])</f>
        <v>See trace</v>
      </c>
      <c r="AG99" s="25" t="str">
        <f>_xlfn.XLOOKUP(tblMeasure[[#This Row],[id_src]],tblSource[id_src],tblSource[statistic_class])</f>
        <v>Official</v>
      </c>
      <c r="AH99" s="25" t="str">
        <f>_xlfn.XLOOKUP(tblMeasure[[#This Row],[id_src]],tblSource[id_src],tblSource[methodology_link])</f>
        <v>https://files.digital.nhs.uk/19/C45DF7/meas-from-asc-of-eng-1819-Appendices.pdf</v>
      </c>
      <c r="AI99" s="25" t="str">
        <f>_xlfn.XLOOKUP(tblMeasure[[#This Row],[id_src]],tblSource[id_src],tblSource[quality_issues])</f>
        <v>https://files.digital.nhs.uk/19/C45DF7/meas-from-asc-of-eng-1819-Appendices.pdf</v>
      </c>
      <c r="AJ99" s="25">
        <f>VLOOKUP(tblMeasure[[#This Row],[msr_population_or_survey]],strlu_msr_population_or_survey,2,FALSE)</f>
        <v>0</v>
      </c>
      <c r="AK99" s="25">
        <f>VLOOKUP(tblMeasure[[#This Row],[msr_min_geo_resolution]],strlu_msr_min_geo_resolution,2,FALSE)</f>
        <v>1</v>
      </c>
      <c r="AL99" s="25">
        <f>(MAX(tblMeasure[[#This Row],[src_year_last_published]]-2010+1,0)+MIN(2010-tblMeasure[[#This Row],[src_year_first_published]],0)-MAX(tblMeasure[[#This Row],[src_year_last_published]]-2019,0))/10</f>
        <v>0.8</v>
      </c>
      <c r="AM99" s="25">
        <f>IF(OR(tblMeasure[[#This Row],[src_discontinuity]]="None",tblMeasure[[#This Row],[src_discontinuity]]=0),1,0)</f>
        <v>0</v>
      </c>
      <c r="AN99" s="25">
        <f>VLOOKUP(tblMeasure[[#This Row],[src_pub_frequency]],strlu_src_pub_frequency,2,FALSE)</f>
        <v>0.8</v>
      </c>
      <c r="AO99" s="25">
        <f>VLOOKUP(tblMeasure[[#This Row],[src_pub_lag_months]],strlu_src_pub_lag_months,2,FALSE)</f>
        <v>0.3</v>
      </c>
      <c r="AP99" s="25">
        <f>VLOOKUP(tblMeasure[[#This Row],[src_statistic_class]],strlu_src_statistic_class,2,FALSE)</f>
        <v>1</v>
      </c>
      <c r="AQ99" s="25">
        <f>IF(tblMeasure[[#This Row],[src_methodology_url]]="TBD",0,1)</f>
        <v>1</v>
      </c>
      <c r="AR99" s="25">
        <f>IF(tblMeasure[[#This Row],[src_quality_url]]="TBD",0,1)</f>
        <v>1</v>
      </c>
      <c r="AS99" s="85" cm="1">
        <f t="array" ref="AS99">SUMPRODUCT(TRANSPOSE(tblMeasure[[#This Row],[str_msr_population_or_survey]:[str_src_quality_url]]),str_weights)/str_weights_total</f>
        <v>0.65384615384615385</v>
      </c>
    </row>
    <row r="100" spans="1:45" hidden="1" x14ac:dyDescent="0.15">
      <c r="A100" s="30">
        <v>98</v>
      </c>
      <c r="B100" s="15">
        <f>COUNTIF(requirement_measure_map!$D$3:$D$1514,measure!A100)</f>
        <v>3</v>
      </c>
      <c r="C100" s="30" t="s">
        <v>315</v>
      </c>
      <c r="D100" s="15" t="s">
        <v>513</v>
      </c>
      <c r="E100" s="15" t="s">
        <v>517</v>
      </c>
      <c r="F100" s="15" t="s">
        <v>518</v>
      </c>
      <c r="G100" s="29" t="s">
        <v>427</v>
      </c>
      <c r="H100" s="15" t="s">
        <v>428</v>
      </c>
      <c r="I100" s="15" t="s">
        <v>429</v>
      </c>
      <c r="J100" s="15" t="s">
        <v>430</v>
      </c>
      <c r="K100" s="15" t="s">
        <v>519</v>
      </c>
      <c r="L100" s="15" t="s">
        <v>217</v>
      </c>
      <c r="M100" s="15" t="s">
        <v>218</v>
      </c>
      <c r="N100" s="15" t="s">
        <v>220</v>
      </c>
      <c r="O100" s="15" t="s">
        <v>219</v>
      </c>
      <c r="P100" s="15" t="s">
        <v>219</v>
      </c>
      <c r="Q100" s="15" t="s">
        <v>219</v>
      </c>
      <c r="R100" s="15" t="s">
        <v>219</v>
      </c>
      <c r="S100" s="15" t="s">
        <v>219</v>
      </c>
      <c r="T100" s="15" t="s">
        <v>219</v>
      </c>
      <c r="U100" s="15" t="s">
        <v>219</v>
      </c>
      <c r="V100" s="15" t="s">
        <v>219</v>
      </c>
      <c r="W100" s="15">
        <v>2</v>
      </c>
      <c r="X100" s="15" t="str">
        <f>_xlfn.XLOOKUP(tblMeasure[[#This Row],[id_src]],tblSource[id_src],tblSource[org])</f>
        <v>NHS Digital</v>
      </c>
      <c r="Y100" s="15" t="str">
        <f>_xlfn.XLOOKUP(tblMeasure[[#This Row],[id_src]],tblSource[id_src],tblSource[source])</f>
        <v>ASCOF</v>
      </c>
      <c r="Z100" s="15" t="str">
        <f>_xlfn.XLOOKUP(tblMeasure[[#This Row],[id_src]],tblSource[id_src],tblSource[url_source])</f>
        <v>https://digital.nhs.uk/data-and-information/publications/statistical/adult-social-care-outcomes-framework-ascof</v>
      </c>
      <c r="AA100" s="15">
        <f>_xlfn.XLOOKUP(tblMeasure[[#This Row],[id_src]],tblSource[id_src],tblSource[year_first_published])</f>
        <v>2012</v>
      </c>
      <c r="AB100" s="15">
        <f>_xlfn.XLOOKUP(tblMeasure[[#This Row],[id_src]],tblSource[id_src],tblSource[year_last_published])</f>
        <v>2019</v>
      </c>
      <c r="AC100" s="15" t="str">
        <f>_xlfn.XLOOKUP(tblMeasure[[#This Row],[id_src]],tblSource[id_src],tblSource[discontinuity])</f>
        <v>At least one measure impact each year since 2012</v>
      </c>
      <c r="AD100" s="15" t="str">
        <f>_xlfn.XLOOKUP(tblMeasure[[#This Row],[id_src]],tblSource[id_src],tblSource[publication_frequency])</f>
        <v>Annual</v>
      </c>
      <c r="AE100" s="15">
        <f>_xlfn.XLOOKUP(tblMeasure[[#This Row],[id_src]],tblSource[id_src],tblSource[publication_lag_months])</f>
        <v>7</v>
      </c>
      <c r="AF100" s="25" t="str">
        <f>_xlfn.XLOOKUP(tblMeasure[[#This Row],[id_src]],tblSource[id_src],tblSource[data_providers])</f>
        <v>See trace</v>
      </c>
      <c r="AG100" s="25" t="str">
        <f>_xlfn.XLOOKUP(tblMeasure[[#This Row],[id_src]],tblSource[id_src],tblSource[statistic_class])</f>
        <v>Official</v>
      </c>
      <c r="AH100" s="25" t="str">
        <f>_xlfn.XLOOKUP(tblMeasure[[#This Row],[id_src]],tblSource[id_src],tblSource[methodology_link])</f>
        <v>https://files.digital.nhs.uk/19/C45DF7/meas-from-asc-of-eng-1819-Appendices.pdf</v>
      </c>
      <c r="AI100" s="25" t="str">
        <f>_xlfn.XLOOKUP(tblMeasure[[#This Row],[id_src]],tblSource[id_src],tblSource[quality_issues])</f>
        <v>https://files.digital.nhs.uk/19/C45DF7/meas-from-asc-of-eng-1819-Appendices.pdf</v>
      </c>
      <c r="AJ100" s="25">
        <f>VLOOKUP(tblMeasure[[#This Row],[msr_population_or_survey]],strlu_msr_population_or_survey,2,FALSE)</f>
        <v>0</v>
      </c>
      <c r="AK100" s="25">
        <f>VLOOKUP(tblMeasure[[#This Row],[msr_min_geo_resolution]],strlu_msr_min_geo_resolution,2,FALSE)</f>
        <v>1</v>
      </c>
      <c r="AL100" s="25">
        <f>(MAX(tblMeasure[[#This Row],[src_year_last_published]]-2010+1,0)+MIN(2010-tblMeasure[[#This Row],[src_year_first_published]],0)-MAX(tblMeasure[[#This Row],[src_year_last_published]]-2019,0))/10</f>
        <v>0.8</v>
      </c>
      <c r="AM100" s="25">
        <f>IF(OR(tblMeasure[[#This Row],[src_discontinuity]]="None",tblMeasure[[#This Row],[src_discontinuity]]=0),1,0)</f>
        <v>0</v>
      </c>
      <c r="AN100" s="25">
        <f>VLOOKUP(tblMeasure[[#This Row],[src_pub_frequency]],strlu_src_pub_frequency,2,FALSE)</f>
        <v>0.8</v>
      </c>
      <c r="AO100" s="25">
        <f>VLOOKUP(tblMeasure[[#This Row],[src_pub_lag_months]],strlu_src_pub_lag_months,2,FALSE)</f>
        <v>0.3</v>
      </c>
      <c r="AP100" s="25">
        <f>VLOOKUP(tblMeasure[[#This Row],[src_statistic_class]],strlu_src_statistic_class,2,FALSE)</f>
        <v>1</v>
      </c>
      <c r="AQ100" s="25">
        <f>IF(tblMeasure[[#This Row],[src_methodology_url]]="TBD",0,1)</f>
        <v>1</v>
      </c>
      <c r="AR100" s="25">
        <f>IF(tblMeasure[[#This Row],[src_quality_url]]="TBD",0,1)</f>
        <v>1</v>
      </c>
      <c r="AS100" s="85" cm="1">
        <f t="array" ref="AS100">SUMPRODUCT(TRANSPOSE(tblMeasure[[#This Row],[str_msr_population_or_survey]:[str_src_quality_url]]),str_weights)/str_weights_total</f>
        <v>0.65384615384615385</v>
      </c>
    </row>
    <row r="101" spans="1:45" hidden="1" x14ac:dyDescent="0.15">
      <c r="A101" s="30">
        <v>99</v>
      </c>
      <c r="B101" s="15">
        <f>COUNTIF(requirement_measure_map!$D$3:$D$1514,measure!A101)</f>
        <v>14</v>
      </c>
      <c r="C101" s="30" t="s">
        <v>520</v>
      </c>
      <c r="D101" s="15" t="s">
        <v>521</v>
      </c>
      <c r="E101" s="15" t="s">
        <v>522</v>
      </c>
      <c r="F101" s="15" t="s">
        <v>523</v>
      </c>
      <c r="G101" s="29" t="s">
        <v>524</v>
      </c>
      <c r="H101" s="15"/>
      <c r="I101" s="15" t="s">
        <v>214</v>
      </c>
      <c r="J101" s="15" t="s">
        <v>215</v>
      </c>
      <c r="K101" s="15" t="s">
        <v>525</v>
      </c>
      <c r="L101" s="15" t="s">
        <v>217</v>
      </c>
      <c r="M101" s="15" t="s">
        <v>218</v>
      </c>
      <c r="N101" s="15" t="s">
        <v>219</v>
      </c>
      <c r="O101" s="15" t="s">
        <v>219</v>
      </c>
      <c r="P101" s="15" t="s">
        <v>219</v>
      </c>
      <c r="Q101" s="15" t="s">
        <v>218</v>
      </c>
      <c r="R101" s="15" t="s">
        <v>219</v>
      </c>
      <c r="S101" s="15" t="s">
        <v>219</v>
      </c>
      <c r="T101" s="15" t="s">
        <v>252</v>
      </c>
      <c r="U101" s="15" t="s">
        <v>240</v>
      </c>
      <c r="V101" s="15" t="s">
        <v>219</v>
      </c>
      <c r="W101" s="15">
        <v>3</v>
      </c>
      <c r="X101" s="15" t="str">
        <f>_xlfn.XLOOKUP(tblMeasure[[#This Row],[id_src]],tblSource[id_src],tblSource[org])</f>
        <v>NHS Digital</v>
      </c>
      <c r="Y101" s="15" t="str">
        <f>_xlfn.XLOOKUP(tblMeasure[[#This Row],[id_src]],tblSource[id_src],tblSource[source])</f>
        <v>SALT</v>
      </c>
      <c r="Z101" s="15" t="str">
        <f>_xlfn.XLOOKUP(tblMeasure[[#This Row],[id_src]],tblSource[id_src],tblSource[url_source])</f>
        <v>https://digital.nhs.uk/data-and-information/data-collections-and-data-sets/data-collections/social-care-collections#short-and-long-term-support-salt-</v>
      </c>
      <c r="AA101" s="15">
        <f>_xlfn.XLOOKUP(tblMeasure[[#This Row],[id_src]],tblSource[id_src],tblSource[year_first_published])</f>
        <v>2016</v>
      </c>
      <c r="AB101" s="15">
        <f>_xlfn.XLOOKUP(tblMeasure[[#This Row],[id_src]],tblSource[id_src],tblSource[year_last_published])</f>
        <v>2019</v>
      </c>
      <c r="AC101" s="15" t="str">
        <f>_xlfn.XLOOKUP(tblMeasure[[#This Row],[id_src]],tblSource[id_src],tblSource[discontinuity])</f>
        <v>2014 (RAP, ASC-CAR), 2016 (PSS-EX1)</v>
      </c>
      <c r="AD101" s="15" t="str">
        <f>_xlfn.XLOOKUP(tblMeasure[[#This Row],[id_src]],tblSource[id_src],tblSource[publication_frequency])</f>
        <v>Annual</v>
      </c>
      <c r="AE101" s="15" t="str">
        <f>_xlfn.XLOOKUP(tblMeasure[[#This Row],[id_src]],tblSource[id_src],tblSource[publication_lag_months])</f>
        <v>TBD</v>
      </c>
      <c r="AF101" s="25" t="str">
        <f>_xlfn.XLOOKUP(tblMeasure[[#This Row],[id_src]],tblSource[id_src],tblSource[data_providers])</f>
        <v>LA</v>
      </c>
      <c r="AG101" s="25" t="str">
        <f>_xlfn.XLOOKUP(tblMeasure[[#This Row],[id_src]],tblSource[id_src],tblSource[statistic_class])</f>
        <v>TBD</v>
      </c>
      <c r="AH101" s="25" t="str">
        <f>_xlfn.XLOOKUP(tblMeasure[[#This Row],[id_src]],tblSource[id_src],tblSource[methodology_link])</f>
        <v>TBD</v>
      </c>
      <c r="AI101" s="25" t="str">
        <f>_xlfn.XLOOKUP(tblMeasure[[#This Row],[id_src]],tblSource[id_src],tblSource[quality_issues])</f>
        <v>https://files.digital.nhs.uk/19/C45DF7/meas-from-asc-of-eng-1819-Appendices.pdf</v>
      </c>
      <c r="AJ101" s="25">
        <f>VLOOKUP(tblMeasure[[#This Row],[msr_population_or_survey]],strlu_msr_population_or_survey,2,FALSE)</f>
        <v>1</v>
      </c>
      <c r="AK101" s="25">
        <f>VLOOKUP(tblMeasure[[#This Row],[msr_min_geo_resolution]],strlu_msr_min_geo_resolution,2,FALSE)</f>
        <v>1</v>
      </c>
      <c r="AL101" s="25">
        <f>(MAX(tblMeasure[[#This Row],[src_year_last_published]]-2010+1,0)+MIN(2010-tblMeasure[[#This Row],[src_year_first_published]],0)-MAX(tblMeasure[[#This Row],[src_year_last_published]]-2019,0))/10</f>
        <v>0.4</v>
      </c>
      <c r="AM101" s="25">
        <f>IF(OR(tblMeasure[[#This Row],[src_discontinuity]]="None",tblMeasure[[#This Row],[src_discontinuity]]=0),1,0)</f>
        <v>0</v>
      </c>
      <c r="AN101" s="25">
        <f>VLOOKUP(tblMeasure[[#This Row],[src_pub_frequency]],strlu_src_pub_frequency,2,FALSE)</f>
        <v>0.8</v>
      </c>
      <c r="AO101" s="25">
        <f>VLOOKUP(tblMeasure[[#This Row],[src_pub_lag_months]],strlu_src_pub_lag_months,2,FALSE)</f>
        <v>0</v>
      </c>
      <c r="AP101" s="25">
        <f>VLOOKUP(tblMeasure[[#This Row],[src_statistic_class]],strlu_src_statistic_class,2,FALSE)</f>
        <v>0</v>
      </c>
      <c r="AQ101" s="25">
        <f>IF(tblMeasure[[#This Row],[src_methodology_url]]="TBD",0,1)</f>
        <v>0</v>
      </c>
      <c r="AR101" s="25">
        <f>IF(tblMeasure[[#This Row],[src_quality_url]]="TBD",0,1)</f>
        <v>1</v>
      </c>
      <c r="AS101" s="85" cm="1">
        <f t="array" ref="AS101">SUMPRODUCT(TRANSPOSE(tblMeasure[[#This Row],[str_msr_population_or_survey]:[str_src_quality_url]]),str_weights)/str_weights_total</f>
        <v>0.53076923076923077</v>
      </c>
    </row>
    <row r="102" spans="1:45" hidden="1" x14ac:dyDescent="0.15">
      <c r="A102" s="30">
        <v>100</v>
      </c>
      <c r="B102" s="15">
        <f>COUNTIF(requirement_measure_map!$D$3:$D$1514,measure!A102)</f>
        <v>16</v>
      </c>
      <c r="C102" s="30" t="s">
        <v>520</v>
      </c>
      <c r="D102" s="15" t="s">
        <v>521</v>
      </c>
      <c r="E102" s="15" t="s">
        <v>526</v>
      </c>
      <c r="F102" s="15" t="s">
        <v>527</v>
      </c>
      <c r="G102" s="29" t="s">
        <v>524</v>
      </c>
      <c r="H102" s="15"/>
      <c r="I102" s="15" t="s">
        <v>214</v>
      </c>
      <c r="J102" s="15" t="s">
        <v>215</v>
      </c>
      <c r="K102" s="15" t="s">
        <v>528</v>
      </c>
      <c r="L102" s="15" t="s">
        <v>217</v>
      </c>
      <c r="M102" s="15" t="s">
        <v>218</v>
      </c>
      <c r="N102" s="15" t="s">
        <v>220</v>
      </c>
      <c r="O102" s="15" t="s">
        <v>219</v>
      </c>
      <c r="P102" s="15" t="s">
        <v>292</v>
      </c>
      <c r="Q102" s="15" t="s">
        <v>219</v>
      </c>
      <c r="R102" s="15" t="s">
        <v>219</v>
      </c>
      <c r="S102" s="15" t="s">
        <v>220</v>
      </c>
      <c r="T102" s="15" t="s">
        <v>529</v>
      </c>
      <c r="U102" s="15" t="s">
        <v>240</v>
      </c>
      <c r="V102" s="15" t="s">
        <v>219</v>
      </c>
      <c r="W102" s="15">
        <v>3</v>
      </c>
      <c r="X102" s="15" t="str">
        <f>_xlfn.XLOOKUP(tblMeasure[[#This Row],[id_src]],tblSource[id_src],tblSource[org])</f>
        <v>NHS Digital</v>
      </c>
      <c r="Y102" s="15" t="str">
        <f>_xlfn.XLOOKUP(tblMeasure[[#This Row],[id_src]],tblSource[id_src],tblSource[source])</f>
        <v>SALT</v>
      </c>
      <c r="Z102" s="15" t="str">
        <f>_xlfn.XLOOKUP(tblMeasure[[#This Row],[id_src]],tblSource[id_src],tblSource[url_source])</f>
        <v>https://digital.nhs.uk/data-and-information/data-collections-and-data-sets/data-collections/social-care-collections#short-and-long-term-support-salt-</v>
      </c>
      <c r="AA102" s="15">
        <f>_xlfn.XLOOKUP(tblMeasure[[#This Row],[id_src]],tblSource[id_src],tblSource[year_first_published])</f>
        <v>2016</v>
      </c>
      <c r="AB102" s="15">
        <f>_xlfn.XLOOKUP(tblMeasure[[#This Row],[id_src]],tblSource[id_src],tblSource[year_last_published])</f>
        <v>2019</v>
      </c>
      <c r="AC102" s="15" t="str">
        <f>_xlfn.XLOOKUP(tblMeasure[[#This Row],[id_src]],tblSource[id_src],tblSource[discontinuity])</f>
        <v>2014 (RAP, ASC-CAR), 2016 (PSS-EX1)</v>
      </c>
      <c r="AD102" s="15" t="str">
        <f>_xlfn.XLOOKUP(tblMeasure[[#This Row],[id_src]],tblSource[id_src],tblSource[publication_frequency])</f>
        <v>Annual</v>
      </c>
      <c r="AE102" s="15" t="str">
        <f>_xlfn.XLOOKUP(tblMeasure[[#This Row],[id_src]],tblSource[id_src],tblSource[publication_lag_months])</f>
        <v>TBD</v>
      </c>
      <c r="AF102" s="25" t="str">
        <f>_xlfn.XLOOKUP(tblMeasure[[#This Row],[id_src]],tblSource[id_src],tblSource[data_providers])</f>
        <v>LA</v>
      </c>
      <c r="AG102" s="25" t="str">
        <f>_xlfn.XLOOKUP(tblMeasure[[#This Row],[id_src]],tblSource[id_src],tblSource[statistic_class])</f>
        <v>TBD</v>
      </c>
      <c r="AH102" s="25" t="str">
        <f>_xlfn.XLOOKUP(tblMeasure[[#This Row],[id_src]],tblSource[id_src],tblSource[methodology_link])</f>
        <v>TBD</v>
      </c>
      <c r="AI102" s="25" t="str">
        <f>_xlfn.XLOOKUP(tblMeasure[[#This Row],[id_src]],tblSource[id_src],tblSource[quality_issues])</f>
        <v>https://files.digital.nhs.uk/19/C45DF7/meas-from-asc-of-eng-1819-Appendices.pdf</v>
      </c>
      <c r="AJ102" s="25">
        <f>VLOOKUP(tblMeasure[[#This Row],[msr_population_or_survey]],strlu_msr_population_or_survey,2,FALSE)</f>
        <v>1</v>
      </c>
      <c r="AK102" s="25">
        <f>VLOOKUP(tblMeasure[[#This Row],[msr_min_geo_resolution]],strlu_msr_min_geo_resolution,2,FALSE)</f>
        <v>1</v>
      </c>
      <c r="AL102" s="25">
        <f>(MAX(tblMeasure[[#This Row],[src_year_last_published]]-2010+1,0)+MIN(2010-tblMeasure[[#This Row],[src_year_first_published]],0)-MAX(tblMeasure[[#This Row],[src_year_last_published]]-2019,0))/10</f>
        <v>0.4</v>
      </c>
      <c r="AM102" s="25">
        <f>IF(OR(tblMeasure[[#This Row],[src_discontinuity]]="None",tblMeasure[[#This Row],[src_discontinuity]]=0),1,0)</f>
        <v>0</v>
      </c>
      <c r="AN102" s="25">
        <f>VLOOKUP(tblMeasure[[#This Row],[src_pub_frequency]],strlu_src_pub_frequency,2,FALSE)</f>
        <v>0.8</v>
      </c>
      <c r="AO102" s="25">
        <f>VLOOKUP(tblMeasure[[#This Row],[src_pub_lag_months]],strlu_src_pub_lag_months,2,FALSE)</f>
        <v>0</v>
      </c>
      <c r="AP102" s="25">
        <f>VLOOKUP(tblMeasure[[#This Row],[src_statistic_class]],strlu_src_statistic_class,2,FALSE)</f>
        <v>0</v>
      </c>
      <c r="AQ102" s="25">
        <f>IF(tblMeasure[[#This Row],[src_methodology_url]]="TBD",0,1)</f>
        <v>0</v>
      </c>
      <c r="AR102" s="25">
        <f>IF(tblMeasure[[#This Row],[src_quality_url]]="TBD",0,1)</f>
        <v>1</v>
      </c>
      <c r="AS102" s="85" cm="1">
        <f t="array" ref="AS102">SUMPRODUCT(TRANSPOSE(tblMeasure[[#This Row],[str_msr_population_or_survey]:[str_src_quality_url]]),str_weights)/str_weights_total</f>
        <v>0.53076923076923077</v>
      </c>
    </row>
    <row r="103" spans="1:45" hidden="1" x14ac:dyDescent="0.15">
      <c r="A103" s="30">
        <v>101</v>
      </c>
      <c r="B103" s="15">
        <f>COUNTIF(requirement_measure_map!$D$3:$D$1514,measure!A103)</f>
        <v>15</v>
      </c>
      <c r="C103" s="30" t="s">
        <v>520</v>
      </c>
      <c r="D103" s="15" t="s">
        <v>521</v>
      </c>
      <c r="E103" s="15" t="s">
        <v>530</v>
      </c>
      <c r="F103" s="15" t="s">
        <v>531</v>
      </c>
      <c r="G103" s="29" t="s">
        <v>524</v>
      </c>
      <c r="H103" s="15"/>
      <c r="I103" s="15" t="s">
        <v>214</v>
      </c>
      <c r="J103" s="15" t="s">
        <v>215</v>
      </c>
      <c r="K103" s="15" t="s">
        <v>532</v>
      </c>
      <c r="L103" s="15" t="s">
        <v>217</v>
      </c>
      <c r="M103" s="15" t="s">
        <v>218</v>
      </c>
      <c r="N103" s="15" t="s">
        <v>219</v>
      </c>
      <c r="O103" s="15" t="s">
        <v>219</v>
      </c>
      <c r="P103" s="15" t="s">
        <v>292</v>
      </c>
      <c r="Q103" s="15" t="s">
        <v>219</v>
      </c>
      <c r="R103" s="15" t="s">
        <v>219</v>
      </c>
      <c r="S103" s="15" t="s">
        <v>220</v>
      </c>
      <c r="T103" s="15" t="s">
        <v>529</v>
      </c>
      <c r="U103" s="15" t="s">
        <v>267</v>
      </c>
      <c r="V103" s="15" t="s">
        <v>219</v>
      </c>
      <c r="W103" s="15">
        <v>3</v>
      </c>
      <c r="X103" s="15" t="str">
        <f>_xlfn.XLOOKUP(tblMeasure[[#This Row],[id_src]],tblSource[id_src],tblSource[org])</f>
        <v>NHS Digital</v>
      </c>
      <c r="Y103" s="15" t="str">
        <f>_xlfn.XLOOKUP(tblMeasure[[#This Row],[id_src]],tblSource[id_src],tblSource[source])</f>
        <v>SALT</v>
      </c>
      <c r="Z103" s="15" t="str">
        <f>_xlfn.XLOOKUP(tblMeasure[[#This Row],[id_src]],tblSource[id_src],tblSource[url_source])</f>
        <v>https://digital.nhs.uk/data-and-information/data-collections-and-data-sets/data-collections/social-care-collections#short-and-long-term-support-salt-</v>
      </c>
      <c r="AA103" s="15">
        <f>_xlfn.XLOOKUP(tblMeasure[[#This Row],[id_src]],tblSource[id_src],tblSource[year_first_published])</f>
        <v>2016</v>
      </c>
      <c r="AB103" s="15">
        <f>_xlfn.XLOOKUP(tblMeasure[[#This Row],[id_src]],tblSource[id_src],tblSource[year_last_published])</f>
        <v>2019</v>
      </c>
      <c r="AC103" s="15" t="str">
        <f>_xlfn.XLOOKUP(tblMeasure[[#This Row],[id_src]],tblSource[id_src],tblSource[discontinuity])</f>
        <v>2014 (RAP, ASC-CAR), 2016 (PSS-EX1)</v>
      </c>
      <c r="AD103" s="15" t="str">
        <f>_xlfn.XLOOKUP(tblMeasure[[#This Row],[id_src]],tblSource[id_src],tblSource[publication_frequency])</f>
        <v>Annual</v>
      </c>
      <c r="AE103" s="15" t="str">
        <f>_xlfn.XLOOKUP(tblMeasure[[#This Row],[id_src]],tblSource[id_src],tblSource[publication_lag_months])</f>
        <v>TBD</v>
      </c>
      <c r="AF103" s="25" t="str">
        <f>_xlfn.XLOOKUP(tblMeasure[[#This Row],[id_src]],tblSource[id_src],tblSource[data_providers])</f>
        <v>LA</v>
      </c>
      <c r="AG103" s="25" t="str">
        <f>_xlfn.XLOOKUP(tblMeasure[[#This Row],[id_src]],tblSource[id_src],tblSource[statistic_class])</f>
        <v>TBD</v>
      </c>
      <c r="AH103" s="25" t="str">
        <f>_xlfn.XLOOKUP(tblMeasure[[#This Row],[id_src]],tblSource[id_src],tblSource[methodology_link])</f>
        <v>TBD</v>
      </c>
      <c r="AI103" s="25" t="str">
        <f>_xlfn.XLOOKUP(tblMeasure[[#This Row],[id_src]],tblSource[id_src],tblSource[quality_issues])</f>
        <v>https://files.digital.nhs.uk/19/C45DF7/meas-from-asc-of-eng-1819-Appendices.pdf</v>
      </c>
      <c r="AJ103" s="25">
        <f>VLOOKUP(tblMeasure[[#This Row],[msr_population_or_survey]],strlu_msr_population_or_survey,2,FALSE)</f>
        <v>1</v>
      </c>
      <c r="AK103" s="25">
        <f>VLOOKUP(tblMeasure[[#This Row],[msr_min_geo_resolution]],strlu_msr_min_geo_resolution,2,FALSE)</f>
        <v>1</v>
      </c>
      <c r="AL103" s="25">
        <f>(MAX(tblMeasure[[#This Row],[src_year_last_published]]-2010+1,0)+MIN(2010-tblMeasure[[#This Row],[src_year_first_published]],0)-MAX(tblMeasure[[#This Row],[src_year_last_published]]-2019,0))/10</f>
        <v>0.4</v>
      </c>
      <c r="AM103" s="25">
        <f>IF(OR(tblMeasure[[#This Row],[src_discontinuity]]="None",tblMeasure[[#This Row],[src_discontinuity]]=0),1,0)</f>
        <v>0</v>
      </c>
      <c r="AN103" s="25">
        <f>VLOOKUP(tblMeasure[[#This Row],[src_pub_frequency]],strlu_src_pub_frequency,2,FALSE)</f>
        <v>0.8</v>
      </c>
      <c r="AO103" s="25">
        <f>VLOOKUP(tblMeasure[[#This Row],[src_pub_lag_months]],strlu_src_pub_lag_months,2,FALSE)</f>
        <v>0</v>
      </c>
      <c r="AP103" s="25">
        <f>VLOOKUP(tblMeasure[[#This Row],[src_statistic_class]],strlu_src_statistic_class,2,FALSE)</f>
        <v>0</v>
      </c>
      <c r="AQ103" s="25">
        <f>IF(tblMeasure[[#This Row],[src_methodology_url]]="TBD",0,1)</f>
        <v>0</v>
      </c>
      <c r="AR103" s="25">
        <f>IF(tblMeasure[[#This Row],[src_quality_url]]="TBD",0,1)</f>
        <v>1</v>
      </c>
      <c r="AS103" s="85" cm="1">
        <f t="array" ref="AS103">SUMPRODUCT(TRANSPOSE(tblMeasure[[#This Row],[str_msr_population_or_survey]:[str_src_quality_url]]),str_weights)/str_weights_total</f>
        <v>0.53076923076923077</v>
      </c>
    </row>
    <row r="104" spans="1:45" hidden="1" x14ac:dyDescent="0.15">
      <c r="A104" s="30">
        <v>102</v>
      </c>
      <c r="B104" s="15">
        <f>COUNTIF(requirement_measure_map!$D$3:$D$1514,measure!A104)</f>
        <v>5</v>
      </c>
      <c r="C104" s="30" t="s">
        <v>520</v>
      </c>
      <c r="D104" s="15" t="s">
        <v>521</v>
      </c>
      <c r="E104" s="15" t="s">
        <v>533</v>
      </c>
      <c r="F104" s="15" t="s">
        <v>534</v>
      </c>
      <c r="G104" s="29" t="s">
        <v>524</v>
      </c>
      <c r="H104" s="15"/>
      <c r="I104" s="15" t="s">
        <v>214</v>
      </c>
      <c r="J104" s="15" t="s">
        <v>215</v>
      </c>
      <c r="K104" s="15" t="s">
        <v>535</v>
      </c>
      <c r="L104" s="15" t="s">
        <v>217</v>
      </c>
      <c r="M104" s="15" t="s">
        <v>267</v>
      </c>
      <c r="N104" s="15" t="s">
        <v>220</v>
      </c>
      <c r="O104" s="15" t="s">
        <v>219</v>
      </c>
      <c r="P104" s="15" t="s">
        <v>219</v>
      </c>
      <c r="Q104" s="15" t="s">
        <v>219</v>
      </c>
      <c r="R104" s="15" t="s">
        <v>219</v>
      </c>
      <c r="S104" s="15" t="s">
        <v>219</v>
      </c>
      <c r="T104" s="15" t="s">
        <v>220</v>
      </c>
      <c r="U104" s="15" t="s">
        <v>219</v>
      </c>
      <c r="V104" s="15" t="s">
        <v>219</v>
      </c>
      <c r="W104" s="15">
        <v>3</v>
      </c>
      <c r="X104" s="15" t="str">
        <f>_xlfn.XLOOKUP(tblMeasure[[#This Row],[id_src]],tblSource[id_src],tblSource[org])</f>
        <v>NHS Digital</v>
      </c>
      <c r="Y104" s="15" t="str">
        <f>_xlfn.XLOOKUP(tblMeasure[[#This Row],[id_src]],tblSource[id_src],tblSource[source])</f>
        <v>SALT</v>
      </c>
      <c r="Z104" s="15" t="str">
        <f>_xlfn.XLOOKUP(tblMeasure[[#This Row],[id_src]],tblSource[id_src],tblSource[url_source])</f>
        <v>https://digital.nhs.uk/data-and-information/data-collections-and-data-sets/data-collections/social-care-collections#short-and-long-term-support-salt-</v>
      </c>
      <c r="AA104" s="15">
        <f>_xlfn.XLOOKUP(tblMeasure[[#This Row],[id_src]],tblSource[id_src],tblSource[year_first_published])</f>
        <v>2016</v>
      </c>
      <c r="AB104" s="15">
        <f>_xlfn.XLOOKUP(tblMeasure[[#This Row],[id_src]],tblSource[id_src],tblSource[year_last_published])</f>
        <v>2019</v>
      </c>
      <c r="AC104" s="15" t="str">
        <f>_xlfn.XLOOKUP(tblMeasure[[#This Row],[id_src]],tblSource[id_src],tblSource[discontinuity])</f>
        <v>2014 (RAP, ASC-CAR), 2016 (PSS-EX1)</v>
      </c>
      <c r="AD104" s="15" t="str">
        <f>_xlfn.XLOOKUP(tblMeasure[[#This Row],[id_src]],tblSource[id_src],tblSource[publication_frequency])</f>
        <v>Annual</v>
      </c>
      <c r="AE104" s="15" t="str">
        <f>_xlfn.XLOOKUP(tblMeasure[[#This Row],[id_src]],tblSource[id_src],tblSource[publication_lag_months])</f>
        <v>TBD</v>
      </c>
      <c r="AF104" s="25" t="str">
        <f>_xlfn.XLOOKUP(tblMeasure[[#This Row],[id_src]],tblSource[id_src],tblSource[data_providers])</f>
        <v>LA</v>
      </c>
      <c r="AG104" s="25" t="str">
        <f>_xlfn.XLOOKUP(tblMeasure[[#This Row],[id_src]],tblSource[id_src],tblSource[statistic_class])</f>
        <v>TBD</v>
      </c>
      <c r="AH104" s="25" t="str">
        <f>_xlfn.XLOOKUP(tblMeasure[[#This Row],[id_src]],tblSource[id_src],tblSource[methodology_link])</f>
        <v>TBD</v>
      </c>
      <c r="AI104" s="25" t="str">
        <f>_xlfn.XLOOKUP(tblMeasure[[#This Row],[id_src]],tblSource[id_src],tblSource[quality_issues])</f>
        <v>https://files.digital.nhs.uk/19/C45DF7/meas-from-asc-of-eng-1819-Appendices.pdf</v>
      </c>
      <c r="AJ104" s="25">
        <f>VLOOKUP(tblMeasure[[#This Row],[msr_population_or_survey]],strlu_msr_population_or_survey,2,FALSE)</f>
        <v>1</v>
      </c>
      <c r="AK104" s="25">
        <f>VLOOKUP(tblMeasure[[#This Row],[msr_min_geo_resolution]],strlu_msr_min_geo_resolution,2,FALSE)</f>
        <v>1</v>
      </c>
      <c r="AL104" s="25">
        <f>(MAX(tblMeasure[[#This Row],[src_year_last_published]]-2010+1,0)+MIN(2010-tblMeasure[[#This Row],[src_year_first_published]],0)-MAX(tblMeasure[[#This Row],[src_year_last_published]]-2019,0))/10</f>
        <v>0.4</v>
      </c>
      <c r="AM104" s="25">
        <f>IF(OR(tblMeasure[[#This Row],[src_discontinuity]]="None",tblMeasure[[#This Row],[src_discontinuity]]=0),1,0)</f>
        <v>0</v>
      </c>
      <c r="AN104" s="25">
        <f>VLOOKUP(tblMeasure[[#This Row],[src_pub_frequency]],strlu_src_pub_frequency,2,FALSE)</f>
        <v>0.8</v>
      </c>
      <c r="AO104" s="25">
        <f>VLOOKUP(tblMeasure[[#This Row],[src_pub_lag_months]],strlu_src_pub_lag_months,2,FALSE)</f>
        <v>0</v>
      </c>
      <c r="AP104" s="25">
        <f>VLOOKUP(tblMeasure[[#This Row],[src_statistic_class]],strlu_src_statistic_class,2,FALSE)</f>
        <v>0</v>
      </c>
      <c r="AQ104" s="25">
        <f>IF(tblMeasure[[#This Row],[src_methodology_url]]="TBD",0,1)</f>
        <v>0</v>
      </c>
      <c r="AR104" s="25">
        <f>IF(tblMeasure[[#This Row],[src_quality_url]]="TBD",0,1)</f>
        <v>1</v>
      </c>
      <c r="AS104" s="85" cm="1">
        <f t="array" ref="AS104">SUMPRODUCT(TRANSPOSE(tblMeasure[[#This Row],[str_msr_population_or_survey]:[str_src_quality_url]]),str_weights)/str_weights_total</f>
        <v>0.53076923076923077</v>
      </c>
    </row>
    <row r="105" spans="1:45" hidden="1" x14ac:dyDescent="0.15">
      <c r="A105" s="30">
        <v>103</v>
      </c>
      <c r="B105" s="15">
        <f>COUNTIF(requirement_measure_map!$D$3:$D$1514,measure!A105)</f>
        <v>9</v>
      </c>
      <c r="C105" s="30" t="s">
        <v>520</v>
      </c>
      <c r="D105" s="15" t="s">
        <v>536</v>
      </c>
      <c r="E105" s="15" t="s">
        <v>537</v>
      </c>
      <c r="F105" s="15" t="s">
        <v>538</v>
      </c>
      <c r="G105" s="29" t="s">
        <v>524</v>
      </c>
      <c r="H105" s="15"/>
      <c r="I105" s="15" t="s">
        <v>214</v>
      </c>
      <c r="J105" s="15" t="s">
        <v>215</v>
      </c>
      <c r="K105" s="15" t="s">
        <v>539</v>
      </c>
      <c r="L105" s="15" t="s">
        <v>217</v>
      </c>
      <c r="M105" s="15" t="s">
        <v>218</v>
      </c>
      <c r="N105" s="15" t="s">
        <v>219</v>
      </c>
      <c r="O105" s="15" t="s">
        <v>219</v>
      </c>
      <c r="P105" s="15" t="s">
        <v>292</v>
      </c>
      <c r="Q105" s="15" t="s">
        <v>218</v>
      </c>
      <c r="R105" s="15" t="s">
        <v>219</v>
      </c>
      <c r="S105" s="15" t="s">
        <v>219</v>
      </c>
      <c r="T105" s="15" t="s">
        <v>220</v>
      </c>
      <c r="U105" s="15" t="s">
        <v>240</v>
      </c>
      <c r="V105" s="15" t="s">
        <v>219</v>
      </c>
      <c r="W105" s="15">
        <v>3</v>
      </c>
      <c r="X105" s="15" t="str">
        <f>_xlfn.XLOOKUP(tblMeasure[[#This Row],[id_src]],tblSource[id_src],tblSource[org])</f>
        <v>NHS Digital</v>
      </c>
      <c r="Y105" s="15" t="str">
        <f>_xlfn.XLOOKUP(tblMeasure[[#This Row],[id_src]],tblSource[id_src],tblSource[source])</f>
        <v>SALT</v>
      </c>
      <c r="Z105" s="15" t="str">
        <f>_xlfn.XLOOKUP(tblMeasure[[#This Row],[id_src]],tblSource[id_src],tblSource[url_source])</f>
        <v>https://digital.nhs.uk/data-and-information/data-collections-and-data-sets/data-collections/social-care-collections#short-and-long-term-support-salt-</v>
      </c>
      <c r="AA105" s="15">
        <f>_xlfn.XLOOKUP(tblMeasure[[#This Row],[id_src]],tblSource[id_src],tblSource[year_first_published])</f>
        <v>2016</v>
      </c>
      <c r="AB105" s="15">
        <f>_xlfn.XLOOKUP(tblMeasure[[#This Row],[id_src]],tblSource[id_src],tblSource[year_last_published])</f>
        <v>2019</v>
      </c>
      <c r="AC105" s="15" t="str">
        <f>_xlfn.XLOOKUP(tblMeasure[[#This Row],[id_src]],tblSource[id_src],tblSource[discontinuity])</f>
        <v>2014 (RAP, ASC-CAR), 2016 (PSS-EX1)</v>
      </c>
      <c r="AD105" s="15" t="str">
        <f>_xlfn.XLOOKUP(tblMeasure[[#This Row],[id_src]],tblSource[id_src],tblSource[publication_frequency])</f>
        <v>Annual</v>
      </c>
      <c r="AE105" s="15" t="str">
        <f>_xlfn.XLOOKUP(tblMeasure[[#This Row],[id_src]],tblSource[id_src],tblSource[publication_lag_months])</f>
        <v>TBD</v>
      </c>
      <c r="AF105" s="25" t="str">
        <f>_xlfn.XLOOKUP(tblMeasure[[#This Row],[id_src]],tblSource[id_src],tblSource[data_providers])</f>
        <v>LA</v>
      </c>
      <c r="AG105" s="25" t="str">
        <f>_xlfn.XLOOKUP(tblMeasure[[#This Row],[id_src]],tblSource[id_src],tblSource[statistic_class])</f>
        <v>TBD</v>
      </c>
      <c r="AH105" s="25" t="str">
        <f>_xlfn.XLOOKUP(tblMeasure[[#This Row],[id_src]],tblSource[id_src],tblSource[methodology_link])</f>
        <v>TBD</v>
      </c>
      <c r="AI105" s="25" t="str">
        <f>_xlfn.XLOOKUP(tblMeasure[[#This Row],[id_src]],tblSource[id_src],tblSource[quality_issues])</f>
        <v>https://files.digital.nhs.uk/19/C45DF7/meas-from-asc-of-eng-1819-Appendices.pdf</v>
      </c>
      <c r="AJ105" s="25">
        <f>VLOOKUP(tblMeasure[[#This Row],[msr_population_or_survey]],strlu_msr_population_or_survey,2,FALSE)</f>
        <v>1</v>
      </c>
      <c r="AK105" s="25">
        <f>VLOOKUP(tblMeasure[[#This Row],[msr_min_geo_resolution]],strlu_msr_min_geo_resolution,2,FALSE)</f>
        <v>1</v>
      </c>
      <c r="AL105" s="25">
        <f>(MAX(tblMeasure[[#This Row],[src_year_last_published]]-2010+1,0)+MIN(2010-tblMeasure[[#This Row],[src_year_first_published]],0)-MAX(tblMeasure[[#This Row],[src_year_last_published]]-2019,0))/10</f>
        <v>0.4</v>
      </c>
      <c r="AM105" s="25">
        <f>IF(OR(tblMeasure[[#This Row],[src_discontinuity]]="None",tblMeasure[[#This Row],[src_discontinuity]]=0),1,0)</f>
        <v>0</v>
      </c>
      <c r="AN105" s="25">
        <f>VLOOKUP(tblMeasure[[#This Row],[src_pub_frequency]],strlu_src_pub_frequency,2,FALSE)</f>
        <v>0.8</v>
      </c>
      <c r="AO105" s="25">
        <f>VLOOKUP(tblMeasure[[#This Row],[src_pub_lag_months]],strlu_src_pub_lag_months,2,FALSE)</f>
        <v>0</v>
      </c>
      <c r="AP105" s="25">
        <f>VLOOKUP(tblMeasure[[#This Row],[src_statistic_class]],strlu_src_statistic_class,2,FALSE)</f>
        <v>0</v>
      </c>
      <c r="AQ105" s="25">
        <f>IF(tblMeasure[[#This Row],[src_methodology_url]]="TBD",0,1)</f>
        <v>0</v>
      </c>
      <c r="AR105" s="25">
        <f>IF(tblMeasure[[#This Row],[src_quality_url]]="TBD",0,1)</f>
        <v>1</v>
      </c>
      <c r="AS105" s="85" cm="1">
        <f t="array" ref="AS105">SUMPRODUCT(TRANSPOSE(tblMeasure[[#This Row],[str_msr_population_or_survey]:[str_src_quality_url]]),str_weights)/str_weights_total</f>
        <v>0.53076923076923077</v>
      </c>
    </row>
    <row r="106" spans="1:45" hidden="1" x14ac:dyDescent="0.15">
      <c r="A106" s="30">
        <v>104</v>
      </c>
      <c r="B106" s="15">
        <f>COUNTIF(requirement_measure_map!$D$3:$D$1514,measure!A106)</f>
        <v>12</v>
      </c>
      <c r="C106" s="30" t="s">
        <v>520</v>
      </c>
      <c r="D106" s="15" t="s">
        <v>536</v>
      </c>
      <c r="E106" s="15" t="s">
        <v>540</v>
      </c>
      <c r="F106" s="15" t="s">
        <v>541</v>
      </c>
      <c r="G106" s="29" t="s">
        <v>524</v>
      </c>
      <c r="H106" s="15"/>
      <c r="I106" s="15" t="s">
        <v>214</v>
      </c>
      <c r="J106" s="15" t="s">
        <v>215</v>
      </c>
      <c r="K106" s="15" t="s">
        <v>539</v>
      </c>
      <c r="L106" s="15" t="s">
        <v>217</v>
      </c>
      <c r="M106" s="15" t="s">
        <v>218</v>
      </c>
      <c r="N106" s="15" t="s">
        <v>220</v>
      </c>
      <c r="O106" s="15" t="s">
        <v>219</v>
      </c>
      <c r="P106" s="15" t="s">
        <v>292</v>
      </c>
      <c r="Q106" s="15" t="s">
        <v>218</v>
      </c>
      <c r="R106" s="15" t="s">
        <v>219</v>
      </c>
      <c r="S106" s="15" t="s">
        <v>219</v>
      </c>
      <c r="T106" s="15" t="s">
        <v>220</v>
      </c>
      <c r="U106" s="15" t="s">
        <v>240</v>
      </c>
      <c r="V106" s="15" t="s">
        <v>219</v>
      </c>
      <c r="W106" s="15">
        <v>3</v>
      </c>
      <c r="X106" s="15" t="str">
        <f>_xlfn.XLOOKUP(tblMeasure[[#This Row],[id_src]],tblSource[id_src],tblSource[org])</f>
        <v>NHS Digital</v>
      </c>
      <c r="Y106" s="15" t="str">
        <f>_xlfn.XLOOKUP(tblMeasure[[#This Row],[id_src]],tblSource[id_src],tblSource[source])</f>
        <v>SALT</v>
      </c>
      <c r="Z106" s="15" t="str">
        <f>_xlfn.XLOOKUP(tblMeasure[[#This Row],[id_src]],tblSource[id_src],tblSource[url_source])</f>
        <v>https://digital.nhs.uk/data-and-information/data-collections-and-data-sets/data-collections/social-care-collections#short-and-long-term-support-salt-</v>
      </c>
      <c r="AA106" s="15">
        <f>_xlfn.XLOOKUP(tblMeasure[[#This Row],[id_src]],tblSource[id_src],tblSource[year_first_published])</f>
        <v>2016</v>
      </c>
      <c r="AB106" s="15">
        <f>_xlfn.XLOOKUP(tblMeasure[[#This Row],[id_src]],tblSource[id_src],tblSource[year_last_published])</f>
        <v>2019</v>
      </c>
      <c r="AC106" s="15" t="str">
        <f>_xlfn.XLOOKUP(tblMeasure[[#This Row],[id_src]],tblSource[id_src],tblSource[discontinuity])</f>
        <v>2014 (RAP, ASC-CAR), 2016 (PSS-EX1)</v>
      </c>
      <c r="AD106" s="15" t="str">
        <f>_xlfn.XLOOKUP(tblMeasure[[#This Row],[id_src]],tblSource[id_src],tblSource[publication_frequency])</f>
        <v>Annual</v>
      </c>
      <c r="AE106" s="15" t="str">
        <f>_xlfn.XLOOKUP(tblMeasure[[#This Row],[id_src]],tblSource[id_src],tblSource[publication_lag_months])</f>
        <v>TBD</v>
      </c>
      <c r="AF106" s="25" t="str">
        <f>_xlfn.XLOOKUP(tblMeasure[[#This Row],[id_src]],tblSource[id_src],tblSource[data_providers])</f>
        <v>LA</v>
      </c>
      <c r="AG106" s="25" t="str">
        <f>_xlfn.XLOOKUP(tblMeasure[[#This Row],[id_src]],tblSource[id_src],tblSource[statistic_class])</f>
        <v>TBD</v>
      </c>
      <c r="AH106" s="25" t="str">
        <f>_xlfn.XLOOKUP(tblMeasure[[#This Row],[id_src]],tblSource[id_src],tblSource[methodology_link])</f>
        <v>TBD</v>
      </c>
      <c r="AI106" s="25" t="str">
        <f>_xlfn.XLOOKUP(tblMeasure[[#This Row],[id_src]],tblSource[id_src],tblSource[quality_issues])</f>
        <v>https://files.digital.nhs.uk/19/C45DF7/meas-from-asc-of-eng-1819-Appendices.pdf</v>
      </c>
      <c r="AJ106" s="25">
        <f>VLOOKUP(tblMeasure[[#This Row],[msr_population_or_survey]],strlu_msr_population_or_survey,2,FALSE)</f>
        <v>1</v>
      </c>
      <c r="AK106" s="25">
        <f>VLOOKUP(tblMeasure[[#This Row],[msr_min_geo_resolution]],strlu_msr_min_geo_resolution,2,FALSE)</f>
        <v>1</v>
      </c>
      <c r="AL106" s="25">
        <f>(MAX(tblMeasure[[#This Row],[src_year_last_published]]-2010+1,0)+MIN(2010-tblMeasure[[#This Row],[src_year_first_published]],0)-MAX(tblMeasure[[#This Row],[src_year_last_published]]-2019,0))/10</f>
        <v>0.4</v>
      </c>
      <c r="AM106" s="25">
        <f>IF(OR(tblMeasure[[#This Row],[src_discontinuity]]="None",tblMeasure[[#This Row],[src_discontinuity]]=0),1,0)</f>
        <v>0</v>
      </c>
      <c r="AN106" s="25">
        <f>VLOOKUP(tblMeasure[[#This Row],[src_pub_frequency]],strlu_src_pub_frequency,2,FALSE)</f>
        <v>0.8</v>
      </c>
      <c r="AO106" s="25">
        <f>VLOOKUP(tblMeasure[[#This Row],[src_pub_lag_months]],strlu_src_pub_lag_months,2,FALSE)</f>
        <v>0</v>
      </c>
      <c r="AP106" s="25">
        <f>VLOOKUP(tblMeasure[[#This Row],[src_statistic_class]],strlu_src_statistic_class,2,FALSE)</f>
        <v>0</v>
      </c>
      <c r="AQ106" s="25">
        <f>IF(tblMeasure[[#This Row],[src_methodology_url]]="TBD",0,1)</f>
        <v>0</v>
      </c>
      <c r="AR106" s="25">
        <f>IF(tblMeasure[[#This Row],[src_quality_url]]="TBD",0,1)</f>
        <v>1</v>
      </c>
      <c r="AS106" s="85" cm="1">
        <f t="array" ref="AS106">SUMPRODUCT(TRANSPOSE(tblMeasure[[#This Row],[str_msr_population_or_survey]:[str_src_quality_url]]),str_weights)/str_weights_total</f>
        <v>0.53076923076923077</v>
      </c>
    </row>
    <row r="107" spans="1:45" hidden="1" x14ac:dyDescent="0.15">
      <c r="A107" s="30">
        <v>105</v>
      </c>
      <c r="B107" s="15">
        <f>COUNTIF(requirement_measure_map!$D$3:$D$1514,measure!A107)</f>
        <v>11</v>
      </c>
      <c r="C107" s="30" t="s">
        <v>520</v>
      </c>
      <c r="D107" s="15" t="s">
        <v>536</v>
      </c>
      <c r="E107" s="15" t="s">
        <v>542</v>
      </c>
      <c r="F107" s="15" t="s">
        <v>543</v>
      </c>
      <c r="G107" s="29" t="s">
        <v>524</v>
      </c>
      <c r="H107" s="15"/>
      <c r="I107" s="15" t="s">
        <v>214</v>
      </c>
      <c r="J107" s="15" t="s">
        <v>215</v>
      </c>
      <c r="K107" s="15" t="s">
        <v>539</v>
      </c>
      <c r="L107" s="15" t="s">
        <v>217</v>
      </c>
      <c r="M107" s="15" t="s">
        <v>218</v>
      </c>
      <c r="N107" s="15" t="s">
        <v>219</v>
      </c>
      <c r="O107" s="15" t="s">
        <v>219</v>
      </c>
      <c r="P107" s="15" t="s">
        <v>292</v>
      </c>
      <c r="Q107" s="15" t="s">
        <v>218</v>
      </c>
      <c r="R107" s="15" t="s">
        <v>219</v>
      </c>
      <c r="S107" s="15" t="s">
        <v>219</v>
      </c>
      <c r="T107" s="15" t="s">
        <v>220</v>
      </c>
      <c r="U107" s="15" t="s">
        <v>240</v>
      </c>
      <c r="V107" s="15" t="s">
        <v>220</v>
      </c>
      <c r="W107" s="15">
        <v>3</v>
      </c>
      <c r="X107" s="15" t="str">
        <f>_xlfn.XLOOKUP(tblMeasure[[#This Row],[id_src]],tblSource[id_src],tblSource[org])</f>
        <v>NHS Digital</v>
      </c>
      <c r="Y107" s="15" t="str">
        <f>_xlfn.XLOOKUP(tblMeasure[[#This Row],[id_src]],tblSource[id_src],tblSource[source])</f>
        <v>SALT</v>
      </c>
      <c r="Z107" s="15" t="str">
        <f>_xlfn.XLOOKUP(tblMeasure[[#This Row],[id_src]],tblSource[id_src],tblSource[url_source])</f>
        <v>https://digital.nhs.uk/data-and-information/data-collections-and-data-sets/data-collections/social-care-collections#short-and-long-term-support-salt-</v>
      </c>
      <c r="AA107" s="15">
        <f>_xlfn.XLOOKUP(tblMeasure[[#This Row],[id_src]],tblSource[id_src],tblSource[year_first_published])</f>
        <v>2016</v>
      </c>
      <c r="AB107" s="15">
        <f>_xlfn.XLOOKUP(tblMeasure[[#This Row],[id_src]],tblSource[id_src],tblSource[year_last_published])</f>
        <v>2019</v>
      </c>
      <c r="AC107" s="15" t="str">
        <f>_xlfn.XLOOKUP(tblMeasure[[#This Row],[id_src]],tblSource[id_src],tblSource[discontinuity])</f>
        <v>2014 (RAP, ASC-CAR), 2016 (PSS-EX1)</v>
      </c>
      <c r="AD107" s="15" t="str">
        <f>_xlfn.XLOOKUP(tblMeasure[[#This Row],[id_src]],tblSource[id_src],tblSource[publication_frequency])</f>
        <v>Annual</v>
      </c>
      <c r="AE107" s="15" t="str">
        <f>_xlfn.XLOOKUP(tblMeasure[[#This Row],[id_src]],tblSource[id_src],tblSource[publication_lag_months])</f>
        <v>TBD</v>
      </c>
      <c r="AF107" s="25" t="str">
        <f>_xlfn.XLOOKUP(tblMeasure[[#This Row],[id_src]],tblSource[id_src],tblSource[data_providers])</f>
        <v>LA</v>
      </c>
      <c r="AG107" s="25" t="str">
        <f>_xlfn.XLOOKUP(tblMeasure[[#This Row],[id_src]],tblSource[id_src],tblSource[statistic_class])</f>
        <v>TBD</v>
      </c>
      <c r="AH107" s="25" t="str">
        <f>_xlfn.XLOOKUP(tblMeasure[[#This Row],[id_src]],tblSource[id_src],tblSource[methodology_link])</f>
        <v>TBD</v>
      </c>
      <c r="AI107" s="25" t="str">
        <f>_xlfn.XLOOKUP(tblMeasure[[#This Row],[id_src]],tblSource[id_src],tblSource[quality_issues])</f>
        <v>https://files.digital.nhs.uk/19/C45DF7/meas-from-asc-of-eng-1819-Appendices.pdf</v>
      </c>
      <c r="AJ107" s="25">
        <f>VLOOKUP(tblMeasure[[#This Row],[msr_population_or_survey]],strlu_msr_population_or_survey,2,FALSE)</f>
        <v>1</v>
      </c>
      <c r="AK107" s="25">
        <f>VLOOKUP(tblMeasure[[#This Row],[msr_min_geo_resolution]],strlu_msr_min_geo_resolution,2,FALSE)</f>
        <v>1</v>
      </c>
      <c r="AL107" s="25">
        <f>(MAX(tblMeasure[[#This Row],[src_year_last_published]]-2010+1,0)+MIN(2010-tblMeasure[[#This Row],[src_year_first_published]],0)-MAX(tblMeasure[[#This Row],[src_year_last_published]]-2019,0))/10</f>
        <v>0.4</v>
      </c>
      <c r="AM107" s="25">
        <f>IF(OR(tblMeasure[[#This Row],[src_discontinuity]]="None",tblMeasure[[#This Row],[src_discontinuity]]=0),1,0)</f>
        <v>0</v>
      </c>
      <c r="AN107" s="25">
        <f>VLOOKUP(tblMeasure[[#This Row],[src_pub_frequency]],strlu_src_pub_frequency,2,FALSE)</f>
        <v>0.8</v>
      </c>
      <c r="AO107" s="25">
        <f>VLOOKUP(tblMeasure[[#This Row],[src_pub_lag_months]],strlu_src_pub_lag_months,2,FALSE)</f>
        <v>0</v>
      </c>
      <c r="AP107" s="25">
        <f>VLOOKUP(tblMeasure[[#This Row],[src_statistic_class]],strlu_src_statistic_class,2,FALSE)</f>
        <v>0</v>
      </c>
      <c r="AQ107" s="25">
        <f>IF(tblMeasure[[#This Row],[src_methodology_url]]="TBD",0,1)</f>
        <v>0</v>
      </c>
      <c r="AR107" s="25">
        <f>IF(tblMeasure[[#This Row],[src_quality_url]]="TBD",0,1)</f>
        <v>1</v>
      </c>
      <c r="AS107" s="85" cm="1">
        <f t="array" ref="AS107">SUMPRODUCT(TRANSPOSE(tblMeasure[[#This Row],[str_msr_population_or_survey]:[str_src_quality_url]]),str_weights)/str_weights_total</f>
        <v>0.53076923076923077</v>
      </c>
    </row>
    <row r="108" spans="1:45" hidden="1" x14ac:dyDescent="0.15">
      <c r="A108" s="30">
        <v>106</v>
      </c>
      <c r="B108" s="15">
        <f>COUNTIF(requirement_measure_map!$D$3:$D$1514,measure!A108)</f>
        <v>14</v>
      </c>
      <c r="C108" s="30" t="s">
        <v>520</v>
      </c>
      <c r="D108" s="15" t="s">
        <v>536</v>
      </c>
      <c r="E108" s="15" t="s">
        <v>544</v>
      </c>
      <c r="F108" s="15" t="s">
        <v>545</v>
      </c>
      <c r="G108" s="29" t="s">
        <v>524</v>
      </c>
      <c r="H108" s="15"/>
      <c r="I108" s="15" t="s">
        <v>214</v>
      </c>
      <c r="J108" s="15" t="s">
        <v>215</v>
      </c>
      <c r="K108" s="15" t="s">
        <v>546</v>
      </c>
      <c r="L108" s="15" t="s">
        <v>217</v>
      </c>
      <c r="M108" s="15" t="s">
        <v>218</v>
      </c>
      <c r="N108" s="15" t="s">
        <v>219</v>
      </c>
      <c r="O108" s="15" t="s">
        <v>219</v>
      </c>
      <c r="P108" s="15" t="s">
        <v>219</v>
      </c>
      <c r="Q108" s="15" t="s">
        <v>219</v>
      </c>
      <c r="R108" s="15" t="s">
        <v>219</v>
      </c>
      <c r="S108" s="15" t="s">
        <v>219</v>
      </c>
      <c r="T108" s="15" t="s">
        <v>220</v>
      </c>
      <c r="U108" s="15" t="s">
        <v>267</v>
      </c>
      <c r="V108" s="15" t="s">
        <v>219</v>
      </c>
      <c r="W108" s="15">
        <v>3</v>
      </c>
      <c r="X108" s="15" t="str">
        <f>_xlfn.XLOOKUP(tblMeasure[[#This Row],[id_src]],tblSource[id_src],tblSource[org])</f>
        <v>NHS Digital</v>
      </c>
      <c r="Y108" s="15" t="str">
        <f>_xlfn.XLOOKUP(tblMeasure[[#This Row],[id_src]],tblSource[id_src],tblSource[source])</f>
        <v>SALT</v>
      </c>
      <c r="Z108" s="15" t="str">
        <f>_xlfn.XLOOKUP(tblMeasure[[#This Row],[id_src]],tblSource[id_src],tblSource[url_source])</f>
        <v>https://digital.nhs.uk/data-and-information/data-collections-and-data-sets/data-collections/social-care-collections#short-and-long-term-support-salt-</v>
      </c>
      <c r="AA108" s="15">
        <f>_xlfn.XLOOKUP(tblMeasure[[#This Row],[id_src]],tblSource[id_src],tblSource[year_first_published])</f>
        <v>2016</v>
      </c>
      <c r="AB108" s="15">
        <f>_xlfn.XLOOKUP(tblMeasure[[#This Row],[id_src]],tblSource[id_src],tblSource[year_last_published])</f>
        <v>2019</v>
      </c>
      <c r="AC108" s="15" t="str">
        <f>_xlfn.XLOOKUP(tblMeasure[[#This Row],[id_src]],tblSource[id_src],tblSource[discontinuity])</f>
        <v>2014 (RAP, ASC-CAR), 2016 (PSS-EX1)</v>
      </c>
      <c r="AD108" s="15" t="str">
        <f>_xlfn.XLOOKUP(tblMeasure[[#This Row],[id_src]],tblSource[id_src],tblSource[publication_frequency])</f>
        <v>Annual</v>
      </c>
      <c r="AE108" s="15" t="str">
        <f>_xlfn.XLOOKUP(tblMeasure[[#This Row],[id_src]],tblSource[id_src],tblSource[publication_lag_months])</f>
        <v>TBD</v>
      </c>
      <c r="AF108" s="25" t="str">
        <f>_xlfn.XLOOKUP(tblMeasure[[#This Row],[id_src]],tblSource[id_src],tblSource[data_providers])</f>
        <v>LA</v>
      </c>
      <c r="AG108" s="25" t="str">
        <f>_xlfn.XLOOKUP(tblMeasure[[#This Row],[id_src]],tblSource[id_src],tblSource[statistic_class])</f>
        <v>TBD</v>
      </c>
      <c r="AH108" s="25" t="str">
        <f>_xlfn.XLOOKUP(tblMeasure[[#This Row],[id_src]],tblSource[id_src],tblSource[methodology_link])</f>
        <v>TBD</v>
      </c>
      <c r="AI108" s="25" t="str">
        <f>_xlfn.XLOOKUP(tblMeasure[[#This Row],[id_src]],tblSource[id_src],tblSource[quality_issues])</f>
        <v>https://files.digital.nhs.uk/19/C45DF7/meas-from-asc-of-eng-1819-Appendices.pdf</v>
      </c>
      <c r="AJ108" s="25">
        <f>VLOOKUP(tblMeasure[[#This Row],[msr_population_or_survey]],strlu_msr_population_or_survey,2,FALSE)</f>
        <v>1</v>
      </c>
      <c r="AK108" s="25">
        <f>VLOOKUP(tblMeasure[[#This Row],[msr_min_geo_resolution]],strlu_msr_min_geo_resolution,2,FALSE)</f>
        <v>1</v>
      </c>
      <c r="AL108" s="25">
        <f>(MAX(tblMeasure[[#This Row],[src_year_last_published]]-2010+1,0)+MIN(2010-tblMeasure[[#This Row],[src_year_first_published]],0)-MAX(tblMeasure[[#This Row],[src_year_last_published]]-2019,0))/10</f>
        <v>0.4</v>
      </c>
      <c r="AM108" s="25">
        <f>IF(OR(tblMeasure[[#This Row],[src_discontinuity]]="None",tblMeasure[[#This Row],[src_discontinuity]]=0),1,0)</f>
        <v>0</v>
      </c>
      <c r="AN108" s="25">
        <f>VLOOKUP(tblMeasure[[#This Row],[src_pub_frequency]],strlu_src_pub_frequency,2,FALSE)</f>
        <v>0.8</v>
      </c>
      <c r="AO108" s="25">
        <f>VLOOKUP(tblMeasure[[#This Row],[src_pub_lag_months]],strlu_src_pub_lag_months,2,FALSE)</f>
        <v>0</v>
      </c>
      <c r="AP108" s="25">
        <f>VLOOKUP(tblMeasure[[#This Row],[src_statistic_class]],strlu_src_statistic_class,2,FALSE)</f>
        <v>0</v>
      </c>
      <c r="AQ108" s="25">
        <f>IF(tblMeasure[[#This Row],[src_methodology_url]]="TBD",0,1)</f>
        <v>0</v>
      </c>
      <c r="AR108" s="25">
        <f>IF(tblMeasure[[#This Row],[src_quality_url]]="TBD",0,1)</f>
        <v>1</v>
      </c>
      <c r="AS108" s="85" cm="1">
        <f t="array" ref="AS108">SUMPRODUCT(TRANSPOSE(tblMeasure[[#This Row],[str_msr_population_or_survey]:[str_src_quality_url]]),str_weights)/str_weights_total</f>
        <v>0.53076923076923077</v>
      </c>
    </row>
    <row r="109" spans="1:45" hidden="1" x14ac:dyDescent="0.15">
      <c r="A109" s="30">
        <v>107</v>
      </c>
      <c r="B109" s="15">
        <f>COUNTIF(requirement_measure_map!$D$3:$D$1514,measure!A109)</f>
        <v>14</v>
      </c>
      <c r="C109" s="30" t="s">
        <v>520</v>
      </c>
      <c r="D109" s="15" t="s">
        <v>536</v>
      </c>
      <c r="E109" s="15" t="s">
        <v>547</v>
      </c>
      <c r="F109" s="15" t="s">
        <v>548</v>
      </c>
      <c r="G109" s="29" t="s">
        <v>524</v>
      </c>
      <c r="H109" s="15"/>
      <c r="I109" s="15" t="s">
        <v>214</v>
      </c>
      <c r="J109" s="15" t="s">
        <v>215</v>
      </c>
      <c r="K109" s="15" t="s">
        <v>546</v>
      </c>
      <c r="L109" s="15" t="s">
        <v>217</v>
      </c>
      <c r="M109" s="15" t="s">
        <v>218</v>
      </c>
      <c r="N109" s="15" t="s">
        <v>219</v>
      </c>
      <c r="O109" s="15" t="s">
        <v>219</v>
      </c>
      <c r="P109" s="15" t="s">
        <v>219</v>
      </c>
      <c r="Q109" s="15" t="s">
        <v>219</v>
      </c>
      <c r="R109" s="15" t="s">
        <v>219</v>
      </c>
      <c r="S109" s="15" t="s">
        <v>219</v>
      </c>
      <c r="T109" s="15" t="s">
        <v>220</v>
      </c>
      <c r="U109" s="15" t="s">
        <v>267</v>
      </c>
      <c r="V109" s="15" t="s">
        <v>219</v>
      </c>
      <c r="W109" s="15">
        <v>3</v>
      </c>
      <c r="X109" s="15" t="str">
        <f>_xlfn.XLOOKUP(tblMeasure[[#This Row],[id_src]],tblSource[id_src],tblSource[org])</f>
        <v>NHS Digital</v>
      </c>
      <c r="Y109" s="15" t="str">
        <f>_xlfn.XLOOKUP(tblMeasure[[#This Row],[id_src]],tblSource[id_src],tblSource[source])</f>
        <v>SALT</v>
      </c>
      <c r="Z109" s="15" t="str">
        <f>_xlfn.XLOOKUP(tblMeasure[[#This Row],[id_src]],tblSource[id_src],tblSource[url_source])</f>
        <v>https://digital.nhs.uk/data-and-information/data-collections-and-data-sets/data-collections/social-care-collections#short-and-long-term-support-salt-</v>
      </c>
      <c r="AA109" s="15">
        <f>_xlfn.XLOOKUP(tblMeasure[[#This Row],[id_src]],tblSource[id_src],tblSource[year_first_published])</f>
        <v>2016</v>
      </c>
      <c r="AB109" s="15">
        <f>_xlfn.XLOOKUP(tblMeasure[[#This Row],[id_src]],tblSource[id_src],tblSource[year_last_published])</f>
        <v>2019</v>
      </c>
      <c r="AC109" s="15" t="str">
        <f>_xlfn.XLOOKUP(tblMeasure[[#This Row],[id_src]],tblSource[id_src],tblSource[discontinuity])</f>
        <v>2014 (RAP, ASC-CAR), 2016 (PSS-EX1)</v>
      </c>
      <c r="AD109" s="15" t="str">
        <f>_xlfn.XLOOKUP(tblMeasure[[#This Row],[id_src]],tblSource[id_src],tblSource[publication_frequency])</f>
        <v>Annual</v>
      </c>
      <c r="AE109" s="15" t="str">
        <f>_xlfn.XLOOKUP(tblMeasure[[#This Row],[id_src]],tblSource[id_src],tblSource[publication_lag_months])</f>
        <v>TBD</v>
      </c>
      <c r="AF109" s="25" t="str">
        <f>_xlfn.XLOOKUP(tblMeasure[[#This Row],[id_src]],tblSource[id_src],tblSource[data_providers])</f>
        <v>LA</v>
      </c>
      <c r="AG109" s="25" t="str">
        <f>_xlfn.XLOOKUP(tblMeasure[[#This Row],[id_src]],tblSource[id_src],tblSource[statistic_class])</f>
        <v>TBD</v>
      </c>
      <c r="AH109" s="25" t="str">
        <f>_xlfn.XLOOKUP(tblMeasure[[#This Row],[id_src]],tblSource[id_src],tblSource[methodology_link])</f>
        <v>TBD</v>
      </c>
      <c r="AI109" s="25" t="str">
        <f>_xlfn.XLOOKUP(tblMeasure[[#This Row],[id_src]],tblSource[id_src],tblSource[quality_issues])</f>
        <v>https://files.digital.nhs.uk/19/C45DF7/meas-from-asc-of-eng-1819-Appendices.pdf</v>
      </c>
      <c r="AJ109" s="25">
        <f>VLOOKUP(tblMeasure[[#This Row],[msr_population_or_survey]],strlu_msr_population_or_survey,2,FALSE)</f>
        <v>1</v>
      </c>
      <c r="AK109" s="25">
        <f>VLOOKUP(tblMeasure[[#This Row],[msr_min_geo_resolution]],strlu_msr_min_geo_resolution,2,FALSE)</f>
        <v>1</v>
      </c>
      <c r="AL109" s="25">
        <f>(MAX(tblMeasure[[#This Row],[src_year_last_published]]-2010+1,0)+MIN(2010-tblMeasure[[#This Row],[src_year_first_published]],0)-MAX(tblMeasure[[#This Row],[src_year_last_published]]-2019,0))/10</f>
        <v>0.4</v>
      </c>
      <c r="AM109" s="25">
        <f>IF(OR(tblMeasure[[#This Row],[src_discontinuity]]="None",tblMeasure[[#This Row],[src_discontinuity]]=0),1,0)</f>
        <v>0</v>
      </c>
      <c r="AN109" s="25">
        <f>VLOOKUP(tblMeasure[[#This Row],[src_pub_frequency]],strlu_src_pub_frequency,2,FALSE)</f>
        <v>0.8</v>
      </c>
      <c r="AO109" s="25">
        <f>VLOOKUP(tblMeasure[[#This Row],[src_pub_lag_months]],strlu_src_pub_lag_months,2,FALSE)</f>
        <v>0</v>
      </c>
      <c r="AP109" s="25">
        <f>VLOOKUP(tblMeasure[[#This Row],[src_statistic_class]],strlu_src_statistic_class,2,FALSE)</f>
        <v>0</v>
      </c>
      <c r="AQ109" s="25">
        <f>IF(tblMeasure[[#This Row],[src_methodology_url]]="TBD",0,1)</f>
        <v>0</v>
      </c>
      <c r="AR109" s="25">
        <f>IF(tblMeasure[[#This Row],[src_quality_url]]="TBD",0,1)</f>
        <v>1</v>
      </c>
      <c r="AS109" s="85" cm="1">
        <f t="array" ref="AS109">SUMPRODUCT(TRANSPOSE(tblMeasure[[#This Row],[str_msr_population_or_survey]:[str_src_quality_url]]),str_weights)/str_weights_total</f>
        <v>0.53076923076923077</v>
      </c>
    </row>
    <row r="110" spans="1:45" x14ac:dyDescent="0.15">
      <c r="A110" s="30">
        <v>108</v>
      </c>
      <c r="B110" s="15">
        <f>COUNTIF(requirement_measure_map!$D$3:$D$1514,measure!A110)</f>
        <v>9</v>
      </c>
      <c r="C110" s="30" t="s">
        <v>520</v>
      </c>
      <c r="D110" s="15" t="s">
        <v>536</v>
      </c>
      <c r="E110" s="15" t="s">
        <v>549</v>
      </c>
      <c r="F110" s="15" t="s">
        <v>550</v>
      </c>
      <c r="G110" s="29" t="s">
        <v>524</v>
      </c>
      <c r="H110" s="15"/>
      <c r="I110" s="15" t="s">
        <v>214</v>
      </c>
      <c r="J110" s="15" t="s">
        <v>215</v>
      </c>
      <c r="K110" s="15" t="s">
        <v>551</v>
      </c>
      <c r="L110" s="15" t="s">
        <v>217</v>
      </c>
      <c r="M110" s="15" t="s">
        <v>219</v>
      </c>
      <c r="N110" s="15" t="s">
        <v>219</v>
      </c>
      <c r="O110" s="15" t="s">
        <v>219</v>
      </c>
      <c r="P110" s="15" t="s">
        <v>252</v>
      </c>
      <c r="Q110" s="15" t="s">
        <v>218</v>
      </c>
      <c r="R110" s="15" t="s">
        <v>219</v>
      </c>
      <c r="S110" s="15" t="s">
        <v>220</v>
      </c>
      <c r="T110" s="15" t="s">
        <v>220</v>
      </c>
      <c r="U110" s="15" t="s">
        <v>219</v>
      </c>
      <c r="V110" s="15" t="s">
        <v>219</v>
      </c>
      <c r="W110" s="15">
        <v>3</v>
      </c>
      <c r="X110" s="15" t="str">
        <f>_xlfn.XLOOKUP(tblMeasure[[#This Row],[id_src]],tblSource[id_src],tblSource[org])</f>
        <v>NHS Digital</v>
      </c>
      <c r="Y110" s="15" t="str">
        <f>_xlfn.XLOOKUP(tblMeasure[[#This Row],[id_src]],tblSource[id_src],tblSource[source])</f>
        <v>SALT</v>
      </c>
      <c r="Z110" s="15" t="str">
        <f>_xlfn.XLOOKUP(tblMeasure[[#This Row],[id_src]],tblSource[id_src],tblSource[url_source])</f>
        <v>https://digital.nhs.uk/data-and-information/data-collections-and-data-sets/data-collections/social-care-collections#short-and-long-term-support-salt-</v>
      </c>
      <c r="AA110" s="15">
        <f>_xlfn.XLOOKUP(tblMeasure[[#This Row],[id_src]],tblSource[id_src],tblSource[year_first_published])</f>
        <v>2016</v>
      </c>
      <c r="AB110" s="15">
        <f>_xlfn.XLOOKUP(tblMeasure[[#This Row],[id_src]],tblSource[id_src],tblSource[year_last_published])</f>
        <v>2019</v>
      </c>
      <c r="AC110" s="15" t="str">
        <f>_xlfn.XLOOKUP(tblMeasure[[#This Row],[id_src]],tblSource[id_src],tblSource[discontinuity])</f>
        <v>2014 (RAP, ASC-CAR), 2016 (PSS-EX1)</v>
      </c>
      <c r="AD110" s="15" t="str">
        <f>_xlfn.XLOOKUP(tblMeasure[[#This Row],[id_src]],tblSource[id_src],tblSource[publication_frequency])</f>
        <v>Annual</v>
      </c>
      <c r="AE110" s="15" t="str">
        <f>_xlfn.XLOOKUP(tblMeasure[[#This Row],[id_src]],tblSource[id_src],tblSource[publication_lag_months])</f>
        <v>TBD</v>
      </c>
      <c r="AF110" s="25" t="str">
        <f>_xlfn.XLOOKUP(tblMeasure[[#This Row],[id_src]],tblSource[id_src],tblSource[data_providers])</f>
        <v>LA</v>
      </c>
      <c r="AG110" s="25" t="str">
        <f>_xlfn.XLOOKUP(tblMeasure[[#This Row],[id_src]],tblSource[id_src],tblSource[statistic_class])</f>
        <v>TBD</v>
      </c>
      <c r="AH110" s="25" t="str">
        <f>_xlfn.XLOOKUP(tblMeasure[[#This Row],[id_src]],tblSource[id_src],tblSource[methodology_link])</f>
        <v>TBD</v>
      </c>
      <c r="AI110" s="25" t="str">
        <f>_xlfn.XLOOKUP(tblMeasure[[#This Row],[id_src]],tblSource[id_src],tblSource[quality_issues])</f>
        <v>https://files.digital.nhs.uk/19/C45DF7/meas-from-asc-of-eng-1819-Appendices.pdf</v>
      </c>
      <c r="AJ110" s="25">
        <f>VLOOKUP(tblMeasure[[#This Row],[msr_population_or_survey]],strlu_msr_population_or_survey,2,FALSE)</f>
        <v>1</v>
      </c>
      <c r="AK110" s="25">
        <f>VLOOKUP(tblMeasure[[#This Row],[msr_min_geo_resolution]],strlu_msr_min_geo_resolution,2,FALSE)</f>
        <v>1</v>
      </c>
      <c r="AL110" s="25">
        <f>(MAX(tblMeasure[[#This Row],[src_year_last_published]]-2010+1,0)+MIN(2010-tblMeasure[[#This Row],[src_year_first_published]],0)-MAX(tblMeasure[[#This Row],[src_year_last_published]]-2019,0))/10</f>
        <v>0.4</v>
      </c>
      <c r="AM110" s="25">
        <f>IF(OR(tblMeasure[[#This Row],[src_discontinuity]]="None",tblMeasure[[#This Row],[src_discontinuity]]=0),1,0)</f>
        <v>0</v>
      </c>
      <c r="AN110" s="25">
        <f>VLOOKUP(tblMeasure[[#This Row],[src_pub_frequency]],strlu_src_pub_frequency,2,FALSE)</f>
        <v>0.8</v>
      </c>
      <c r="AO110" s="25">
        <f>VLOOKUP(tblMeasure[[#This Row],[src_pub_lag_months]],strlu_src_pub_lag_months,2,FALSE)</f>
        <v>0</v>
      </c>
      <c r="AP110" s="25">
        <f>VLOOKUP(tblMeasure[[#This Row],[src_statistic_class]],strlu_src_statistic_class,2,FALSE)</f>
        <v>0</v>
      </c>
      <c r="AQ110" s="25">
        <f>IF(tblMeasure[[#This Row],[src_methodology_url]]="TBD",0,1)</f>
        <v>0</v>
      </c>
      <c r="AR110" s="25">
        <f>IF(tblMeasure[[#This Row],[src_quality_url]]="TBD",0,1)</f>
        <v>1</v>
      </c>
      <c r="AS110" s="85" cm="1">
        <f t="array" ref="AS110">SUMPRODUCT(TRANSPOSE(tblMeasure[[#This Row],[str_msr_population_or_survey]:[str_src_quality_url]]),str_weights)/str_weights_total</f>
        <v>0.53076923076923077</v>
      </c>
    </row>
    <row r="111" spans="1:45" x14ac:dyDescent="0.15">
      <c r="A111" s="30">
        <v>109</v>
      </c>
      <c r="B111" s="15">
        <f>COUNTIF(requirement_measure_map!$D$3:$D$1514,measure!A111)</f>
        <v>6</v>
      </c>
      <c r="C111" s="30" t="s">
        <v>520</v>
      </c>
      <c r="D111" s="15" t="s">
        <v>536</v>
      </c>
      <c r="E111" s="15" t="s">
        <v>552</v>
      </c>
      <c r="F111" s="15" t="s">
        <v>553</v>
      </c>
      <c r="G111" s="29" t="s">
        <v>524</v>
      </c>
      <c r="H111" s="15"/>
      <c r="I111" s="15" t="s">
        <v>214</v>
      </c>
      <c r="J111" s="15" t="s">
        <v>215</v>
      </c>
      <c r="K111" s="15" t="s">
        <v>554</v>
      </c>
      <c r="L111" s="15" t="s">
        <v>217</v>
      </c>
      <c r="M111" s="15" t="s">
        <v>219</v>
      </c>
      <c r="N111" s="15" t="s">
        <v>220</v>
      </c>
      <c r="O111" s="15" t="s">
        <v>219</v>
      </c>
      <c r="P111" s="15" t="s">
        <v>220</v>
      </c>
      <c r="Q111" s="15" t="s">
        <v>219</v>
      </c>
      <c r="R111" s="15" t="s">
        <v>219</v>
      </c>
      <c r="S111" s="15" t="s">
        <v>219</v>
      </c>
      <c r="T111" s="15" t="s">
        <v>220</v>
      </c>
      <c r="U111" s="15" t="s">
        <v>240</v>
      </c>
      <c r="V111" s="15" t="s">
        <v>219</v>
      </c>
      <c r="W111" s="15">
        <v>3</v>
      </c>
      <c r="X111" s="15" t="str">
        <f>_xlfn.XLOOKUP(tblMeasure[[#This Row],[id_src]],tblSource[id_src],tblSource[org])</f>
        <v>NHS Digital</v>
      </c>
      <c r="Y111" s="15" t="str">
        <f>_xlfn.XLOOKUP(tblMeasure[[#This Row],[id_src]],tblSource[id_src],tblSource[source])</f>
        <v>SALT</v>
      </c>
      <c r="Z111" s="15" t="str">
        <f>_xlfn.XLOOKUP(tblMeasure[[#This Row],[id_src]],tblSource[id_src],tblSource[url_source])</f>
        <v>https://digital.nhs.uk/data-and-information/data-collections-and-data-sets/data-collections/social-care-collections#short-and-long-term-support-salt-</v>
      </c>
      <c r="AA111" s="15">
        <f>_xlfn.XLOOKUP(tblMeasure[[#This Row],[id_src]],tblSource[id_src],tblSource[year_first_published])</f>
        <v>2016</v>
      </c>
      <c r="AB111" s="15">
        <f>_xlfn.XLOOKUP(tblMeasure[[#This Row],[id_src]],tblSource[id_src],tblSource[year_last_published])</f>
        <v>2019</v>
      </c>
      <c r="AC111" s="15" t="str">
        <f>_xlfn.XLOOKUP(tblMeasure[[#This Row],[id_src]],tblSource[id_src],tblSource[discontinuity])</f>
        <v>2014 (RAP, ASC-CAR), 2016 (PSS-EX1)</v>
      </c>
      <c r="AD111" s="15" t="str">
        <f>_xlfn.XLOOKUP(tblMeasure[[#This Row],[id_src]],tblSource[id_src],tblSource[publication_frequency])</f>
        <v>Annual</v>
      </c>
      <c r="AE111" s="15" t="str">
        <f>_xlfn.XLOOKUP(tblMeasure[[#This Row],[id_src]],tblSource[id_src],tblSource[publication_lag_months])</f>
        <v>TBD</v>
      </c>
      <c r="AF111" s="25" t="str">
        <f>_xlfn.XLOOKUP(tblMeasure[[#This Row],[id_src]],tblSource[id_src],tblSource[data_providers])</f>
        <v>LA</v>
      </c>
      <c r="AG111" s="25" t="str">
        <f>_xlfn.XLOOKUP(tblMeasure[[#This Row],[id_src]],tblSource[id_src],tblSource[statistic_class])</f>
        <v>TBD</v>
      </c>
      <c r="AH111" s="25" t="str">
        <f>_xlfn.XLOOKUP(tblMeasure[[#This Row],[id_src]],tblSource[id_src],tblSource[methodology_link])</f>
        <v>TBD</v>
      </c>
      <c r="AI111" s="25" t="str">
        <f>_xlfn.XLOOKUP(tblMeasure[[#This Row],[id_src]],tblSource[id_src],tblSource[quality_issues])</f>
        <v>https://files.digital.nhs.uk/19/C45DF7/meas-from-asc-of-eng-1819-Appendices.pdf</v>
      </c>
      <c r="AJ111" s="25">
        <f>VLOOKUP(tblMeasure[[#This Row],[msr_population_or_survey]],strlu_msr_population_or_survey,2,FALSE)</f>
        <v>1</v>
      </c>
      <c r="AK111" s="25">
        <f>VLOOKUP(tblMeasure[[#This Row],[msr_min_geo_resolution]],strlu_msr_min_geo_resolution,2,FALSE)</f>
        <v>1</v>
      </c>
      <c r="AL111" s="25">
        <f>(MAX(tblMeasure[[#This Row],[src_year_last_published]]-2010+1,0)+MIN(2010-tblMeasure[[#This Row],[src_year_first_published]],0)-MAX(tblMeasure[[#This Row],[src_year_last_published]]-2019,0))/10</f>
        <v>0.4</v>
      </c>
      <c r="AM111" s="25">
        <f>IF(OR(tblMeasure[[#This Row],[src_discontinuity]]="None",tblMeasure[[#This Row],[src_discontinuity]]=0),1,0)</f>
        <v>0</v>
      </c>
      <c r="AN111" s="25">
        <f>VLOOKUP(tblMeasure[[#This Row],[src_pub_frequency]],strlu_src_pub_frequency,2,FALSE)</f>
        <v>0.8</v>
      </c>
      <c r="AO111" s="25">
        <f>VLOOKUP(tblMeasure[[#This Row],[src_pub_lag_months]],strlu_src_pub_lag_months,2,FALSE)</f>
        <v>0</v>
      </c>
      <c r="AP111" s="25">
        <f>VLOOKUP(tblMeasure[[#This Row],[src_statistic_class]],strlu_src_statistic_class,2,FALSE)</f>
        <v>0</v>
      </c>
      <c r="AQ111" s="25">
        <f>IF(tblMeasure[[#This Row],[src_methodology_url]]="TBD",0,1)</f>
        <v>0</v>
      </c>
      <c r="AR111" s="25">
        <f>IF(tblMeasure[[#This Row],[src_quality_url]]="TBD",0,1)</f>
        <v>1</v>
      </c>
      <c r="AS111" s="85" cm="1">
        <f t="array" ref="AS111">SUMPRODUCT(TRANSPOSE(tblMeasure[[#This Row],[str_msr_population_or_survey]:[str_src_quality_url]]),str_weights)/str_weights_total</f>
        <v>0.53076923076923077</v>
      </c>
    </row>
    <row r="112" spans="1:45" x14ac:dyDescent="0.15">
      <c r="A112" s="30">
        <v>110</v>
      </c>
      <c r="B112" s="15">
        <f>COUNTIF(requirement_measure_map!$D$3:$D$1514,measure!A112)</f>
        <v>12</v>
      </c>
      <c r="C112" s="30" t="s">
        <v>520</v>
      </c>
      <c r="D112" s="15" t="s">
        <v>536</v>
      </c>
      <c r="E112" s="15" t="s">
        <v>555</v>
      </c>
      <c r="F112" s="15" t="s">
        <v>556</v>
      </c>
      <c r="G112" s="29" t="s">
        <v>557</v>
      </c>
      <c r="H112" s="15"/>
      <c r="I112" s="15" t="s">
        <v>214</v>
      </c>
      <c r="J112" s="15" t="s">
        <v>215</v>
      </c>
      <c r="K112" s="15" t="s">
        <v>558</v>
      </c>
      <c r="L112" s="15" t="s">
        <v>217</v>
      </c>
      <c r="M112" s="15" t="s">
        <v>218</v>
      </c>
      <c r="N112" s="15" t="s">
        <v>219</v>
      </c>
      <c r="O112" s="15" t="s">
        <v>219</v>
      </c>
      <c r="P112" s="15" t="s">
        <v>243</v>
      </c>
      <c r="Q112" s="15" t="s">
        <v>243</v>
      </c>
      <c r="R112" s="15" t="s">
        <v>267</v>
      </c>
      <c r="S112" s="15" t="s">
        <v>219</v>
      </c>
      <c r="T112" s="15" t="s">
        <v>220</v>
      </c>
      <c r="U112" s="15" t="s">
        <v>349</v>
      </c>
      <c r="V112" s="15" t="s">
        <v>219</v>
      </c>
      <c r="W112" s="15">
        <v>4</v>
      </c>
      <c r="X112" s="15" t="str">
        <f>_xlfn.XLOOKUP(tblMeasure[[#This Row],[id_src]],tblSource[id_src],tblSource[org])</f>
        <v>NHS Digital</v>
      </c>
      <c r="Y112" s="15" t="str">
        <f>_xlfn.XLOOKUP(tblMeasure[[#This Row],[id_src]],tblSource[id_src],tblSource[source])</f>
        <v>ASC-FR</v>
      </c>
      <c r="Z112" s="15" t="str">
        <f>_xlfn.XLOOKUP(tblMeasure[[#This Row],[id_src]],tblSource[id_src],tblSource[url_source])</f>
        <v>https://digital.nhs.uk/data-and-information/data-collections-and-data-sets/data-collections/social-care-collection-materials-2019#adult-social-care-finance-return-asc-fr-</v>
      </c>
      <c r="AA112" s="15">
        <f>_xlfn.XLOOKUP(tblMeasure[[#This Row],[id_src]],tblSource[id_src],tblSource[year_first_published])</f>
        <v>2015</v>
      </c>
      <c r="AB112" s="15">
        <f>_xlfn.XLOOKUP(tblMeasure[[#This Row],[id_src]],tblSource[id_src],tblSource[year_last_published])</f>
        <v>2019</v>
      </c>
      <c r="AC112" s="15">
        <f>_xlfn.XLOOKUP(tblMeasure[[#This Row],[id_src]],tblSource[id_src],tblSource[discontinuity])</f>
        <v>0</v>
      </c>
      <c r="AD112" s="15" t="str">
        <f>_xlfn.XLOOKUP(tblMeasure[[#This Row],[id_src]],tblSource[id_src],tblSource[publication_frequency])</f>
        <v>Annual</v>
      </c>
      <c r="AE112" s="15" t="str">
        <f>_xlfn.XLOOKUP(tblMeasure[[#This Row],[id_src]],tblSource[id_src],tblSource[publication_lag_months])</f>
        <v>TBD</v>
      </c>
      <c r="AF112" s="25" t="str">
        <f>_xlfn.XLOOKUP(tblMeasure[[#This Row],[id_src]],tblSource[id_src],tblSource[data_providers])</f>
        <v>LA</v>
      </c>
      <c r="AG112" s="25" t="str">
        <f>_xlfn.XLOOKUP(tblMeasure[[#This Row],[id_src]],tblSource[id_src],tblSource[statistic_class])</f>
        <v>TBD</v>
      </c>
      <c r="AH112" s="25" t="str">
        <f>_xlfn.XLOOKUP(tblMeasure[[#This Row],[id_src]],tblSource[id_src],tblSource[methodology_link])</f>
        <v>http://www.cipfastats.net/sercop/</v>
      </c>
      <c r="AI112" s="25" t="str">
        <f>_xlfn.XLOOKUP(tblMeasure[[#This Row],[id_src]],tblSource[id_src],tblSource[quality_issues])</f>
        <v>https://digital.nhs.uk/binaries/content/assets/website-assets/data-and-information/data-collections/social-care-collections-2019/asc-fr-guidance-2018-19-v1.2-final.pdf</v>
      </c>
      <c r="AJ112" s="25">
        <f>VLOOKUP(tblMeasure[[#This Row],[msr_population_or_survey]],strlu_msr_population_or_survey,2,FALSE)</f>
        <v>1</v>
      </c>
      <c r="AK112" s="25">
        <f>VLOOKUP(tblMeasure[[#This Row],[msr_min_geo_resolution]],strlu_msr_min_geo_resolution,2,FALSE)</f>
        <v>1</v>
      </c>
      <c r="AL112" s="25">
        <f>(MAX(tblMeasure[[#This Row],[src_year_last_published]]-2010+1,0)+MIN(2010-tblMeasure[[#This Row],[src_year_first_published]],0)-MAX(tblMeasure[[#This Row],[src_year_last_published]]-2019,0))/10</f>
        <v>0.5</v>
      </c>
      <c r="AM112" s="25">
        <f>IF(OR(tblMeasure[[#This Row],[src_discontinuity]]="None",tblMeasure[[#This Row],[src_discontinuity]]=0),1,0)</f>
        <v>1</v>
      </c>
      <c r="AN112" s="25">
        <f>VLOOKUP(tblMeasure[[#This Row],[src_pub_frequency]],strlu_src_pub_frequency,2,FALSE)</f>
        <v>0.8</v>
      </c>
      <c r="AO112" s="25">
        <f>VLOOKUP(tblMeasure[[#This Row],[src_pub_lag_months]],strlu_src_pub_lag_months,2,FALSE)</f>
        <v>0</v>
      </c>
      <c r="AP112" s="25">
        <f>VLOOKUP(tblMeasure[[#This Row],[src_statistic_class]],strlu_src_statistic_class,2,FALSE)</f>
        <v>0</v>
      </c>
      <c r="AQ112" s="25">
        <f>IF(tblMeasure[[#This Row],[src_methodology_url]]="TBD",0,1)</f>
        <v>1</v>
      </c>
      <c r="AR112" s="25">
        <f>IF(tblMeasure[[#This Row],[src_quality_url]]="TBD",0,1)</f>
        <v>1</v>
      </c>
      <c r="AS112" s="85" cm="1">
        <f t="array" ref="AS112">SUMPRODUCT(TRANSPOSE(tblMeasure[[#This Row],[str_msr_population_or_survey]:[str_src_quality_url]]),str_weights)/str_weights_total</f>
        <v>0.66153846153846152</v>
      </c>
    </row>
    <row r="113" spans="1:45" x14ac:dyDescent="0.15">
      <c r="A113" s="30">
        <v>111</v>
      </c>
      <c r="B113" s="15">
        <f>COUNTIF(requirement_measure_map!$D$3:$D$1514,measure!A113)</f>
        <v>8</v>
      </c>
      <c r="C113" s="30" t="s">
        <v>520</v>
      </c>
      <c r="D113" s="15" t="s">
        <v>521</v>
      </c>
      <c r="E113" s="15" t="s">
        <v>559</v>
      </c>
      <c r="F113" s="15" t="s">
        <v>560</v>
      </c>
      <c r="G113" s="29" t="s">
        <v>557</v>
      </c>
      <c r="H113" s="15"/>
      <c r="I113" s="15" t="s">
        <v>214</v>
      </c>
      <c r="J113" s="15" t="s">
        <v>215</v>
      </c>
      <c r="K113" s="15" t="s">
        <v>558</v>
      </c>
      <c r="L113" s="15" t="s">
        <v>217</v>
      </c>
      <c r="M113" s="15" t="s">
        <v>218</v>
      </c>
      <c r="N113" s="15" t="s">
        <v>219</v>
      </c>
      <c r="O113" s="15" t="s">
        <v>219</v>
      </c>
      <c r="P113" s="15" t="s">
        <v>243</v>
      </c>
      <c r="Q113" s="15" t="s">
        <v>243</v>
      </c>
      <c r="R113" s="15" t="s">
        <v>267</v>
      </c>
      <c r="S113" s="15" t="s">
        <v>219</v>
      </c>
      <c r="T113" s="15" t="s">
        <v>220</v>
      </c>
      <c r="U113" s="15" t="s">
        <v>219</v>
      </c>
      <c r="V113" s="15" t="s">
        <v>219</v>
      </c>
      <c r="W113" s="15">
        <v>4</v>
      </c>
      <c r="X113" s="15" t="str">
        <f>_xlfn.XLOOKUP(tblMeasure[[#This Row],[id_src]],tblSource[id_src],tblSource[org])</f>
        <v>NHS Digital</v>
      </c>
      <c r="Y113" s="15" t="str">
        <f>_xlfn.XLOOKUP(tblMeasure[[#This Row],[id_src]],tblSource[id_src],tblSource[source])</f>
        <v>ASC-FR</v>
      </c>
      <c r="Z113" s="15" t="str">
        <f>_xlfn.XLOOKUP(tblMeasure[[#This Row],[id_src]],tblSource[id_src],tblSource[url_source])</f>
        <v>https://digital.nhs.uk/data-and-information/data-collections-and-data-sets/data-collections/social-care-collection-materials-2019#adult-social-care-finance-return-asc-fr-</v>
      </c>
      <c r="AA113" s="15">
        <f>_xlfn.XLOOKUP(tblMeasure[[#This Row],[id_src]],tblSource[id_src],tblSource[year_first_published])</f>
        <v>2015</v>
      </c>
      <c r="AB113" s="15">
        <f>_xlfn.XLOOKUP(tblMeasure[[#This Row],[id_src]],tblSource[id_src],tblSource[year_last_published])</f>
        <v>2019</v>
      </c>
      <c r="AC113" s="15">
        <f>_xlfn.XLOOKUP(tblMeasure[[#This Row],[id_src]],tblSource[id_src],tblSource[discontinuity])</f>
        <v>0</v>
      </c>
      <c r="AD113" s="15" t="str">
        <f>_xlfn.XLOOKUP(tblMeasure[[#This Row],[id_src]],tblSource[id_src],tblSource[publication_frequency])</f>
        <v>Annual</v>
      </c>
      <c r="AE113" s="15" t="str">
        <f>_xlfn.XLOOKUP(tblMeasure[[#This Row],[id_src]],tblSource[id_src],tblSource[publication_lag_months])</f>
        <v>TBD</v>
      </c>
      <c r="AF113" s="25" t="str">
        <f>_xlfn.XLOOKUP(tblMeasure[[#This Row],[id_src]],tblSource[id_src],tblSource[data_providers])</f>
        <v>LA</v>
      </c>
      <c r="AG113" s="25" t="str">
        <f>_xlfn.XLOOKUP(tblMeasure[[#This Row],[id_src]],tblSource[id_src],tblSource[statistic_class])</f>
        <v>TBD</v>
      </c>
      <c r="AH113" s="25" t="str">
        <f>_xlfn.XLOOKUP(tblMeasure[[#This Row],[id_src]],tblSource[id_src],tblSource[methodology_link])</f>
        <v>http://www.cipfastats.net/sercop/</v>
      </c>
      <c r="AI113" s="25" t="str">
        <f>_xlfn.XLOOKUP(tblMeasure[[#This Row],[id_src]],tblSource[id_src],tblSource[quality_issues])</f>
        <v>https://digital.nhs.uk/binaries/content/assets/website-assets/data-and-information/data-collections/social-care-collections-2019/asc-fr-guidance-2018-19-v1.2-final.pdf</v>
      </c>
      <c r="AJ113" s="25">
        <f>VLOOKUP(tblMeasure[[#This Row],[msr_population_or_survey]],strlu_msr_population_or_survey,2,FALSE)</f>
        <v>1</v>
      </c>
      <c r="AK113" s="25">
        <f>VLOOKUP(tblMeasure[[#This Row],[msr_min_geo_resolution]],strlu_msr_min_geo_resolution,2,FALSE)</f>
        <v>1</v>
      </c>
      <c r="AL113" s="25">
        <f>(MAX(tblMeasure[[#This Row],[src_year_last_published]]-2010+1,0)+MIN(2010-tblMeasure[[#This Row],[src_year_first_published]],0)-MAX(tblMeasure[[#This Row],[src_year_last_published]]-2019,0))/10</f>
        <v>0.5</v>
      </c>
      <c r="AM113" s="25">
        <f>IF(OR(tblMeasure[[#This Row],[src_discontinuity]]="None",tblMeasure[[#This Row],[src_discontinuity]]=0),1,0)</f>
        <v>1</v>
      </c>
      <c r="AN113" s="25">
        <f>VLOOKUP(tblMeasure[[#This Row],[src_pub_frequency]],strlu_src_pub_frequency,2,FALSE)</f>
        <v>0.8</v>
      </c>
      <c r="AO113" s="25">
        <f>VLOOKUP(tblMeasure[[#This Row],[src_pub_lag_months]],strlu_src_pub_lag_months,2,FALSE)</f>
        <v>0</v>
      </c>
      <c r="AP113" s="25">
        <f>VLOOKUP(tblMeasure[[#This Row],[src_statistic_class]],strlu_src_statistic_class,2,FALSE)</f>
        <v>0</v>
      </c>
      <c r="AQ113" s="25">
        <f>IF(tblMeasure[[#This Row],[src_methodology_url]]="TBD",0,1)</f>
        <v>1</v>
      </c>
      <c r="AR113" s="25">
        <f>IF(tblMeasure[[#This Row],[src_quality_url]]="TBD",0,1)</f>
        <v>1</v>
      </c>
      <c r="AS113" s="85" cm="1">
        <f t="array" ref="AS113">SUMPRODUCT(TRANSPOSE(tblMeasure[[#This Row],[str_msr_population_or_survey]:[str_src_quality_url]]),str_weights)/str_weights_total</f>
        <v>0.66153846153846152</v>
      </c>
    </row>
    <row r="114" spans="1:45" hidden="1" x14ac:dyDescent="0.15">
      <c r="A114" s="30">
        <v>112</v>
      </c>
      <c r="B114" s="15">
        <f>COUNTIF(requirement_measure_map!$D$3:$D$1514,measure!A114)</f>
        <v>6</v>
      </c>
      <c r="C114" s="30" t="s">
        <v>520</v>
      </c>
      <c r="D114" s="15" t="s">
        <v>561</v>
      </c>
      <c r="E114" s="15" t="s">
        <v>562</v>
      </c>
      <c r="F114" s="15" t="s">
        <v>563</v>
      </c>
      <c r="G114" s="29" t="s">
        <v>557</v>
      </c>
      <c r="H114" s="15"/>
      <c r="I114" s="15" t="s">
        <v>214</v>
      </c>
      <c r="J114" s="15" t="s">
        <v>215</v>
      </c>
      <c r="K114" s="15" t="s">
        <v>558</v>
      </c>
      <c r="L114" s="15" t="s">
        <v>217</v>
      </c>
      <c r="M114" s="15" t="s">
        <v>219</v>
      </c>
      <c r="N114" s="15" t="s">
        <v>219</v>
      </c>
      <c r="O114" s="15" t="s">
        <v>219</v>
      </c>
      <c r="P114" s="15" t="s">
        <v>240</v>
      </c>
      <c r="Q114" s="15" t="s">
        <v>243</v>
      </c>
      <c r="R114" s="15" t="s">
        <v>267</v>
      </c>
      <c r="S114" s="15" t="s">
        <v>219</v>
      </c>
      <c r="T114" s="15" t="s">
        <v>220</v>
      </c>
      <c r="U114" s="15" t="s">
        <v>219</v>
      </c>
      <c r="V114" s="15" t="s">
        <v>219</v>
      </c>
      <c r="W114" s="15">
        <v>4</v>
      </c>
      <c r="X114" s="15" t="str">
        <f>_xlfn.XLOOKUP(tblMeasure[[#This Row],[id_src]],tblSource[id_src],tblSource[org])</f>
        <v>NHS Digital</v>
      </c>
      <c r="Y114" s="15" t="str">
        <f>_xlfn.XLOOKUP(tblMeasure[[#This Row],[id_src]],tblSource[id_src],tblSource[source])</f>
        <v>ASC-FR</v>
      </c>
      <c r="Z114" s="15" t="str">
        <f>_xlfn.XLOOKUP(tblMeasure[[#This Row],[id_src]],tblSource[id_src],tblSource[url_source])</f>
        <v>https://digital.nhs.uk/data-and-information/data-collections-and-data-sets/data-collections/social-care-collection-materials-2019#adult-social-care-finance-return-asc-fr-</v>
      </c>
      <c r="AA114" s="15">
        <f>_xlfn.XLOOKUP(tblMeasure[[#This Row],[id_src]],tblSource[id_src],tblSource[year_first_published])</f>
        <v>2015</v>
      </c>
      <c r="AB114" s="15">
        <f>_xlfn.XLOOKUP(tblMeasure[[#This Row],[id_src]],tblSource[id_src],tblSource[year_last_published])</f>
        <v>2019</v>
      </c>
      <c r="AC114" s="15">
        <f>_xlfn.XLOOKUP(tblMeasure[[#This Row],[id_src]],tblSource[id_src],tblSource[discontinuity])</f>
        <v>0</v>
      </c>
      <c r="AD114" s="15" t="str">
        <f>_xlfn.XLOOKUP(tblMeasure[[#This Row],[id_src]],tblSource[id_src],tblSource[publication_frequency])</f>
        <v>Annual</v>
      </c>
      <c r="AE114" s="15" t="str">
        <f>_xlfn.XLOOKUP(tblMeasure[[#This Row],[id_src]],tblSource[id_src],tblSource[publication_lag_months])</f>
        <v>TBD</v>
      </c>
      <c r="AF114" s="25" t="str">
        <f>_xlfn.XLOOKUP(tblMeasure[[#This Row],[id_src]],tblSource[id_src],tblSource[data_providers])</f>
        <v>LA</v>
      </c>
      <c r="AG114" s="25" t="str">
        <f>_xlfn.XLOOKUP(tblMeasure[[#This Row],[id_src]],tblSource[id_src],tblSource[statistic_class])</f>
        <v>TBD</v>
      </c>
      <c r="AH114" s="25" t="str">
        <f>_xlfn.XLOOKUP(tblMeasure[[#This Row],[id_src]],tblSource[id_src],tblSource[methodology_link])</f>
        <v>http://www.cipfastats.net/sercop/</v>
      </c>
      <c r="AI114" s="25" t="str">
        <f>_xlfn.XLOOKUP(tblMeasure[[#This Row],[id_src]],tblSource[id_src],tblSource[quality_issues])</f>
        <v>https://digital.nhs.uk/binaries/content/assets/website-assets/data-and-information/data-collections/social-care-collections-2019/asc-fr-guidance-2018-19-v1.2-final.pdf</v>
      </c>
      <c r="AJ114" s="25">
        <f>VLOOKUP(tblMeasure[[#This Row],[msr_population_or_survey]],strlu_msr_population_or_survey,2,FALSE)</f>
        <v>1</v>
      </c>
      <c r="AK114" s="25">
        <f>VLOOKUP(tblMeasure[[#This Row],[msr_min_geo_resolution]],strlu_msr_min_geo_resolution,2,FALSE)</f>
        <v>1</v>
      </c>
      <c r="AL114" s="25">
        <f>(MAX(tblMeasure[[#This Row],[src_year_last_published]]-2010+1,0)+MIN(2010-tblMeasure[[#This Row],[src_year_first_published]],0)-MAX(tblMeasure[[#This Row],[src_year_last_published]]-2019,0))/10</f>
        <v>0.5</v>
      </c>
      <c r="AM114" s="25">
        <f>IF(OR(tblMeasure[[#This Row],[src_discontinuity]]="None",tblMeasure[[#This Row],[src_discontinuity]]=0),1,0)</f>
        <v>1</v>
      </c>
      <c r="AN114" s="25">
        <f>VLOOKUP(tblMeasure[[#This Row],[src_pub_frequency]],strlu_src_pub_frequency,2,FALSE)</f>
        <v>0.8</v>
      </c>
      <c r="AO114" s="25">
        <f>VLOOKUP(tblMeasure[[#This Row],[src_pub_lag_months]],strlu_src_pub_lag_months,2,FALSE)</f>
        <v>0</v>
      </c>
      <c r="AP114" s="25">
        <f>VLOOKUP(tblMeasure[[#This Row],[src_statistic_class]],strlu_src_statistic_class,2,FALSE)</f>
        <v>0</v>
      </c>
      <c r="AQ114" s="25">
        <f>IF(tblMeasure[[#This Row],[src_methodology_url]]="TBD",0,1)</f>
        <v>1</v>
      </c>
      <c r="AR114" s="25">
        <f>IF(tblMeasure[[#This Row],[src_quality_url]]="TBD",0,1)</f>
        <v>1</v>
      </c>
      <c r="AS114" s="85" cm="1">
        <f t="array" ref="AS114">SUMPRODUCT(TRANSPOSE(tblMeasure[[#This Row],[str_msr_population_or_survey]:[str_src_quality_url]]),str_weights)/str_weights_total</f>
        <v>0.66153846153846152</v>
      </c>
    </row>
    <row r="115" spans="1:45" hidden="1" x14ac:dyDescent="0.15">
      <c r="A115" s="30">
        <v>113</v>
      </c>
      <c r="B115" s="15">
        <f>COUNTIF(requirement_measure_map!$D$3:$D$1514,measure!A115)</f>
        <v>6</v>
      </c>
      <c r="C115" s="30" t="s">
        <v>520</v>
      </c>
      <c r="D115" s="15" t="s">
        <v>561</v>
      </c>
      <c r="E115" s="15" t="s">
        <v>564</v>
      </c>
      <c r="F115" s="15" t="s">
        <v>565</v>
      </c>
      <c r="G115" s="29" t="s">
        <v>557</v>
      </c>
      <c r="H115" s="15"/>
      <c r="I115" s="15" t="s">
        <v>214</v>
      </c>
      <c r="J115" s="15" t="s">
        <v>215</v>
      </c>
      <c r="K115" s="15" t="s">
        <v>558</v>
      </c>
      <c r="L115" s="15" t="s">
        <v>217</v>
      </c>
      <c r="M115" s="15" t="s">
        <v>219</v>
      </c>
      <c r="N115" s="15" t="s">
        <v>219</v>
      </c>
      <c r="O115" s="15" t="s">
        <v>219</v>
      </c>
      <c r="P115" s="15" t="s">
        <v>219</v>
      </c>
      <c r="Q115" s="15" t="s">
        <v>243</v>
      </c>
      <c r="R115" s="15" t="s">
        <v>267</v>
      </c>
      <c r="S115" s="15" t="s">
        <v>219</v>
      </c>
      <c r="T115" s="15" t="s">
        <v>219</v>
      </c>
      <c r="U115" s="15" t="s">
        <v>219</v>
      </c>
      <c r="V115" s="15" t="s">
        <v>219</v>
      </c>
      <c r="W115" s="15">
        <v>4</v>
      </c>
      <c r="X115" s="15" t="str">
        <f>_xlfn.XLOOKUP(tblMeasure[[#This Row],[id_src]],tblSource[id_src],tblSource[org])</f>
        <v>NHS Digital</v>
      </c>
      <c r="Y115" s="15" t="str">
        <f>_xlfn.XLOOKUP(tblMeasure[[#This Row],[id_src]],tblSource[id_src],tblSource[source])</f>
        <v>ASC-FR</v>
      </c>
      <c r="Z115" s="15" t="str">
        <f>_xlfn.XLOOKUP(tblMeasure[[#This Row],[id_src]],tblSource[id_src],tblSource[url_source])</f>
        <v>https://digital.nhs.uk/data-and-information/data-collections-and-data-sets/data-collections/social-care-collection-materials-2019#adult-social-care-finance-return-asc-fr-</v>
      </c>
      <c r="AA115" s="15">
        <f>_xlfn.XLOOKUP(tblMeasure[[#This Row],[id_src]],tblSource[id_src],tblSource[year_first_published])</f>
        <v>2015</v>
      </c>
      <c r="AB115" s="15">
        <f>_xlfn.XLOOKUP(tblMeasure[[#This Row],[id_src]],tblSource[id_src],tblSource[year_last_published])</f>
        <v>2019</v>
      </c>
      <c r="AC115" s="15">
        <f>_xlfn.XLOOKUP(tblMeasure[[#This Row],[id_src]],tblSource[id_src],tblSource[discontinuity])</f>
        <v>0</v>
      </c>
      <c r="AD115" s="15" t="str">
        <f>_xlfn.XLOOKUP(tblMeasure[[#This Row],[id_src]],tblSource[id_src],tblSource[publication_frequency])</f>
        <v>Annual</v>
      </c>
      <c r="AE115" s="15" t="str">
        <f>_xlfn.XLOOKUP(tblMeasure[[#This Row],[id_src]],tblSource[id_src],tblSource[publication_lag_months])</f>
        <v>TBD</v>
      </c>
      <c r="AF115" s="25" t="str">
        <f>_xlfn.XLOOKUP(tblMeasure[[#This Row],[id_src]],tblSource[id_src],tblSource[data_providers])</f>
        <v>LA</v>
      </c>
      <c r="AG115" s="25" t="str">
        <f>_xlfn.XLOOKUP(tblMeasure[[#This Row],[id_src]],tblSource[id_src],tblSource[statistic_class])</f>
        <v>TBD</v>
      </c>
      <c r="AH115" s="25" t="str">
        <f>_xlfn.XLOOKUP(tblMeasure[[#This Row],[id_src]],tblSource[id_src],tblSource[methodology_link])</f>
        <v>http://www.cipfastats.net/sercop/</v>
      </c>
      <c r="AI115" s="25" t="str">
        <f>_xlfn.XLOOKUP(tblMeasure[[#This Row],[id_src]],tblSource[id_src],tblSource[quality_issues])</f>
        <v>https://digital.nhs.uk/binaries/content/assets/website-assets/data-and-information/data-collections/social-care-collections-2019/asc-fr-guidance-2018-19-v1.2-final.pdf</v>
      </c>
      <c r="AJ115" s="25">
        <f>VLOOKUP(tblMeasure[[#This Row],[msr_population_or_survey]],strlu_msr_population_or_survey,2,FALSE)</f>
        <v>1</v>
      </c>
      <c r="AK115" s="25">
        <f>VLOOKUP(tblMeasure[[#This Row],[msr_min_geo_resolution]],strlu_msr_min_geo_resolution,2,FALSE)</f>
        <v>1</v>
      </c>
      <c r="AL115" s="25">
        <f>(MAX(tblMeasure[[#This Row],[src_year_last_published]]-2010+1,0)+MIN(2010-tblMeasure[[#This Row],[src_year_first_published]],0)-MAX(tblMeasure[[#This Row],[src_year_last_published]]-2019,0))/10</f>
        <v>0.5</v>
      </c>
      <c r="AM115" s="25">
        <f>IF(OR(tblMeasure[[#This Row],[src_discontinuity]]="None",tblMeasure[[#This Row],[src_discontinuity]]=0),1,0)</f>
        <v>1</v>
      </c>
      <c r="AN115" s="25">
        <f>VLOOKUP(tblMeasure[[#This Row],[src_pub_frequency]],strlu_src_pub_frequency,2,FALSE)</f>
        <v>0.8</v>
      </c>
      <c r="AO115" s="25">
        <f>VLOOKUP(tblMeasure[[#This Row],[src_pub_lag_months]],strlu_src_pub_lag_months,2,FALSE)</f>
        <v>0</v>
      </c>
      <c r="AP115" s="25">
        <f>VLOOKUP(tblMeasure[[#This Row],[src_statistic_class]],strlu_src_statistic_class,2,FALSE)</f>
        <v>0</v>
      </c>
      <c r="AQ115" s="25">
        <f>IF(tblMeasure[[#This Row],[src_methodology_url]]="TBD",0,1)</f>
        <v>1</v>
      </c>
      <c r="AR115" s="25">
        <f>IF(tblMeasure[[#This Row],[src_quality_url]]="TBD",0,1)</f>
        <v>1</v>
      </c>
      <c r="AS115" s="85" cm="1">
        <f t="array" ref="AS115">SUMPRODUCT(TRANSPOSE(tblMeasure[[#This Row],[str_msr_population_or_survey]:[str_src_quality_url]]),str_weights)/str_weights_total</f>
        <v>0.66153846153846152</v>
      </c>
    </row>
    <row r="116" spans="1:45" hidden="1" x14ac:dyDescent="0.15">
      <c r="A116" s="30">
        <v>114</v>
      </c>
      <c r="B116" s="15">
        <f>COUNTIF(requirement_measure_map!$D$3:$D$1514,measure!A116)</f>
        <v>6</v>
      </c>
      <c r="C116" s="30" t="s">
        <v>520</v>
      </c>
      <c r="D116" s="15" t="s">
        <v>561</v>
      </c>
      <c r="E116" s="15" t="s">
        <v>566</v>
      </c>
      <c r="F116" s="15" t="s">
        <v>567</v>
      </c>
      <c r="G116" s="29" t="s">
        <v>557</v>
      </c>
      <c r="H116" s="15"/>
      <c r="I116" s="15" t="s">
        <v>214</v>
      </c>
      <c r="J116" s="15" t="s">
        <v>215</v>
      </c>
      <c r="K116" s="15" t="s">
        <v>558</v>
      </c>
      <c r="L116" s="15" t="s">
        <v>217</v>
      </c>
      <c r="M116" s="15" t="s">
        <v>219</v>
      </c>
      <c r="N116" s="15" t="s">
        <v>219</v>
      </c>
      <c r="O116" s="15" t="s">
        <v>219</v>
      </c>
      <c r="P116" s="15" t="s">
        <v>219</v>
      </c>
      <c r="Q116" s="15" t="s">
        <v>243</v>
      </c>
      <c r="R116" s="15" t="s">
        <v>267</v>
      </c>
      <c r="S116" s="15" t="s">
        <v>219</v>
      </c>
      <c r="T116" s="15" t="s">
        <v>219</v>
      </c>
      <c r="U116" s="15" t="s">
        <v>219</v>
      </c>
      <c r="V116" s="15" t="s">
        <v>219</v>
      </c>
      <c r="W116" s="15">
        <v>4</v>
      </c>
      <c r="X116" s="15" t="str">
        <f>_xlfn.XLOOKUP(tblMeasure[[#This Row],[id_src]],tblSource[id_src],tblSource[org])</f>
        <v>NHS Digital</v>
      </c>
      <c r="Y116" s="15" t="str">
        <f>_xlfn.XLOOKUP(tblMeasure[[#This Row],[id_src]],tblSource[id_src],tblSource[source])</f>
        <v>ASC-FR</v>
      </c>
      <c r="Z116" s="15" t="str">
        <f>_xlfn.XLOOKUP(tblMeasure[[#This Row],[id_src]],tblSource[id_src],tblSource[url_source])</f>
        <v>https://digital.nhs.uk/data-and-information/data-collections-and-data-sets/data-collections/social-care-collection-materials-2019#adult-social-care-finance-return-asc-fr-</v>
      </c>
      <c r="AA116" s="15">
        <f>_xlfn.XLOOKUP(tblMeasure[[#This Row],[id_src]],tblSource[id_src],tblSource[year_first_published])</f>
        <v>2015</v>
      </c>
      <c r="AB116" s="15">
        <f>_xlfn.XLOOKUP(tblMeasure[[#This Row],[id_src]],tblSource[id_src],tblSource[year_last_published])</f>
        <v>2019</v>
      </c>
      <c r="AC116" s="15">
        <f>_xlfn.XLOOKUP(tblMeasure[[#This Row],[id_src]],tblSource[id_src],tblSource[discontinuity])</f>
        <v>0</v>
      </c>
      <c r="AD116" s="15" t="str">
        <f>_xlfn.XLOOKUP(tblMeasure[[#This Row],[id_src]],tblSource[id_src],tblSource[publication_frequency])</f>
        <v>Annual</v>
      </c>
      <c r="AE116" s="15" t="str">
        <f>_xlfn.XLOOKUP(tblMeasure[[#This Row],[id_src]],tblSource[id_src],tblSource[publication_lag_months])</f>
        <v>TBD</v>
      </c>
      <c r="AF116" s="25" t="str">
        <f>_xlfn.XLOOKUP(tblMeasure[[#This Row],[id_src]],tblSource[id_src],tblSource[data_providers])</f>
        <v>LA</v>
      </c>
      <c r="AG116" s="25" t="str">
        <f>_xlfn.XLOOKUP(tblMeasure[[#This Row],[id_src]],tblSource[id_src],tblSource[statistic_class])</f>
        <v>TBD</v>
      </c>
      <c r="AH116" s="25" t="str">
        <f>_xlfn.XLOOKUP(tblMeasure[[#This Row],[id_src]],tblSource[id_src],tblSource[methodology_link])</f>
        <v>http://www.cipfastats.net/sercop/</v>
      </c>
      <c r="AI116" s="25" t="str">
        <f>_xlfn.XLOOKUP(tblMeasure[[#This Row],[id_src]],tblSource[id_src],tblSource[quality_issues])</f>
        <v>https://digital.nhs.uk/binaries/content/assets/website-assets/data-and-information/data-collections/social-care-collections-2019/asc-fr-guidance-2018-19-v1.2-final.pdf</v>
      </c>
      <c r="AJ116" s="25">
        <f>VLOOKUP(tblMeasure[[#This Row],[msr_population_or_survey]],strlu_msr_population_or_survey,2,FALSE)</f>
        <v>1</v>
      </c>
      <c r="AK116" s="25">
        <f>VLOOKUP(tblMeasure[[#This Row],[msr_min_geo_resolution]],strlu_msr_min_geo_resolution,2,FALSE)</f>
        <v>1</v>
      </c>
      <c r="AL116" s="25">
        <f>(MAX(tblMeasure[[#This Row],[src_year_last_published]]-2010+1,0)+MIN(2010-tblMeasure[[#This Row],[src_year_first_published]],0)-MAX(tblMeasure[[#This Row],[src_year_last_published]]-2019,0))/10</f>
        <v>0.5</v>
      </c>
      <c r="AM116" s="25">
        <f>IF(OR(tblMeasure[[#This Row],[src_discontinuity]]="None",tblMeasure[[#This Row],[src_discontinuity]]=0),1,0)</f>
        <v>1</v>
      </c>
      <c r="AN116" s="25">
        <f>VLOOKUP(tblMeasure[[#This Row],[src_pub_frequency]],strlu_src_pub_frequency,2,FALSE)</f>
        <v>0.8</v>
      </c>
      <c r="AO116" s="25">
        <f>VLOOKUP(tblMeasure[[#This Row],[src_pub_lag_months]],strlu_src_pub_lag_months,2,FALSE)</f>
        <v>0</v>
      </c>
      <c r="AP116" s="25">
        <f>VLOOKUP(tblMeasure[[#This Row],[src_statistic_class]],strlu_src_statistic_class,2,FALSE)</f>
        <v>0</v>
      </c>
      <c r="AQ116" s="25">
        <f>IF(tblMeasure[[#This Row],[src_methodology_url]]="TBD",0,1)</f>
        <v>1</v>
      </c>
      <c r="AR116" s="25">
        <f>IF(tblMeasure[[#This Row],[src_quality_url]]="TBD",0,1)</f>
        <v>1</v>
      </c>
      <c r="AS116" s="85" cm="1">
        <f t="array" ref="AS116">SUMPRODUCT(TRANSPOSE(tblMeasure[[#This Row],[str_msr_population_or_survey]:[str_src_quality_url]]),str_weights)/str_weights_total</f>
        <v>0.66153846153846152</v>
      </c>
    </row>
    <row r="117" spans="1:45" hidden="1" x14ac:dyDescent="0.15">
      <c r="A117" s="30">
        <v>115</v>
      </c>
      <c r="B117" s="15">
        <f>COUNTIF(requirement_measure_map!$D$3:$D$1514,measure!A117)</f>
        <v>6</v>
      </c>
      <c r="C117" s="30" t="s">
        <v>520</v>
      </c>
      <c r="D117" s="15" t="s">
        <v>561</v>
      </c>
      <c r="E117" s="15" t="s">
        <v>568</v>
      </c>
      <c r="F117" s="15" t="s">
        <v>569</v>
      </c>
      <c r="G117" s="29" t="s">
        <v>557</v>
      </c>
      <c r="H117" s="15"/>
      <c r="I117" s="15" t="s">
        <v>214</v>
      </c>
      <c r="J117" s="15" t="s">
        <v>215</v>
      </c>
      <c r="K117" s="15" t="s">
        <v>558</v>
      </c>
      <c r="L117" s="15" t="s">
        <v>217</v>
      </c>
      <c r="M117" s="15" t="s">
        <v>219</v>
      </c>
      <c r="N117" s="15" t="s">
        <v>219</v>
      </c>
      <c r="O117" s="15" t="s">
        <v>219</v>
      </c>
      <c r="P117" s="15" t="s">
        <v>219</v>
      </c>
      <c r="Q117" s="15" t="s">
        <v>243</v>
      </c>
      <c r="R117" s="15" t="s">
        <v>267</v>
      </c>
      <c r="S117" s="15" t="s">
        <v>219</v>
      </c>
      <c r="T117" s="15" t="s">
        <v>219</v>
      </c>
      <c r="U117" s="15" t="s">
        <v>219</v>
      </c>
      <c r="V117" s="15" t="s">
        <v>219</v>
      </c>
      <c r="W117" s="15">
        <v>4</v>
      </c>
      <c r="X117" s="15" t="str">
        <f>_xlfn.XLOOKUP(tblMeasure[[#This Row],[id_src]],tblSource[id_src],tblSource[org])</f>
        <v>NHS Digital</v>
      </c>
      <c r="Y117" s="15" t="str">
        <f>_xlfn.XLOOKUP(tblMeasure[[#This Row],[id_src]],tblSource[id_src],tblSource[source])</f>
        <v>ASC-FR</v>
      </c>
      <c r="Z117" s="15" t="str">
        <f>_xlfn.XLOOKUP(tblMeasure[[#This Row],[id_src]],tblSource[id_src],tblSource[url_source])</f>
        <v>https://digital.nhs.uk/data-and-information/data-collections-and-data-sets/data-collections/social-care-collection-materials-2019#adult-social-care-finance-return-asc-fr-</v>
      </c>
      <c r="AA117" s="15">
        <f>_xlfn.XLOOKUP(tblMeasure[[#This Row],[id_src]],tblSource[id_src],tblSource[year_first_published])</f>
        <v>2015</v>
      </c>
      <c r="AB117" s="15">
        <f>_xlfn.XLOOKUP(tblMeasure[[#This Row],[id_src]],tblSource[id_src],tblSource[year_last_published])</f>
        <v>2019</v>
      </c>
      <c r="AC117" s="15">
        <f>_xlfn.XLOOKUP(tblMeasure[[#This Row],[id_src]],tblSource[id_src],tblSource[discontinuity])</f>
        <v>0</v>
      </c>
      <c r="AD117" s="15" t="str">
        <f>_xlfn.XLOOKUP(tblMeasure[[#This Row],[id_src]],tblSource[id_src],tblSource[publication_frequency])</f>
        <v>Annual</v>
      </c>
      <c r="AE117" s="15" t="str">
        <f>_xlfn.XLOOKUP(tblMeasure[[#This Row],[id_src]],tblSource[id_src],tblSource[publication_lag_months])</f>
        <v>TBD</v>
      </c>
      <c r="AF117" s="25" t="str">
        <f>_xlfn.XLOOKUP(tblMeasure[[#This Row],[id_src]],tblSource[id_src],tblSource[data_providers])</f>
        <v>LA</v>
      </c>
      <c r="AG117" s="25" t="str">
        <f>_xlfn.XLOOKUP(tblMeasure[[#This Row],[id_src]],tblSource[id_src],tblSource[statistic_class])</f>
        <v>TBD</v>
      </c>
      <c r="AH117" s="25" t="str">
        <f>_xlfn.XLOOKUP(tblMeasure[[#This Row],[id_src]],tblSource[id_src],tblSource[methodology_link])</f>
        <v>http://www.cipfastats.net/sercop/</v>
      </c>
      <c r="AI117" s="25" t="str">
        <f>_xlfn.XLOOKUP(tblMeasure[[#This Row],[id_src]],tblSource[id_src],tblSource[quality_issues])</f>
        <v>https://digital.nhs.uk/binaries/content/assets/website-assets/data-and-information/data-collections/social-care-collections-2019/asc-fr-guidance-2018-19-v1.2-final.pdf</v>
      </c>
      <c r="AJ117" s="25">
        <f>VLOOKUP(tblMeasure[[#This Row],[msr_population_or_survey]],strlu_msr_population_or_survey,2,FALSE)</f>
        <v>1</v>
      </c>
      <c r="AK117" s="25">
        <f>VLOOKUP(tblMeasure[[#This Row],[msr_min_geo_resolution]],strlu_msr_min_geo_resolution,2,FALSE)</f>
        <v>1</v>
      </c>
      <c r="AL117" s="25">
        <f>(MAX(tblMeasure[[#This Row],[src_year_last_published]]-2010+1,0)+MIN(2010-tblMeasure[[#This Row],[src_year_first_published]],0)-MAX(tblMeasure[[#This Row],[src_year_last_published]]-2019,0))/10</f>
        <v>0.5</v>
      </c>
      <c r="AM117" s="25">
        <f>IF(OR(tblMeasure[[#This Row],[src_discontinuity]]="None",tblMeasure[[#This Row],[src_discontinuity]]=0),1,0)</f>
        <v>1</v>
      </c>
      <c r="AN117" s="25">
        <f>VLOOKUP(tblMeasure[[#This Row],[src_pub_frequency]],strlu_src_pub_frequency,2,FALSE)</f>
        <v>0.8</v>
      </c>
      <c r="AO117" s="25">
        <f>VLOOKUP(tblMeasure[[#This Row],[src_pub_lag_months]],strlu_src_pub_lag_months,2,FALSE)</f>
        <v>0</v>
      </c>
      <c r="AP117" s="25">
        <f>VLOOKUP(tblMeasure[[#This Row],[src_statistic_class]],strlu_src_statistic_class,2,FALSE)</f>
        <v>0</v>
      </c>
      <c r="AQ117" s="25">
        <f>IF(tblMeasure[[#This Row],[src_methodology_url]]="TBD",0,1)</f>
        <v>1</v>
      </c>
      <c r="AR117" s="25">
        <f>IF(tblMeasure[[#This Row],[src_quality_url]]="TBD",0,1)</f>
        <v>1</v>
      </c>
      <c r="AS117" s="85" cm="1">
        <f t="array" ref="AS117">SUMPRODUCT(TRANSPOSE(tblMeasure[[#This Row],[str_msr_population_or_survey]:[str_src_quality_url]]),str_weights)/str_weights_total</f>
        <v>0.66153846153846152</v>
      </c>
    </row>
    <row r="118" spans="1:45" hidden="1" x14ac:dyDescent="0.15">
      <c r="A118" s="30">
        <v>116</v>
      </c>
      <c r="B118" s="15">
        <f>COUNTIF(requirement_measure_map!$D$3:$D$1514,measure!A118)</f>
        <v>6</v>
      </c>
      <c r="C118" s="30" t="s">
        <v>520</v>
      </c>
      <c r="D118" s="15" t="s">
        <v>561</v>
      </c>
      <c r="E118" s="15" t="s">
        <v>570</v>
      </c>
      <c r="F118" s="15" t="s">
        <v>571</v>
      </c>
      <c r="G118" s="29" t="s">
        <v>557</v>
      </c>
      <c r="H118" s="15"/>
      <c r="I118" s="15" t="s">
        <v>214</v>
      </c>
      <c r="J118" s="15" t="s">
        <v>215</v>
      </c>
      <c r="K118" s="15" t="s">
        <v>558</v>
      </c>
      <c r="L118" s="15" t="s">
        <v>217</v>
      </c>
      <c r="M118" s="15" t="s">
        <v>219</v>
      </c>
      <c r="N118" s="15" t="s">
        <v>219</v>
      </c>
      <c r="O118" s="15" t="s">
        <v>219</v>
      </c>
      <c r="P118" s="15" t="s">
        <v>219</v>
      </c>
      <c r="Q118" s="15" t="s">
        <v>243</v>
      </c>
      <c r="R118" s="15" t="s">
        <v>267</v>
      </c>
      <c r="S118" s="15" t="s">
        <v>219</v>
      </c>
      <c r="T118" s="15" t="s">
        <v>219</v>
      </c>
      <c r="U118" s="15" t="s">
        <v>219</v>
      </c>
      <c r="V118" s="15" t="s">
        <v>219</v>
      </c>
      <c r="W118" s="15">
        <v>4</v>
      </c>
      <c r="X118" s="15" t="str">
        <f>_xlfn.XLOOKUP(tblMeasure[[#This Row],[id_src]],tblSource[id_src],tblSource[org])</f>
        <v>NHS Digital</v>
      </c>
      <c r="Y118" s="15" t="str">
        <f>_xlfn.XLOOKUP(tblMeasure[[#This Row],[id_src]],tblSource[id_src],tblSource[source])</f>
        <v>ASC-FR</v>
      </c>
      <c r="Z118" s="15" t="str">
        <f>_xlfn.XLOOKUP(tblMeasure[[#This Row],[id_src]],tblSource[id_src],tblSource[url_source])</f>
        <v>https://digital.nhs.uk/data-and-information/data-collections-and-data-sets/data-collections/social-care-collection-materials-2019#adult-social-care-finance-return-asc-fr-</v>
      </c>
      <c r="AA118" s="15">
        <f>_xlfn.XLOOKUP(tblMeasure[[#This Row],[id_src]],tblSource[id_src],tblSource[year_first_published])</f>
        <v>2015</v>
      </c>
      <c r="AB118" s="15">
        <f>_xlfn.XLOOKUP(tblMeasure[[#This Row],[id_src]],tblSource[id_src],tblSource[year_last_published])</f>
        <v>2019</v>
      </c>
      <c r="AC118" s="15">
        <f>_xlfn.XLOOKUP(tblMeasure[[#This Row],[id_src]],tblSource[id_src],tblSource[discontinuity])</f>
        <v>0</v>
      </c>
      <c r="AD118" s="15" t="str">
        <f>_xlfn.XLOOKUP(tblMeasure[[#This Row],[id_src]],tblSource[id_src],tblSource[publication_frequency])</f>
        <v>Annual</v>
      </c>
      <c r="AE118" s="15" t="str">
        <f>_xlfn.XLOOKUP(tblMeasure[[#This Row],[id_src]],tblSource[id_src],tblSource[publication_lag_months])</f>
        <v>TBD</v>
      </c>
      <c r="AF118" s="25" t="str">
        <f>_xlfn.XLOOKUP(tblMeasure[[#This Row],[id_src]],tblSource[id_src],tblSource[data_providers])</f>
        <v>LA</v>
      </c>
      <c r="AG118" s="25" t="str">
        <f>_xlfn.XLOOKUP(tblMeasure[[#This Row],[id_src]],tblSource[id_src],tblSource[statistic_class])</f>
        <v>TBD</v>
      </c>
      <c r="AH118" s="25" t="str">
        <f>_xlfn.XLOOKUP(tblMeasure[[#This Row],[id_src]],tblSource[id_src],tblSource[methodology_link])</f>
        <v>http://www.cipfastats.net/sercop/</v>
      </c>
      <c r="AI118" s="25" t="str">
        <f>_xlfn.XLOOKUP(tblMeasure[[#This Row],[id_src]],tblSource[id_src],tblSource[quality_issues])</f>
        <v>https://digital.nhs.uk/binaries/content/assets/website-assets/data-and-information/data-collections/social-care-collections-2019/asc-fr-guidance-2018-19-v1.2-final.pdf</v>
      </c>
      <c r="AJ118" s="25">
        <f>VLOOKUP(tblMeasure[[#This Row],[msr_population_or_survey]],strlu_msr_population_or_survey,2,FALSE)</f>
        <v>1</v>
      </c>
      <c r="AK118" s="25">
        <f>VLOOKUP(tblMeasure[[#This Row],[msr_min_geo_resolution]],strlu_msr_min_geo_resolution,2,FALSE)</f>
        <v>1</v>
      </c>
      <c r="AL118" s="25">
        <f>(MAX(tblMeasure[[#This Row],[src_year_last_published]]-2010+1,0)+MIN(2010-tblMeasure[[#This Row],[src_year_first_published]],0)-MAX(tblMeasure[[#This Row],[src_year_last_published]]-2019,0))/10</f>
        <v>0.5</v>
      </c>
      <c r="AM118" s="25">
        <f>IF(OR(tblMeasure[[#This Row],[src_discontinuity]]="None",tblMeasure[[#This Row],[src_discontinuity]]=0),1,0)</f>
        <v>1</v>
      </c>
      <c r="AN118" s="25">
        <f>VLOOKUP(tblMeasure[[#This Row],[src_pub_frequency]],strlu_src_pub_frequency,2,FALSE)</f>
        <v>0.8</v>
      </c>
      <c r="AO118" s="25">
        <f>VLOOKUP(tblMeasure[[#This Row],[src_pub_lag_months]],strlu_src_pub_lag_months,2,FALSE)</f>
        <v>0</v>
      </c>
      <c r="AP118" s="25">
        <f>VLOOKUP(tblMeasure[[#This Row],[src_statistic_class]],strlu_src_statistic_class,2,FALSE)</f>
        <v>0</v>
      </c>
      <c r="AQ118" s="25">
        <f>IF(tblMeasure[[#This Row],[src_methodology_url]]="TBD",0,1)</f>
        <v>1</v>
      </c>
      <c r="AR118" s="25">
        <f>IF(tblMeasure[[#This Row],[src_quality_url]]="TBD",0,1)</f>
        <v>1</v>
      </c>
      <c r="AS118" s="85" cm="1">
        <f t="array" ref="AS118">SUMPRODUCT(TRANSPOSE(tblMeasure[[#This Row],[str_msr_population_or_survey]:[str_src_quality_url]]),str_weights)/str_weights_total</f>
        <v>0.66153846153846152</v>
      </c>
    </row>
    <row r="119" spans="1:45" hidden="1" x14ac:dyDescent="0.15">
      <c r="A119" s="30">
        <v>117</v>
      </c>
      <c r="B119" s="15">
        <f>COUNTIF(requirement_measure_map!$D$3:$D$1514,measure!A119)</f>
        <v>0</v>
      </c>
      <c r="C119" s="30" t="s">
        <v>572</v>
      </c>
      <c r="D119" s="15" t="s">
        <v>573</v>
      </c>
      <c r="E119" s="15" t="s">
        <v>573</v>
      </c>
      <c r="F119" s="15" t="s">
        <v>574</v>
      </c>
      <c r="G119" s="29" t="s">
        <v>557</v>
      </c>
      <c r="H119" s="15"/>
      <c r="I119" s="15" t="s">
        <v>214</v>
      </c>
      <c r="J119" s="15" t="s">
        <v>215</v>
      </c>
      <c r="K119" s="15" t="s">
        <v>575</v>
      </c>
      <c r="L119" s="15" t="s">
        <v>217</v>
      </c>
      <c r="M119" s="15" t="s">
        <v>218</v>
      </c>
      <c r="N119" s="15" t="s">
        <v>219</v>
      </c>
      <c r="O119" s="15" t="s">
        <v>219</v>
      </c>
      <c r="P119" s="15" t="s">
        <v>243</v>
      </c>
      <c r="Q119" s="15" t="s">
        <v>220</v>
      </c>
      <c r="R119" s="15" t="s">
        <v>218</v>
      </c>
      <c r="S119" s="15" t="s">
        <v>219</v>
      </c>
      <c r="T119" s="15" t="s">
        <v>218</v>
      </c>
      <c r="U119" s="15" t="s">
        <v>267</v>
      </c>
      <c r="V119" s="15" t="s">
        <v>219</v>
      </c>
      <c r="W119" s="15">
        <v>4</v>
      </c>
      <c r="X119" s="15" t="str">
        <f>_xlfn.XLOOKUP(tblMeasure[[#This Row],[id_src]],tblSource[id_src],tblSource[org])</f>
        <v>NHS Digital</v>
      </c>
      <c r="Y119" s="25" t="str">
        <f>_xlfn.XLOOKUP(tblMeasure[[#This Row],[id_src]],tblSource[id_src],tblSource[source])</f>
        <v>ASC-FR</v>
      </c>
      <c r="Z119" s="25" t="str">
        <f>_xlfn.XLOOKUP(tblMeasure[[#This Row],[id_src]],tblSource[id_src],tblSource[url_source])</f>
        <v>https://digital.nhs.uk/data-and-information/data-collections-and-data-sets/data-collections/social-care-collection-materials-2019#adult-social-care-finance-return-asc-fr-</v>
      </c>
      <c r="AA119" s="25">
        <f>_xlfn.XLOOKUP(tblMeasure[[#This Row],[id_src]],tblSource[id_src],tblSource[year_first_published])</f>
        <v>2015</v>
      </c>
      <c r="AB119" s="25">
        <f>_xlfn.XLOOKUP(tblMeasure[[#This Row],[id_src]],tblSource[id_src],tblSource[year_last_published])</f>
        <v>2019</v>
      </c>
      <c r="AC119" s="25">
        <f>_xlfn.XLOOKUP(tblMeasure[[#This Row],[id_src]],tblSource[id_src],tblSource[discontinuity])</f>
        <v>0</v>
      </c>
      <c r="AD119" s="25" t="str">
        <f>_xlfn.XLOOKUP(tblMeasure[[#This Row],[id_src]],tblSource[id_src],tblSource[publication_frequency])</f>
        <v>Annual</v>
      </c>
      <c r="AE119" s="15" t="str">
        <f>_xlfn.XLOOKUP(tblMeasure[[#This Row],[id_src]],tblSource[id_src],tblSource[publication_lag_months])</f>
        <v>TBD</v>
      </c>
      <c r="AF119" s="25" t="str">
        <f>_xlfn.XLOOKUP(tblMeasure[[#This Row],[id_src]],tblSource[id_src],tblSource[data_providers])</f>
        <v>LA</v>
      </c>
      <c r="AG119" s="25" t="str">
        <f>_xlfn.XLOOKUP(tblMeasure[[#This Row],[id_src]],tblSource[id_src],tblSource[statistic_class])</f>
        <v>TBD</v>
      </c>
      <c r="AH119" s="25" t="str">
        <f>_xlfn.XLOOKUP(tblMeasure[[#This Row],[id_src]],tblSource[id_src],tblSource[methodology_link])</f>
        <v>http://www.cipfastats.net/sercop/</v>
      </c>
      <c r="AI119" s="25" t="str">
        <f>_xlfn.XLOOKUP(tblMeasure[[#This Row],[id_src]],tblSource[id_src],tblSource[quality_issues])</f>
        <v>https://digital.nhs.uk/binaries/content/assets/website-assets/data-and-information/data-collections/social-care-collections-2019/asc-fr-guidance-2018-19-v1.2-final.pdf</v>
      </c>
      <c r="AJ119" s="25">
        <f>VLOOKUP(tblMeasure[[#This Row],[msr_population_or_survey]],strlu_msr_population_or_survey,2,FALSE)</f>
        <v>1</v>
      </c>
      <c r="AK119" s="25">
        <f>VLOOKUP(tblMeasure[[#This Row],[msr_min_geo_resolution]],strlu_msr_min_geo_resolution,2,FALSE)</f>
        <v>1</v>
      </c>
      <c r="AL119" s="25">
        <f>(MAX(tblMeasure[[#This Row],[src_year_last_published]]-2010+1,0)+MIN(2010-tblMeasure[[#This Row],[src_year_first_published]],0)-MAX(tblMeasure[[#This Row],[src_year_last_published]]-2019,0))/10</f>
        <v>0.5</v>
      </c>
      <c r="AM119" s="25">
        <f>IF(OR(tblMeasure[[#This Row],[src_discontinuity]]="None",tblMeasure[[#This Row],[src_discontinuity]]=0),1,0)</f>
        <v>1</v>
      </c>
      <c r="AN119" s="25">
        <f>VLOOKUP(tblMeasure[[#This Row],[src_pub_frequency]],strlu_src_pub_frequency,2,FALSE)</f>
        <v>0.8</v>
      </c>
      <c r="AO119" s="25">
        <f>VLOOKUP(tblMeasure[[#This Row],[src_pub_lag_months]],strlu_src_pub_lag_months,2,FALSE)</f>
        <v>0</v>
      </c>
      <c r="AP119" s="25">
        <f>VLOOKUP(tblMeasure[[#This Row],[src_statistic_class]],strlu_src_statistic_class,2,FALSE)</f>
        <v>0</v>
      </c>
      <c r="AQ119" s="25">
        <f>IF(tblMeasure[[#This Row],[src_methodology_url]]="TBD",0,1)</f>
        <v>1</v>
      </c>
      <c r="AR119" s="25">
        <f>IF(tblMeasure[[#This Row],[src_quality_url]]="TBD",0,1)</f>
        <v>1</v>
      </c>
      <c r="AS119" s="85" cm="1">
        <f t="array" ref="AS119">SUMPRODUCT(TRANSPOSE(tblMeasure[[#This Row],[str_msr_population_or_survey]:[str_src_quality_url]]),str_weights)/str_weights_total</f>
        <v>0.66153846153846152</v>
      </c>
    </row>
    <row r="120" spans="1:45" hidden="1" x14ac:dyDescent="0.15">
      <c r="A120" s="30">
        <v>118</v>
      </c>
      <c r="B120" s="15">
        <f>COUNTIF(requirement_measure_map!$D$3:$D$1514,measure!A120)</f>
        <v>9</v>
      </c>
      <c r="C120" s="30" t="s">
        <v>520</v>
      </c>
      <c r="D120" s="15" t="s">
        <v>372</v>
      </c>
      <c r="E120" s="15" t="s">
        <v>372</v>
      </c>
      <c r="F120" s="15" t="s">
        <v>576</v>
      </c>
      <c r="G120" s="29" t="s">
        <v>557</v>
      </c>
      <c r="H120" s="15"/>
      <c r="I120" s="15" t="s">
        <v>214</v>
      </c>
      <c r="J120" s="15" t="s">
        <v>215</v>
      </c>
      <c r="K120" s="15" t="s">
        <v>577</v>
      </c>
      <c r="L120" s="15" t="s">
        <v>217</v>
      </c>
      <c r="M120" s="15" t="s">
        <v>218</v>
      </c>
      <c r="N120" s="15" t="s">
        <v>219</v>
      </c>
      <c r="O120" s="15" t="s">
        <v>219</v>
      </c>
      <c r="P120" s="15" t="s">
        <v>243</v>
      </c>
      <c r="Q120" s="15" t="s">
        <v>220</v>
      </c>
      <c r="R120" s="15" t="s">
        <v>218</v>
      </c>
      <c r="S120" s="15" t="s">
        <v>219</v>
      </c>
      <c r="T120" s="15" t="s">
        <v>218</v>
      </c>
      <c r="U120" s="15" t="s">
        <v>267</v>
      </c>
      <c r="V120" s="15" t="s">
        <v>219</v>
      </c>
      <c r="W120" s="15">
        <v>4</v>
      </c>
      <c r="X120" s="15" t="str">
        <f>_xlfn.XLOOKUP(tblMeasure[[#This Row],[id_src]],tblSource[id_src],tblSource[org])</f>
        <v>NHS Digital</v>
      </c>
      <c r="Y120" s="25" t="str">
        <f>_xlfn.XLOOKUP(tblMeasure[[#This Row],[id_src]],tblSource[id_src],tblSource[source])</f>
        <v>ASC-FR</v>
      </c>
      <c r="Z120" s="25" t="str">
        <f>_xlfn.XLOOKUP(tblMeasure[[#This Row],[id_src]],tblSource[id_src],tblSource[url_source])</f>
        <v>https://digital.nhs.uk/data-and-information/data-collections-and-data-sets/data-collections/social-care-collection-materials-2019#adult-social-care-finance-return-asc-fr-</v>
      </c>
      <c r="AA120" s="25">
        <f>_xlfn.XLOOKUP(tblMeasure[[#This Row],[id_src]],tblSource[id_src],tblSource[year_first_published])</f>
        <v>2015</v>
      </c>
      <c r="AB120" s="25">
        <f>_xlfn.XLOOKUP(tblMeasure[[#This Row],[id_src]],tblSource[id_src],tblSource[year_last_published])</f>
        <v>2019</v>
      </c>
      <c r="AC120" s="25">
        <f>_xlfn.XLOOKUP(tblMeasure[[#This Row],[id_src]],tblSource[id_src],tblSource[discontinuity])</f>
        <v>0</v>
      </c>
      <c r="AD120" s="25" t="str">
        <f>_xlfn.XLOOKUP(tblMeasure[[#This Row],[id_src]],tblSource[id_src],tblSource[publication_frequency])</f>
        <v>Annual</v>
      </c>
      <c r="AE120" s="15" t="str">
        <f>_xlfn.XLOOKUP(tblMeasure[[#This Row],[id_src]],tblSource[id_src],tblSource[publication_lag_months])</f>
        <v>TBD</v>
      </c>
      <c r="AF120" s="25" t="str">
        <f>_xlfn.XLOOKUP(tblMeasure[[#This Row],[id_src]],tblSource[id_src],tblSource[data_providers])</f>
        <v>LA</v>
      </c>
      <c r="AG120" s="25" t="str">
        <f>_xlfn.XLOOKUP(tblMeasure[[#This Row],[id_src]],tblSource[id_src],tblSource[statistic_class])</f>
        <v>TBD</v>
      </c>
      <c r="AH120" s="25" t="str">
        <f>_xlfn.XLOOKUP(tblMeasure[[#This Row],[id_src]],tblSource[id_src],tblSource[methodology_link])</f>
        <v>http://www.cipfastats.net/sercop/</v>
      </c>
      <c r="AI120" s="25" t="str">
        <f>_xlfn.XLOOKUP(tblMeasure[[#This Row],[id_src]],tblSource[id_src],tblSource[quality_issues])</f>
        <v>https://digital.nhs.uk/binaries/content/assets/website-assets/data-and-information/data-collections/social-care-collections-2019/asc-fr-guidance-2018-19-v1.2-final.pdf</v>
      </c>
      <c r="AJ120" s="25">
        <f>VLOOKUP(tblMeasure[[#This Row],[msr_population_or_survey]],strlu_msr_population_or_survey,2,FALSE)</f>
        <v>1</v>
      </c>
      <c r="AK120" s="25">
        <f>VLOOKUP(tblMeasure[[#This Row],[msr_min_geo_resolution]],strlu_msr_min_geo_resolution,2,FALSE)</f>
        <v>1</v>
      </c>
      <c r="AL120" s="25">
        <f>(MAX(tblMeasure[[#This Row],[src_year_last_published]]-2010+1,0)+MIN(2010-tblMeasure[[#This Row],[src_year_first_published]],0)-MAX(tblMeasure[[#This Row],[src_year_last_published]]-2019,0))/10</f>
        <v>0.5</v>
      </c>
      <c r="AM120" s="25">
        <f>IF(OR(tblMeasure[[#This Row],[src_discontinuity]]="None",tblMeasure[[#This Row],[src_discontinuity]]=0),1,0)</f>
        <v>1</v>
      </c>
      <c r="AN120" s="25">
        <f>VLOOKUP(tblMeasure[[#This Row],[src_pub_frequency]],strlu_src_pub_frequency,2,FALSE)</f>
        <v>0.8</v>
      </c>
      <c r="AO120" s="25">
        <f>VLOOKUP(tblMeasure[[#This Row],[src_pub_lag_months]],strlu_src_pub_lag_months,2,FALSE)</f>
        <v>0</v>
      </c>
      <c r="AP120" s="25">
        <f>VLOOKUP(tblMeasure[[#This Row],[src_statistic_class]],strlu_src_statistic_class,2,FALSE)</f>
        <v>0</v>
      </c>
      <c r="AQ120" s="25">
        <f>IF(tblMeasure[[#This Row],[src_methodology_url]]="TBD",0,1)</f>
        <v>1</v>
      </c>
      <c r="AR120" s="25">
        <f>IF(tblMeasure[[#This Row],[src_quality_url]]="TBD",0,1)</f>
        <v>1</v>
      </c>
      <c r="AS120" s="85" cm="1">
        <f t="array" ref="AS120">SUMPRODUCT(TRANSPOSE(tblMeasure[[#This Row],[str_msr_population_or_survey]:[str_src_quality_url]]),str_weights)/str_weights_total</f>
        <v>0.66153846153846152</v>
      </c>
    </row>
    <row r="121" spans="1:45" hidden="1" x14ac:dyDescent="0.15">
      <c r="A121" s="30">
        <v>119</v>
      </c>
      <c r="B121" s="15">
        <f>COUNTIF(requirement_measure_map!$D$3:$D$1514,measure!A121)</f>
        <v>4</v>
      </c>
      <c r="C121" s="30" t="s">
        <v>520</v>
      </c>
      <c r="D121" s="15" t="s">
        <v>578</v>
      </c>
      <c r="E121" s="15" t="s">
        <v>579</v>
      </c>
      <c r="F121" s="15" t="s">
        <v>580</v>
      </c>
      <c r="G121" s="29" t="s">
        <v>581</v>
      </c>
      <c r="H121" s="15"/>
      <c r="I121" s="15" t="s">
        <v>214</v>
      </c>
      <c r="J121" s="15" t="s">
        <v>215</v>
      </c>
      <c r="K121" s="15" t="s">
        <v>582</v>
      </c>
      <c r="L121" s="15" t="s">
        <v>217</v>
      </c>
      <c r="M121" s="15" t="s">
        <v>219</v>
      </c>
      <c r="N121" s="15" t="s">
        <v>219</v>
      </c>
      <c r="O121" s="15" t="s">
        <v>219</v>
      </c>
      <c r="P121" s="15" t="s">
        <v>219</v>
      </c>
      <c r="Q121" s="15" t="s">
        <v>219</v>
      </c>
      <c r="R121" s="15" t="s">
        <v>219</v>
      </c>
      <c r="S121" s="15" t="s">
        <v>219</v>
      </c>
      <c r="T121" s="15" t="s">
        <v>219</v>
      </c>
      <c r="U121" s="15" t="s">
        <v>243</v>
      </c>
      <c r="V121" s="15" t="s">
        <v>219</v>
      </c>
      <c r="W121" s="15">
        <v>5</v>
      </c>
      <c r="X121" s="15" t="str">
        <f>_xlfn.XLOOKUP(tblMeasure[[#This Row],[id_src]],tblSource[id_src],tblSource[org])</f>
        <v>NHS Digital</v>
      </c>
      <c r="Y121" s="15" t="str">
        <f>_xlfn.XLOOKUP(tblMeasure[[#This Row],[id_src]],tblSource[id_src],tblSource[source])</f>
        <v>Deprivation of Liberty Safeguards</v>
      </c>
      <c r="Z121" s="15" t="str">
        <f>_xlfn.XLOOKUP(tblMeasure[[#This Row],[id_src]],tblSource[id_src],tblSource[url_source])</f>
        <v>https://digital.nhs.uk/data-and-information/publications/statistical/mental-capacity-act-2005-deprivation-of-liberty-safeguards-assessments</v>
      </c>
      <c r="AA121" s="15">
        <f>_xlfn.XLOOKUP(tblMeasure[[#This Row],[id_src]],tblSource[id_src],tblSource[year_first_published])</f>
        <v>2010</v>
      </c>
      <c r="AB121" s="15">
        <f>_xlfn.XLOOKUP(tblMeasure[[#This Row],[id_src]],tblSource[id_src],tblSource[year_last_published])</f>
        <v>2019</v>
      </c>
      <c r="AC121" s="15">
        <f>_xlfn.XLOOKUP(tblMeasure[[#This Row],[id_src]],tblSource[id_src],tblSource[discontinuity])</f>
        <v>2017</v>
      </c>
      <c r="AD121" s="15" t="str">
        <f>_xlfn.XLOOKUP(tblMeasure[[#This Row],[id_src]],tblSource[id_src],tblSource[publication_frequency])</f>
        <v>Annual</v>
      </c>
      <c r="AE121" s="15">
        <f>_xlfn.XLOOKUP(tblMeasure[[#This Row],[id_src]],tblSource[id_src],tblSource[publication_lag_months])</f>
        <v>3</v>
      </c>
      <c r="AF121" s="25" t="str">
        <f>_xlfn.XLOOKUP(tblMeasure[[#This Row],[id_src]],tblSource[id_src],tblSource[data_providers])</f>
        <v>LA</v>
      </c>
      <c r="AG121" s="25" t="str">
        <f>_xlfn.XLOOKUP(tblMeasure[[#This Row],[id_src]],tblSource[id_src],tblSource[statistic_class])</f>
        <v>Official</v>
      </c>
      <c r="AH121" s="25" t="str">
        <f>_xlfn.XLOOKUP(tblMeasure[[#This Row],[id_src]],tblSource[id_src],tblSource[methodology_link])</f>
        <v>https://digital.nhs.uk/data-and-information/publications/statistical/mental-capacity-act-2005-deprivation-of-liberty-safeguards-assessments/england-2018-19/data-quality-statement</v>
      </c>
      <c r="AI121" s="25" t="str">
        <f>_xlfn.XLOOKUP(tblMeasure[[#This Row],[id_src]],tblSource[id_src],tblSource[quality_issues])</f>
        <v>TBD</v>
      </c>
      <c r="AJ121" s="25">
        <f>VLOOKUP(tblMeasure[[#This Row],[msr_population_or_survey]],strlu_msr_population_or_survey,2,FALSE)</f>
        <v>1</v>
      </c>
      <c r="AK121" s="25">
        <f>VLOOKUP(tblMeasure[[#This Row],[msr_min_geo_resolution]],strlu_msr_min_geo_resolution,2,FALSE)</f>
        <v>1</v>
      </c>
      <c r="AL121" s="25">
        <f>(MAX(tblMeasure[[#This Row],[src_year_last_published]]-2010+1,0)+MIN(2010-tblMeasure[[#This Row],[src_year_first_published]],0)-MAX(tblMeasure[[#This Row],[src_year_last_published]]-2019,0))/10</f>
        <v>1</v>
      </c>
      <c r="AM121" s="25">
        <f>IF(OR(tblMeasure[[#This Row],[src_discontinuity]]="None",tblMeasure[[#This Row],[src_discontinuity]]=0),1,0)</f>
        <v>0</v>
      </c>
      <c r="AN121" s="25">
        <f>VLOOKUP(tblMeasure[[#This Row],[src_pub_frequency]],strlu_src_pub_frequency,2,FALSE)</f>
        <v>0.8</v>
      </c>
      <c r="AO121" s="25">
        <f>VLOOKUP(tblMeasure[[#This Row],[src_pub_lag_months]],strlu_src_pub_lag_months,2,FALSE)</f>
        <v>0.7</v>
      </c>
      <c r="AP121" s="25">
        <f>VLOOKUP(tblMeasure[[#This Row],[src_statistic_class]],strlu_src_statistic_class,2,FALSE)</f>
        <v>1</v>
      </c>
      <c r="AQ121" s="25">
        <f>IF(tblMeasure[[#This Row],[src_methodology_url]]="TBD",0,1)</f>
        <v>1</v>
      </c>
      <c r="AR121" s="25">
        <f>IF(tblMeasure[[#This Row],[src_quality_url]]="TBD",0,1)</f>
        <v>0</v>
      </c>
      <c r="AS121" s="85" cm="1">
        <f t="array" ref="AS121">SUMPRODUCT(TRANSPOSE(tblMeasure[[#This Row],[str_msr_population_or_survey]:[str_src_quality_url]]),str_weights)/str_weights_total</f>
        <v>0.8307692307692307</v>
      </c>
    </row>
    <row r="122" spans="1:45" hidden="1" x14ac:dyDescent="0.15">
      <c r="A122" s="30">
        <v>120</v>
      </c>
      <c r="B122" s="15">
        <f>COUNTIF(requirement_measure_map!$D$3:$D$1514,measure!A122)</f>
        <v>1</v>
      </c>
      <c r="C122" s="30" t="s">
        <v>520</v>
      </c>
      <c r="D122" s="15" t="s">
        <v>578</v>
      </c>
      <c r="E122" s="15" t="s">
        <v>583</v>
      </c>
      <c r="F122" s="15" t="s">
        <v>584</v>
      </c>
      <c r="G122" s="29" t="s">
        <v>581</v>
      </c>
      <c r="H122" s="15"/>
      <c r="I122" s="15" t="s">
        <v>214</v>
      </c>
      <c r="J122" s="15" t="s">
        <v>215</v>
      </c>
      <c r="K122" s="15" t="s">
        <v>585</v>
      </c>
      <c r="L122" s="15" t="s">
        <v>217</v>
      </c>
      <c r="M122" s="15" t="s">
        <v>219</v>
      </c>
      <c r="N122" s="15" t="s">
        <v>219</v>
      </c>
      <c r="O122" s="15" t="s">
        <v>219</v>
      </c>
      <c r="P122" s="15" t="s">
        <v>219</v>
      </c>
      <c r="Q122" s="15" t="s">
        <v>219</v>
      </c>
      <c r="R122" s="15" t="s">
        <v>219</v>
      </c>
      <c r="S122" s="15" t="s">
        <v>219</v>
      </c>
      <c r="T122" s="15" t="s">
        <v>219</v>
      </c>
      <c r="U122" s="15" t="s">
        <v>219</v>
      </c>
      <c r="V122" s="15" t="s">
        <v>219</v>
      </c>
      <c r="W122" s="15">
        <v>5</v>
      </c>
      <c r="X122" s="15" t="str">
        <f>_xlfn.XLOOKUP(tblMeasure[[#This Row],[id_src]],tblSource[id_src],tblSource[org])</f>
        <v>NHS Digital</v>
      </c>
      <c r="Y122" s="15" t="str">
        <f>_xlfn.XLOOKUP(tblMeasure[[#This Row],[id_src]],tblSource[id_src],tblSource[source])</f>
        <v>Deprivation of Liberty Safeguards</v>
      </c>
      <c r="Z122" s="15" t="str">
        <f>_xlfn.XLOOKUP(tblMeasure[[#This Row],[id_src]],tblSource[id_src],tblSource[url_source])</f>
        <v>https://digital.nhs.uk/data-and-information/publications/statistical/mental-capacity-act-2005-deprivation-of-liberty-safeguards-assessments</v>
      </c>
      <c r="AA122" s="15">
        <f>_xlfn.XLOOKUP(tblMeasure[[#This Row],[id_src]],tblSource[id_src],tblSource[year_first_published])</f>
        <v>2010</v>
      </c>
      <c r="AB122" s="15">
        <f>_xlfn.XLOOKUP(tblMeasure[[#This Row],[id_src]],tblSource[id_src],tblSource[year_last_published])</f>
        <v>2019</v>
      </c>
      <c r="AC122" s="15">
        <f>_xlfn.XLOOKUP(tblMeasure[[#This Row],[id_src]],tblSource[id_src],tblSource[discontinuity])</f>
        <v>2017</v>
      </c>
      <c r="AD122" s="15" t="str">
        <f>_xlfn.XLOOKUP(tblMeasure[[#This Row],[id_src]],tblSource[id_src],tblSource[publication_frequency])</f>
        <v>Annual</v>
      </c>
      <c r="AE122" s="15">
        <f>_xlfn.XLOOKUP(tblMeasure[[#This Row],[id_src]],tblSource[id_src],tblSource[publication_lag_months])</f>
        <v>3</v>
      </c>
      <c r="AF122" s="25" t="str">
        <f>_xlfn.XLOOKUP(tblMeasure[[#This Row],[id_src]],tblSource[id_src],tblSource[data_providers])</f>
        <v>LA</v>
      </c>
      <c r="AG122" s="25" t="str">
        <f>_xlfn.XLOOKUP(tblMeasure[[#This Row],[id_src]],tblSource[id_src],tblSource[statistic_class])</f>
        <v>Official</v>
      </c>
      <c r="AH122" s="25" t="str">
        <f>_xlfn.XLOOKUP(tblMeasure[[#This Row],[id_src]],tblSource[id_src],tblSource[methodology_link])</f>
        <v>https://digital.nhs.uk/data-and-information/publications/statistical/mental-capacity-act-2005-deprivation-of-liberty-safeguards-assessments/england-2018-19/data-quality-statement</v>
      </c>
      <c r="AI122" s="25" t="str">
        <f>_xlfn.XLOOKUP(tblMeasure[[#This Row],[id_src]],tblSource[id_src],tblSource[quality_issues])</f>
        <v>TBD</v>
      </c>
      <c r="AJ122" s="25">
        <f>VLOOKUP(tblMeasure[[#This Row],[msr_population_or_survey]],strlu_msr_population_or_survey,2,FALSE)</f>
        <v>1</v>
      </c>
      <c r="AK122" s="25">
        <f>VLOOKUP(tblMeasure[[#This Row],[msr_min_geo_resolution]],strlu_msr_min_geo_resolution,2,FALSE)</f>
        <v>1</v>
      </c>
      <c r="AL122" s="25">
        <f>(MAX(tblMeasure[[#This Row],[src_year_last_published]]-2010+1,0)+MIN(2010-tblMeasure[[#This Row],[src_year_first_published]],0)-MAX(tblMeasure[[#This Row],[src_year_last_published]]-2019,0))/10</f>
        <v>1</v>
      </c>
      <c r="AM122" s="25">
        <f>IF(OR(tblMeasure[[#This Row],[src_discontinuity]]="None",tblMeasure[[#This Row],[src_discontinuity]]=0),1,0)</f>
        <v>0</v>
      </c>
      <c r="AN122" s="25">
        <f>VLOOKUP(tblMeasure[[#This Row],[src_pub_frequency]],strlu_src_pub_frequency,2,FALSE)</f>
        <v>0.8</v>
      </c>
      <c r="AO122" s="25">
        <f>VLOOKUP(tblMeasure[[#This Row],[src_pub_lag_months]],strlu_src_pub_lag_months,2,FALSE)</f>
        <v>0.7</v>
      </c>
      <c r="AP122" s="25">
        <f>VLOOKUP(tblMeasure[[#This Row],[src_statistic_class]],strlu_src_statistic_class,2,FALSE)</f>
        <v>1</v>
      </c>
      <c r="AQ122" s="25">
        <f>IF(tblMeasure[[#This Row],[src_methodology_url]]="TBD",0,1)</f>
        <v>1</v>
      </c>
      <c r="AR122" s="25">
        <f>IF(tblMeasure[[#This Row],[src_quality_url]]="TBD",0,1)</f>
        <v>0</v>
      </c>
      <c r="AS122" s="85" cm="1">
        <f t="array" ref="AS122">SUMPRODUCT(TRANSPOSE(tblMeasure[[#This Row],[str_msr_population_or_survey]:[str_src_quality_url]]),str_weights)/str_weights_total</f>
        <v>0.8307692307692307</v>
      </c>
    </row>
    <row r="123" spans="1:45" hidden="1" x14ac:dyDescent="0.15">
      <c r="A123" s="30">
        <v>121</v>
      </c>
      <c r="B123" s="15">
        <f>COUNTIF(requirement_measure_map!$D$3:$D$1514,measure!A123)</f>
        <v>2</v>
      </c>
      <c r="C123" s="30" t="s">
        <v>520</v>
      </c>
      <c r="D123" s="15" t="s">
        <v>578</v>
      </c>
      <c r="E123" s="15" t="s">
        <v>586</v>
      </c>
      <c r="F123" s="15" t="s">
        <v>587</v>
      </c>
      <c r="G123" s="29" t="s">
        <v>581</v>
      </c>
      <c r="H123" s="15"/>
      <c r="I123" s="15" t="s">
        <v>214</v>
      </c>
      <c r="J123" s="15" t="s">
        <v>215</v>
      </c>
      <c r="K123" s="15" t="s">
        <v>588</v>
      </c>
      <c r="L123" s="15" t="s">
        <v>217</v>
      </c>
      <c r="M123" s="15" t="s">
        <v>240</v>
      </c>
      <c r="N123" s="15" t="s">
        <v>219</v>
      </c>
      <c r="O123" s="15" t="s">
        <v>219</v>
      </c>
      <c r="P123" s="15" t="s">
        <v>219</v>
      </c>
      <c r="Q123" s="15" t="s">
        <v>219</v>
      </c>
      <c r="R123" s="15" t="s">
        <v>219</v>
      </c>
      <c r="S123" s="15" t="s">
        <v>219</v>
      </c>
      <c r="T123" s="15" t="s">
        <v>219</v>
      </c>
      <c r="U123" s="15" t="s">
        <v>219</v>
      </c>
      <c r="V123" s="15" t="s">
        <v>219</v>
      </c>
      <c r="W123" s="15">
        <v>5</v>
      </c>
      <c r="X123" s="15" t="str">
        <f>_xlfn.XLOOKUP(tblMeasure[[#This Row],[id_src]],tblSource[id_src],tblSource[org])</f>
        <v>NHS Digital</v>
      </c>
      <c r="Y123" s="15" t="str">
        <f>_xlfn.XLOOKUP(tblMeasure[[#This Row],[id_src]],tblSource[id_src],tblSource[source])</f>
        <v>Deprivation of Liberty Safeguards</v>
      </c>
      <c r="Z123" s="15" t="str">
        <f>_xlfn.XLOOKUP(tblMeasure[[#This Row],[id_src]],tblSource[id_src],tblSource[url_source])</f>
        <v>https://digital.nhs.uk/data-and-information/publications/statistical/mental-capacity-act-2005-deprivation-of-liberty-safeguards-assessments</v>
      </c>
      <c r="AA123" s="15">
        <f>_xlfn.XLOOKUP(tblMeasure[[#This Row],[id_src]],tblSource[id_src],tblSource[year_first_published])</f>
        <v>2010</v>
      </c>
      <c r="AB123" s="15">
        <f>_xlfn.XLOOKUP(tblMeasure[[#This Row],[id_src]],tblSource[id_src],tblSource[year_last_published])</f>
        <v>2019</v>
      </c>
      <c r="AC123" s="15">
        <f>_xlfn.XLOOKUP(tblMeasure[[#This Row],[id_src]],tblSource[id_src],tblSource[discontinuity])</f>
        <v>2017</v>
      </c>
      <c r="AD123" s="15" t="str">
        <f>_xlfn.XLOOKUP(tblMeasure[[#This Row],[id_src]],tblSource[id_src],tblSource[publication_frequency])</f>
        <v>Annual</v>
      </c>
      <c r="AE123" s="15">
        <f>_xlfn.XLOOKUP(tblMeasure[[#This Row],[id_src]],tblSource[id_src],tblSource[publication_lag_months])</f>
        <v>3</v>
      </c>
      <c r="AF123" s="25" t="str">
        <f>_xlfn.XLOOKUP(tblMeasure[[#This Row],[id_src]],tblSource[id_src],tblSource[data_providers])</f>
        <v>LA</v>
      </c>
      <c r="AG123" s="25" t="str">
        <f>_xlfn.XLOOKUP(tblMeasure[[#This Row],[id_src]],tblSource[id_src],tblSource[statistic_class])</f>
        <v>Official</v>
      </c>
      <c r="AH123" s="25" t="str">
        <f>_xlfn.XLOOKUP(tblMeasure[[#This Row],[id_src]],tblSource[id_src],tblSource[methodology_link])</f>
        <v>https://digital.nhs.uk/data-and-information/publications/statistical/mental-capacity-act-2005-deprivation-of-liberty-safeguards-assessments/england-2018-19/data-quality-statement</v>
      </c>
      <c r="AI123" s="25" t="str">
        <f>_xlfn.XLOOKUP(tblMeasure[[#This Row],[id_src]],tblSource[id_src],tblSource[quality_issues])</f>
        <v>TBD</v>
      </c>
      <c r="AJ123" s="25">
        <f>VLOOKUP(tblMeasure[[#This Row],[msr_population_or_survey]],strlu_msr_population_or_survey,2,FALSE)</f>
        <v>1</v>
      </c>
      <c r="AK123" s="25">
        <f>VLOOKUP(tblMeasure[[#This Row],[msr_min_geo_resolution]],strlu_msr_min_geo_resolution,2,FALSE)</f>
        <v>1</v>
      </c>
      <c r="AL123" s="25">
        <f>(MAX(tblMeasure[[#This Row],[src_year_last_published]]-2010+1,0)+MIN(2010-tblMeasure[[#This Row],[src_year_first_published]],0)-MAX(tblMeasure[[#This Row],[src_year_last_published]]-2019,0))/10</f>
        <v>1</v>
      </c>
      <c r="AM123" s="25">
        <f>IF(OR(tblMeasure[[#This Row],[src_discontinuity]]="None",tblMeasure[[#This Row],[src_discontinuity]]=0),1,0)</f>
        <v>0</v>
      </c>
      <c r="AN123" s="25">
        <f>VLOOKUP(tblMeasure[[#This Row],[src_pub_frequency]],strlu_src_pub_frequency,2,FALSE)</f>
        <v>0.8</v>
      </c>
      <c r="AO123" s="25">
        <f>VLOOKUP(tblMeasure[[#This Row],[src_pub_lag_months]],strlu_src_pub_lag_months,2,FALSE)</f>
        <v>0.7</v>
      </c>
      <c r="AP123" s="25">
        <f>VLOOKUP(tblMeasure[[#This Row],[src_statistic_class]],strlu_src_statistic_class,2,FALSE)</f>
        <v>1</v>
      </c>
      <c r="AQ123" s="25">
        <f>IF(tblMeasure[[#This Row],[src_methodology_url]]="TBD",0,1)</f>
        <v>1</v>
      </c>
      <c r="AR123" s="25">
        <f>IF(tblMeasure[[#This Row],[src_quality_url]]="TBD",0,1)</f>
        <v>0</v>
      </c>
      <c r="AS123" s="85" cm="1">
        <f t="array" ref="AS123">SUMPRODUCT(TRANSPOSE(tblMeasure[[#This Row],[str_msr_population_or_survey]:[str_src_quality_url]]),str_weights)/str_weights_total</f>
        <v>0.8307692307692307</v>
      </c>
    </row>
    <row r="124" spans="1:45" hidden="1" x14ac:dyDescent="0.15">
      <c r="A124" s="30">
        <v>122</v>
      </c>
      <c r="B124" s="15">
        <f>COUNTIF(requirement_measure_map!$D$3:$D$1514,measure!A124)</f>
        <v>4</v>
      </c>
      <c r="C124" s="30" t="s">
        <v>520</v>
      </c>
      <c r="D124" s="15" t="s">
        <v>578</v>
      </c>
      <c r="E124" s="15" t="s">
        <v>589</v>
      </c>
      <c r="F124" s="15" t="s">
        <v>590</v>
      </c>
      <c r="G124" s="29" t="s">
        <v>581</v>
      </c>
      <c r="H124" s="15"/>
      <c r="I124" s="15" t="s">
        <v>214</v>
      </c>
      <c r="J124" s="15" t="s">
        <v>215</v>
      </c>
      <c r="K124" s="15" t="s">
        <v>591</v>
      </c>
      <c r="L124" s="15" t="s">
        <v>217</v>
      </c>
      <c r="M124" s="15" t="s">
        <v>219</v>
      </c>
      <c r="N124" s="15" t="s">
        <v>219</v>
      </c>
      <c r="O124" s="15" t="s">
        <v>219</v>
      </c>
      <c r="P124" s="15" t="s">
        <v>219</v>
      </c>
      <c r="Q124" s="15" t="s">
        <v>219</v>
      </c>
      <c r="R124" s="15" t="s">
        <v>219</v>
      </c>
      <c r="S124" s="15" t="s">
        <v>219</v>
      </c>
      <c r="T124" s="15" t="s">
        <v>219</v>
      </c>
      <c r="U124" s="15" t="s">
        <v>243</v>
      </c>
      <c r="V124" s="15" t="s">
        <v>219</v>
      </c>
      <c r="W124" s="15">
        <v>5</v>
      </c>
      <c r="X124" s="15" t="str">
        <f>_xlfn.XLOOKUP(tblMeasure[[#This Row],[id_src]],tblSource[id_src],tblSource[org])</f>
        <v>NHS Digital</v>
      </c>
      <c r="Y124" s="25" t="str">
        <f>_xlfn.XLOOKUP(tblMeasure[[#This Row],[id_src]],tblSource[id_src],tblSource[source])</f>
        <v>Deprivation of Liberty Safeguards</v>
      </c>
      <c r="Z124" s="25" t="str">
        <f>_xlfn.XLOOKUP(tblMeasure[[#This Row],[id_src]],tblSource[id_src],tblSource[url_source])</f>
        <v>https://digital.nhs.uk/data-and-information/publications/statistical/mental-capacity-act-2005-deprivation-of-liberty-safeguards-assessments</v>
      </c>
      <c r="AA124" s="25">
        <f>_xlfn.XLOOKUP(tblMeasure[[#This Row],[id_src]],tblSource[id_src],tblSource[year_first_published])</f>
        <v>2010</v>
      </c>
      <c r="AB124" s="25">
        <f>_xlfn.XLOOKUP(tblMeasure[[#This Row],[id_src]],tblSource[id_src],tblSource[year_last_published])</f>
        <v>2019</v>
      </c>
      <c r="AC124" s="25">
        <f>_xlfn.XLOOKUP(tblMeasure[[#This Row],[id_src]],tblSource[id_src],tblSource[discontinuity])</f>
        <v>2017</v>
      </c>
      <c r="AD124" s="25" t="str">
        <f>_xlfn.XLOOKUP(tblMeasure[[#This Row],[id_src]],tblSource[id_src],tblSource[publication_frequency])</f>
        <v>Annual</v>
      </c>
      <c r="AE124" s="15">
        <f>_xlfn.XLOOKUP(tblMeasure[[#This Row],[id_src]],tblSource[id_src],tblSource[publication_lag_months])</f>
        <v>3</v>
      </c>
      <c r="AF124" s="25" t="str">
        <f>_xlfn.XLOOKUP(tblMeasure[[#This Row],[id_src]],tblSource[id_src],tblSource[data_providers])</f>
        <v>LA</v>
      </c>
      <c r="AG124" s="25" t="str">
        <f>_xlfn.XLOOKUP(tblMeasure[[#This Row],[id_src]],tblSource[id_src],tblSource[statistic_class])</f>
        <v>Official</v>
      </c>
      <c r="AH124" s="25" t="str">
        <f>_xlfn.XLOOKUP(tblMeasure[[#This Row],[id_src]],tblSource[id_src],tblSource[methodology_link])</f>
        <v>https://digital.nhs.uk/data-and-information/publications/statistical/mental-capacity-act-2005-deprivation-of-liberty-safeguards-assessments/england-2018-19/data-quality-statement</v>
      </c>
      <c r="AI124" s="25" t="str">
        <f>_xlfn.XLOOKUP(tblMeasure[[#This Row],[id_src]],tblSource[id_src],tblSource[quality_issues])</f>
        <v>TBD</v>
      </c>
      <c r="AJ124" s="25">
        <f>VLOOKUP(tblMeasure[[#This Row],[msr_population_or_survey]],strlu_msr_population_or_survey,2,FALSE)</f>
        <v>1</v>
      </c>
      <c r="AK124" s="25">
        <f>VLOOKUP(tblMeasure[[#This Row],[msr_min_geo_resolution]],strlu_msr_min_geo_resolution,2,FALSE)</f>
        <v>1</v>
      </c>
      <c r="AL124" s="25">
        <f>(MAX(tblMeasure[[#This Row],[src_year_last_published]]-2010+1,0)+MIN(2010-tblMeasure[[#This Row],[src_year_first_published]],0)-MAX(tblMeasure[[#This Row],[src_year_last_published]]-2019,0))/10</f>
        <v>1</v>
      </c>
      <c r="AM124" s="25">
        <f>IF(OR(tblMeasure[[#This Row],[src_discontinuity]]="None",tblMeasure[[#This Row],[src_discontinuity]]=0),1,0)</f>
        <v>0</v>
      </c>
      <c r="AN124" s="25">
        <f>VLOOKUP(tblMeasure[[#This Row],[src_pub_frequency]],strlu_src_pub_frequency,2,FALSE)</f>
        <v>0.8</v>
      </c>
      <c r="AO124" s="25">
        <f>VLOOKUP(tblMeasure[[#This Row],[src_pub_lag_months]],strlu_src_pub_lag_months,2,FALSE)</f>
        <v>0.7</v>
      </c>
      <c r="AP124" s="25">
        <f>VLOOKUP(tblMeasure[[#This Row],[src_statistic_class]],strlu_src_statistic_class,2,FALSE)</f>
        <v>1</v>
      </c>
      <c r="AQ124" s="25">
        <f>IF(tblMeasure[[#This Row],[src_methodology_url]]="TBD",0,1)</f>
        <v>1</v>
      </c>
      <c r="AR124" s="25">
        <f>IF(tblMeasure[[#This Row],[src_quality_url]]="TBD",0,1)</f>
        <v>0</v>
      </c>
      <c r="AS124" s="85" cm="1">
        <f t="array" ref="AS124">SUMPRODUCT(TRANSPOSE(tblMeasure[[#This Row],[str_msr_population_or_survey]:[str_src_quality_url]]),str_weights)/str_weights_total</f>
        <v>0.8307692307692307</v>
      </c>
    </row>
    <row r="125" spans="1:45" x14ac:dyDescent="0.15">
      <c r="A125" s="30">
        <v>123</v>
      </c>
      <c r="B125" s="15">
        <f>COUNTIF(requirement_measure_map!$D$3:$D$1514,measure!A125)</f>
        <v>1</v>
      </c>
      <c r="C125" s="30" t="s">
        <v>520</v>
      </c>
      <c r="D125" s="15" t="s">
        <v>578</v>
      </c>
      <c r="E125" s="15" t="s">
        <v>592</v>
      </c>
      <c r="F125" s="15" t="s">
        <v>593</v>
      </c>
      <c r="G125" s="29" t="s">
        <v>581</v>
      </c>
      <c r="H125" s="15"/>
      <c r="I125" s="15" t="s">
        <v>214</v>
      </c>
      <c r="J125" s="15" t="s">
        <v>215</v>
      </c>
      <c r="K125" s="15" t="s">
        <v>594</v>
      </c>
      <c r="L125" s="15" t="s">
        <v>217</v>
      </c>
      <c r="M125" s="15" t="s">
        <v>219</v>
      </c>
      <c r="N125" s="15" t="s">
        <v>219</v>
      </c>
      <c r="O125" s="15" t="s">
        <v>219</v>
      </c>
      <c r="P125" s="15" t="s">
        <v>219</v>
      </c>
      <c r="Q125" s="15" t="s">
        <v>219</v>
      </c>
      <c r="R125" s="15" t="s">
        <v>219</v>
      </c>
      <c r="S125" s="15" t="s">
        <v>219</v>
      </c>
      <c r="T125" s="15" t="s">
        <v>219</v>
      </c>
      <c r="U125" s="15" t="s">
        <v>219</v>
      </c>
      <c r="V125" s="15" t="s">
        <v>219</v>
      </c>
      <c r="W125" s="15">
        <v>5</v>
      </c>
      <c r="X125" s="15" t="str">
        <f>_xlfn.XLOOKUP(tblMeasure[[#This Row],[id_src]],tblSource[id_src],tblSource[org])</f>
        <v>NHS Digital</v>
      </c>
      <c r="Y125" s="25" t="str">
        <f>_xlfn.XLOOKUP(tblMeasure[[#This Row],[id_src]],tblSource[id_src],tblSource[source])</f>
        <v>Deprivation of Liberty Safeguards</v>
      </c>
      <c r="Z125" s="25" t="str">
        <f>_xlfn.XLOOKUP(tblMeasure[[#This Row],[id_src]],tblSource[id_src],tblSource[url_source])</f>
        <v>https://digital.nhs.uk/data-and-information/publications/statistical/mental-capacity-act-2005-deprivation-of-liberty-safeguards-assessments</v>
      </c>
      <c r="AA125" s="25">
        <f>_xlfn.XLOOKUP(tblMeasure[[#This Row],[id_src]],tblSource[id_src],tblSource[year_first_published])</f>
        <v>2010</v>
      </c>
      <c r="AB125" s="25">
        <f>_xlfn.XLOOKUP(tblMeasure[[#This Row],[id_src]],tblSource[id_src],tblSource[year_last_published])</f>
        <v>2019</v>
      </c>
      <c r="AC125" s="25">
        <f>_xlfn.XLOOKUP(tblMeasure[[#This Row],[id_src]],tblSource[id_src],tblSource[discontinuity])</f>
        <v>2017</v>
      </c>
      <c r="AD125" s="25" t="str">
        <f>_xlfn.XLOOKUP(tblMeasure[[#This Row],[id_src]],tblSource[id_src],tblSource[publication_frequency])</f>
        <v>Annual</v>
      </c>
      <c r="AE125" s="15">
        <f>_xlfn.XLOOKUP(tblMeasure[[#This Row],[id_src]],tblSource[id_src],tblSource[publication_lag_months])</f>
        <v>3</v>
      </c>
      <c r="AF125" s="25" t="str">
        <f>_xlfn.XLOOKUP(tblMeasure[[#This Row],[id_src]],tblSource[id_src],tblSource[data_providers])</f>
        <v>LA</v>
      </c>
      <c r="AG125" s="25" t="str">
        <f>_xlfn.XLOOKUP(tblMeasure[[#This Row],[id_src]],tblSource[id_src],tblSource[statistic_class])</f>
        <v>Official</v>
      </c>
      <c r="AH125" s="25" t="str">
        <f>_xlfn.XLOOKUP(tblMeasure[[#This Row],[id_src]],tblSource[id_src],tblSource[methodology_link])</f>
        <v>https://digital.nhs.uk/data-and-information/publications/statistical/mental-capacity-act-2005-deprivation-of-liberty-safeguards-assessments/england-2018-19/data-quality-statement</v>
      </c>
      <c r="AI125" s="25" t="str">
        <f>_xlfn.XLOOKUP(tblMeasure[[#This Row],[id_src]],tblSource[id_src],tblSource[quality_issues])</f>
        <v>TBD</v>
      </c>
      <c r="AJ125" s="25">
        <f>VLOOKUP(tblMeasure[[#This Row],[msr_population_or_survey]],strlu_msr_population_or_survey,2,FALSE)</f>
        <v>1</v>
      </c>
      <c r="AK125" s="25">
        <f>VLOOKUP(tblMeasure[[#This Row],[msr_min_geo_resolution]],strlu_msr_min_geo_resolution,2,FALSE)</f>
        <v>1</v>
      </c>
      <c r="AL125" s="25">
        <f>(MAX(tblMeasure[[#This Row],[src_year_last_published]]-2010+1,0)+MIN(2010-tblMeasure[[#This Row],[src_year_first_published]],0)-MAX(tblMeasure[[#This Row],[src_year_last_published]]-2019,0))/10</f>
        <v>1</v>
      </c>
      <c r="AM125" s="25">
        <f>IF(OR(tblMeasure[[#This Row],[src_discontinuity]]="None",tblMeasure[[#This Row],[src_discontinuity]]=0),1,0)</f>
        <v>0</v>
      </c>
      <c r="AN125" s="25">
        <f>VLOOKUP(tblMeasure[[#This Row],[src_pub_frequency]],strlu_src_pub_frequency,2,FALSE)</f>
        <v>0.8</v>
      </c>
      <c r="AO125" s="25">
        <f>VLOOKUP(tblMeasure[[#This Row],[src_pub_lag_months]],strlu_src_pub_lag_months,2,FALSE)</f>
        <v>0.7</v>
      </c>
      <c r="AP125" s="25">
        <f>VLOOKUP(tblMeasure[[#This Row],[src_statistic_class]],strlu_src_statistic_class,2,FALSE)</f>
        <v>1</v>
      </c>
      <c r="AQ125" s="25">
        <f>IF(tblMeasure[[#This Row],[src_methodology_url]]="TBD",0,1)</f>
        <v>1</v>
      </c>
      <c r="AR125" s="25">
        <f>IF(tblMeasure[[#This Row],[src_quality_url]]="TBD",0,1)</f>
        <v>0</v>
      </c>
      <c r="AS125" s="85" cm="1">
        <f t="array" ref="AS125">SUMPRODUCT(TRANSPOSE(tblMeasure[[#This Row],[str_msr_population_or_survey]:[str_src_quality_url]]),str_weights)/str_weights_total</f>
        <v>0.8307692307692307</v>
      </c>
    </row>
    <row r="126" spans="1:45" hidden="1" x14ac:dyDescent="0.15">
      <c r="A126" s="30">
        <v>124</v>
      </c>
      <c r="B126" s="15">
        <f>COUNTIF(requirement_measure_map!$D$3:$D$1514,measure!A126)</f>
        <v>1</v>
      </c>
      <c r="C126" s="30" t="s">
        <v>520</v>
      </c>
      <c r="D126" s="15" t="s">
        <v>578</v>
      </c>
      <c r="E126" s="15" t="s">
        <v>595</v>
      </c>
      <c r="F126" s="15" t="s">
        <v>596</v>
      </c>
      <c r="G126" s="29" t="s">
        <v>581</v>
      </c>
      <c r="H126" s="15"/>
      <c r="I126" s="15" t="s">
        <v>214</v>
      </c>
      <c r="J126" s="15" t="s">
        <v>215</v>
      </c>
      <c r="K126" s="15" t="s">
        <v>597</v>
      </c>
      <c r="L126" s="15" t="s">
        <v>217</v>
      </c>
      <c r="M126" s="15" t="s">
        <v>219</v>
      </c>
      <c r="N126" s="15" t="s">
        <v>219</v>
      </c>
      <c r="O126" s="15" t="s">
        <v>219</v>
      </c>
      <c r="P126" s="15" t="s">
        <v>219</v>
      </c>
      <c r="Q126" s="15" t="s">
        <v>219</v>
      </c>
      <c r="R126" s="15" t="s">
        <v>219</v>
      </c>
      <c r="S126" s="15" t="s">
        <v>219</v>
      </c>
      <c r="T126" s="15" t="s">
        <v>219</v>
      </c>
      <c r="U126" s="15" t="s">
        <v>219</v>
      </c>
      <c r="V126" s="15" t="s">
        <v>219</v>
      </c>
      <c r="W126" s="15">
        <v>5</v>
      </c>
      <c r="X126" s="15" t="str">
        <f>_xlfn.XLOOKUP(tblMeasure[[#This Row],[id_src]],tblSource[id_src],tblSource[org])</f>
        <v>NHS Digital</v>
      </c>
      <c r="Y126" s="25" t="str">
        <f>_xlfn.XLOOKUP(tblMeasure[[#This Row],[id_src]],tblSource[id_src],tblSource[source])</f>
        <v>Deprivation of Liberty Safeguards</v>
      </c>
      <c r="Z126" s="25" t="str">
        <f>_xlfn.XLOOKUP(tblMeasure[[#This Row],[id_src]],tblSource[id_src],tblSource[url_source])</f>
        <v>https://digital.nhs.uk/data-and-information/publications/statistical/mental-capacity-act-2005-deprivation-of-liberty-safeguards-assessments</v>
      </c>
      <c r="AA126" s="25">
        <f>_xlfn.XLOOKUP(tblMeasure[[#This Row],[id_src]],tblSource[id_src],tblSource[year_first_published])</f>
        <v>2010</v>
      </c>
      <c r="AB126" s="25">
        <f>_xlfn.XLOOKUP(tblMeasure[[#This Row],[id_src]],tblSource[id_src],tblSource[year_last_published])</f>
        <v>2019</v>
      </c>
      <c r="AC126" s="25">
        <f>_xlfn.XLOOKUP(tblMeasure[[#This Row],[id_src]],tblSource[id_src],tblSource[discontinuity])</f>
        <v>2017</v>
      </c>
      <c r="AD126" s="25" t="str">
        <f>_xlfn.XLOOKUP(tblMeasure[[#This Row],[id_src]],tblSource[id_src],tblSource[publication_frequency])</f>
        <v>Annual</v>
      </c>
      <c r="AE126" s="15">
        <f>_xlfn.XLOOKUP(tblMeasure[[#This Row],[id_src]],tblSource[id_src],tblSource[publication_lag_months])</f>
        <v>3</v>
      </c>
      <c r="AF126" s="25" t="str">
        <f>_xlfn.XLOOKUP(tblMeasure[[#This Row],[id_src]],tblSource[id_src],tblSource[data_providers])</f>
        <v>LA</v>
      </c>
      <c r="AG126" s="25" t="str">
        <f>_xlfn.XLOOKUP(tblMeasure[[#This Row],[id_src]],tblSource[id_src],tblSource[statistic_class])</f>
        <v>Official</v>
      </c>
      <c r="AH126" s="25" t="str">
        <f>_xlfn.XLOOKUP(tblMeasure[[#This Row],[id_src]],tblSource[id_src],tblSource[methodology_link])</f>
        <v>https://digital.nhs.uk/data-and-information/publications/statistical/mental-capacity-act-2005-deprivation-of-liberty-safeguards-assessments/england-2018-19/data-quality-statement</v>
      </c>
      <c r="AI126" s="25" t="str">
        <f>_xlfn.XLOOKUP(tblMeasure[[#This Row],[id_src]],tblSource[id_src],tblSource[quality_issues])</f>
        <v>TBD</v>
      </c>
      <c r="AJ126" s="25">
        <f>VLOOKUP(tblMeasure[[#This Row],[msr_population_or_survey]],strlu_msr_population_or_survey,2,FALSE)</f>
        <v>1</v>
      </c>
      <c r="AK126" s="25">
        <f>VLOOKUP(tblMeasure[[#This Row],[msr_min_geo_resolution]],strlu_msr_min_geo_resolution,2,FALSE)</f>
        <v>1</v>
      </c>
      <c r="AL126" s="25">
        <f>(MAX(tblMeasure[[#This Row],[src_year_last_published]]-2010+1,0)+MIN(2010-tblMeasure[[#This Row],[src_year_first_published]],0)-MAX(tblMeasure[[#This Row],[src_year_last_published]]-2019,0))/10</f>
        <v>1</v>
      </c>
      <c r="AM126" s="25">
        <f>IF(OR(tblMeasure[[#This Row],[src_discontinuity]]="None",tblMeasure[[#This Row],[src_discontinuity]]=0),1,0)</f>
        <v>0</v>
      </c>
      <c r="AN126" s="25">
        <f>VLOOKUP(tblMeasure[[#This Row],[src_pub_frequency]],strlu_src_pub_frequency,2,FALSE)</f>
        <v>0.8</v>
      </c>
      <c r="AO126" s="25">
        <f>VLOOKUP(tblMeasure[[#This Row],[src_pub_lag_months]],strlu_src_pub_lag_months,2,FALSE)</f>
        <v>0.7</v>
      </c>
      <c r="AP126" s="25">
        <f>VLOOKUP(tblMeasure[[#This Row],[src_statistic_class]],strlu_src_statistic_class,2,FALSE)</f>
        <v>1</v>
      </c>
      <c r="AQ126" s="25">
        <f>IF(tblMeasure[[#This Row],[src_methodology_url]]="TBD",0,1)</f>
        <v>1</v>
      </c>
      <c r="AR126" s="25">
        <f>IF(tblMeasure[[#This Row],[src_quality_url]]="TBD",0,1)</f>
        <v>0</v>
      </c>
      <c r="AS126" s="85" cm="1">
        <f t="array" ref="AS126">SUMPRODUCT(TRANSPOSE(tblMeasure[[#This Row],[str_msr_population_or_survey]:[str_src_quality_url]]),str_weights)/str_weights_total</f>
        <v>0.8307692307692307</v>
      </c>
    </row>
    <row r="127" spans="1:45" hidden="1" x14ac:dyDescent="0.15">
      <c r="A127" s="30">
        <v>125</v>
      </c>
      <c r="B127" s="15">
        <f>COUNTIF(requirement_measure_map!$D$3:$D$1514,measure!A127)</f>
        <v>1</v>
      </c>
      <c r="C127" s="30" t="s">
        <v>520</v>
      </c>
      <c r="D127" s="15" t="s">
        <v>578</v>
      </c>
      <c r="E127" s="15" t="s">
        <v>598</v>
      </c>
      <c r="F127" s="15" t="s">
        <v>599</v>
      </c>
      <c r="G127" s="29" t="s">
        <v>581</v>
      </c>
      <c r="H127" s="15"/>
      <c r="I127" s="15" t="s">
        <v>214</v>
      </c>
      <c r="J127" s="15" t="s">
        <v>215</v>
      </c>
      <c r="K127" s="15" t="s">
        <v>600</v>
      </c>
      <c r="L127" s="15" t="s">
        <v>217</v>
      </c>
      <c r="M127" s="15" t="s">
        <v>219</v>
      </c>
      <c r="N127" s="15" t="s">
        <v>219</v>
      </c>
      <c r="O127" s="15" t="s">
        <v>219</v>
      </c>
      <c r="P127" s="15" t="s">
        <v>219</v>
      </c>
      <c r="Q127" s="15" t="s">
        <v>219</v>
      </c>
      <c r="R127" s="15" t="s">
        <v>219</v>
      </c>
      <c r="S127" s="15" t="s">
        <v>219</v>
      </c>
      <c r="T127" s="15" t="s">
        <v>219</v>
      </c>
      <c r="U127" s="15" t="s">
        <v>219</v>
      </c>
      <c r="V127" s="15" t="s">
        <v>219</v>
      </c>
      <c r="W127" s="15">
        <v>5</v>
      </c>
      <c r="X127" s="15" t="str">
        <f>_xlfn.XLOOKUP(tblMeasure[[#This Row],[id_src]],tblSource[id_src],tblSource[org])</f>
        <v>NHS Digital</v>
      </c>
      <c r="Y127" s="25" t="str">
        <f>_xlfn.XLOOKUP(tblMeasure[[#This Row],[id_src]],tblSource[id_src],tblSource[source])</f>
        <v>Deprivation of Liberty Safeguards</v>
      </c>
      <c r="Z127" s="25" t="str">
        <f>_xlfn.XLOOKUP(tblMeasure[[#This Row],[id_src]],tblSource[id_src],tblSource[url_source])</f>
        <v>https://digital.nhs.uk/data-and-information/publications/statistical/mental-capacity-act-2005-deprivation-of-liberty-safeguards-assessments</v>
      </c>
      <c r="AA127" s="25">
        <f>_xlfn.XLOOKUP(tblMeasure[[#This Row],[id_src]],tblSource[id_src],tblSource[year_first_published])</f>
        <v>2010</v>
      </c>
      <c r="AB127" s="25">
        <f>_xlfn.XLOOKUP(tblMeasure[[#This Row],[id_src]],tblSource[id_src],tblSource[year_last_published])</f>
        <v>2019</v>
      </c>
      <c r="AC127" s="25">
        <f>_xlfn.XLOOKUP(tblMeasure[[#This Row],[id_src]],tblSource[id_src],tblSource[discontinuity])</f>
        <v>2017</v>
      </c>
      <c r="AD127" s="25" t="str">
        <f>_xlfn.XLOOKUP(tblMeasure[[#This Row],[id_src]],tblSource[id_src],tblSource[publication_frequency])</f>
        <v>Annual</v>
      </c>
      <c r="AE127" s="15">
        <f>_xlfn.XLOOKUP(tblMeasure[[#This Row],[id_src]],tblSource[id_src],tblSource[publication_lag_months])</f>
        <v>3</v>
      </c>
      <c r="AF127" s="25" t="str">
        <f>_xlfn.XLOOKUP(tblMeasure[[#This Row],[id_src]],tblSource[id_src],tblSource[data_providers])</f>
        <v>LA</v>
      </c>
      <c r="AG127" s="25" t="str">
        <f>_xlfn.XLOOKUP(tblMeasure[[#This Row],[id_src]],tblSource[id_src],tblSource[statistic_class])</f>
        <v>Official</v>
      </c>
      <c r="AH127" s="25" t="str">
        <f>_xlfn.XLOOKUP(tblMeasure[[#This Row],[id_src]],tblSource[id_src],tblSource[methodology_link])</f>
        <v>https://digital.nhs.uk/data-and-information/publications/statistical/mental-capacity-act-2005-deprivation-of-liberty-safeguards-assessments/england-2018-19/data-quality-statement</v>
      </c>
      <c r="AI127" s="25" t="str">
        <f>_xlfn.XLOOKUP(tblMeasure[[#This Row],[id_src]],tblSource[id_src],tblSource[quality_issues])</f>
        <v>TBD</v>
      </c>
      <c r="AJ127" s="25">
        <f>VLOOKUP(tblMeasure[[#This Row],[msr_population_or_survey]],strlu_msr_population_or_survey,2,FALSE)</f>
        <v>1</v>
      </c>
      <c r="AK127" s="25">
        <f>VLOOKUP(tblMeasure[[#This Row],[msr_min_geo_resolution]],strlu_msr_min_geo_resolution,2,FALSE)</f>
        <v>1</v>
      </c>
      <c r="AL127" s="25">
        <f>(MAX(tblMeasure[[#This Row],[src_year_last_published]]-2010+1,0)+MIN(2010-tblMeasure[[#This Row],[src_year_first_published]],0)-MAX(tblMeasure[[#This Row],[src_year_last_published]]-2019,0))/10</f>
        <v>1</v>
      </c>
      <c r="AM127" s="25">
        <f>IF(OR(tblMeasure[[#This Row],[src_discontinuity]]="None",tblMeasure[[#This Row],[src_discontinuity]]=0),1,0)</f>
        <v>0</v>
      </c>
      <c r="AN127" s="25">
        <f>VLOOKUP(tblMeasure[[#This Row],[src_pub_frequency]],strlu_src_pub_frequency,2,FALSE)</f>
        <v>0.8</v>
      </c>
      <c r="AO127" s="25">
        <f>VLOOKUP(tblMeasure[[#This Row],[src_pub_lag_months]],strlu_src_pub_lag_months,2,FALSE)</f>
        <v>0.7</v>
      </c>
      <c r="AP127" s="25">
        <f>VLOOKUP(tblMeasure[[#This Row],[src_statistic_class]],strlu_src_statistic_class,2,FALSE)</f>
        <v>1</v>
      </c>
      <c r="AQ127" s="25">
        <f>IF(tblMeasure[[#This Row],[src_methodology_url]]="TBD",0,1)</f>
        <v>1</v>
      </c>
      <c r="AR127" s="25">
        <f>IF(tblMeasure[[#This Row],[src_quality_url]]="TBD",0,1)</f>
        <v>0</v>
      </c>
      <c r="AS127" s="85" cm="1">
        <f t="array" ref="AS127">SUMPRODUCT(TRANSPOSE(tblMeasure[[#This Row],[str_msr_population_or_survey]:[str_src_quality_url]]),str_weights)/str_weights_total</f>
        <v>0.8307692307692307</v>
      </c>
    </row>
    <row r="128" spans="1:45" hidden="1" x14ac:dyDescent="0.15">
      <c r="A128" s="30">
        <v>126</v>
      </c>
      <c r="B128" s="15">
        <f>COUNTIF(requirement_measure_map!$D$3:$D$1514,measure!A128)</f>
        <v>2</v>
      </c>
      <c r="C128" s="30" t="s">
        <v>520</v>
      </c>
      <c r="D128" s="15" t="s">
        <v>578</v>
      </c>
      <c r="E128" s="15" t="s">
        <v>601</v>
      </c>
      <c r="F128" s="15" t="s">
        <v>602</v>
      </c>
      <c r="G128" s="29" t="s">
        <v>581</v>
      </c>
      <c r="H128" s="15"/>
      <c r="I128" s="15" t="s">
        <v>214</v>
      </c>
      <c r="J128" s="15" t="s">
        <v>215</v>
      </c>
      <c r="K128" s="15" t="s">
        <v>603</v>
      </c>
      <c r="L128" s="15" t="s">
        <v>217</v>
      </c>
      <c r="M128" s="15" t="s">
        <v>240</v>
      </c>
      <c r="N128" s="15" t="s">
        <v>219</v>
      </c>
      <c r="O128" s="15" t="s">
        <v>219</v>
      </c>
      <c r="P128" s="15" t="s">
        <v>219</v>
      </c>
      <c r="Q128" s="15" t="s">
        <v>219</v>
      </c>
      <c r="R128" s="15" t="s">
        <v>219</v>
      </c>
      <c r="S128" s="15" t="s">
        <v>219</v>
      </c>
      <c r="T128" s="15" t="s">
        <v>219</v>
      </c>
      <c r="U128" s="15" t="s">
        <v>219</v>
      </c>
      <c r="V128" s="15" t="s">
        <v>219</v>
      </c>
      <c r="W128" s="15">
        <v>5</v>
      </c>
      <c r="X128" s="15" t="str">
        <f>_xlfn.XLOOKUP(tblMeasure[[#This Row],[id_src]],tblSource[id_src],tblSource[org])</f>
        <v>NHS Digital</v>
      </c>
      <c r="Y128" s="25" t="str">
        <f>_xlfn.XLOOKUP(tblMeasure[[#This Row],[id_src]],tblSource[id_src],tblSource[source])</f>
        <v>Deprivation of Liberty Safeguards</v>
      </c>
      <c r="Z128" s="25" t="str">
        <f>_xlfn.XLOOKUP(tblMeasure[[#This Row],[id_src]],tblSource[id_src],tblSource[url_source])</f>
        <v>https://digital.nhs.uk/data-and-information/publications/statistical/mental-capacity-act-2005-deprivation-of-liberty-safeguards-assessments</v>
      </c>
      <c r="AA128" s="25">
        <f>_xlfn.XLOOKUP(tblMeasure[[#This Row],[id_src]],tblSource[id_src],tblSource[year_first_published])</f>
        <v>2010</v>
      </c>
      <c r="AB128" s="25">
        <f>_xlfn.XLOOKUP(tblMeasure[[#This Row],[id_src]],tblSource[id_src],tblSource[year_last_published])</f>
        <v>2019</v>
      </c>
      <c r="AC128" s="25">
        <f>_xlfn.XLOOKUP(tblMeasure[[#This Row],[id_src]],tblSource[id_src],tblSource[discontinuity])</f>
        <v>2017</v>
      </c>
      <c r="AD128" s="25" t="str">
        <f>_xlfn.XLOOKUP(tblMeasure[[#This Row],[id_src]],tblSource[id_src],tblSource[publication_frequency])</f>
        <v>Annual</v>
      </c>
      <c r="AE128" s="15">
        <f>_xlfn.XLOOKUP(tblMeasure[[#This Row],[id_src]],tblSource[id_src],tblSource[publication_lag_months])</f>
        <v>3</v>
      </c>
      <c r="AF128" s="25" t="str">
        <f>_xlfn.XLOOKUP(tblMeasure[[#This Row],[id_src]],tblSource[id_src],tblSource[data_providers])</f>
        <v>LA</v>
      </c>
      <c r="AG128" s="25" t="str">
        <f>_xlfn.XLOOKUP(tblMeasure[[#This Row],[id_src]],tblSource[id_src],tblSource[statistic_class])</f>
        <v>Official</v>
      </c>
      <c r="AH128" s="25" t="str">
        <f>_xlfn.XLOOKUP(tblMeasure[[#This Row],[id_src]],tblSource[id_src],tblSource[methodology_link])</f>
        <v>https://digital.nhs.uk/data-and-information/publications/statistical/mental-capacity-act-2005-deprivation-of-liberty-safeguards-assessments/england-2018-19/data-quality-statement</v>
      </c>
      <c r="AI128" s="25" t="str">
        <f>_xlfn.XLOOKUP(tblMeasure[[#This Row],[id_src]],tblSource[id_src],tblSource[quality_issues])</f>
        <v>TBD</v>
      </c>
      <c r="AJ128" s="25">
        <f>VLOOKUP(tblMeasure[[#This Row],[msr_population_or_survey]],strlu_msr_population_or_survey,2,FALSE)</f>
        <v>1</v>
      </c>
      <c r="AK128" s="25">
        <f>VLOOKUP(tblMeasure[[#This Row],[msr_min_geo_resolution]],strlu_msr_min_geo_resolution,2,FALSE)</f>
        <v>1</v>
      </c>
      <c r="AL128" s="25">
        <f>(MAX(tblMeasure[[#This Row],[src_year_last_published]]-2010+1,0)+MIN(2010-tblMeasure[[#This Row],[src_year_first_published]],0)-MAX(tblMeasure[[#This Row],[src_year_last_published]]-2019,0))/10</f>
        <v>1</v>
      </c>
      <c r="AM128" s="25">
        <f>IF(OR(tblMeasure[[#This Row],[src_discontinuity]]="None",tblMeasure[[#This Row],[src_discontinuity]]=0),1,0)</f>
        <v>0</v>
      </c>
      <c r="AN128" s="25">
        <f>VLOOKUP(tblMeasure[[#This Row],[src_pub_frequency]],strlu_src_pub_frequency,2,FALSE)</f>
        <v>0.8</v>
      </c>
      <c r="AO128" s="25">
        <f>VLOOKUP(tblMeasure[[#This Row],[src_pub_lag_months]],strlu_src_pub_lag_months,2,FALSE)</f>
        <v>0.7</v>
      </c>
      <c r="AP128" s="25">
        <f>VLOOKUP(tblMeasure[[#This Row],[src_statistic_class]],strlu_src_statistic_class,2,FALSE)</f>
        <v>1</v>
      </c>
      <c r="AQ128" s="25">
        <f>IF(tblMeasure[[#This Row],[src_methodology_url]]="TBD",0,1)</f>
        <v>1</v>
      </c>
      <c r="AR128" s="25">
        <f>IF(tblMeasure[[#This Row],[src_quality_url]]="TBD",0,1)</f>
        <v>0</v>
      </c>
      <c r="AS128" s="85" cm="1">
        <f t="array" ref="AS128">SUMPRODUCT(TRANSPOSE(tblMeasure[[#This Row],[str_msr_population_or_survey]:[str_src_quality_url]]),str_weights)/str_weights_total</f>
        <v>0.8307692307692307</v>
      </c>
    </row>
    <row r="129" spans="1:45" hidden="1" x14ac:dyDescent="0.15">
      <c r="A129" s="30">
        <v>127</v>
      </c>
      <c r="B129" s="15">
        <f>COUNTIF(requirement_measure_map!$D$3:$D$1514,measure!A129)</f>
        <v>4</v>
      </c>
      <c r="C129" s="30" t="s">
        <v>520</v>
      </c>
      <c r="D129" s="15" t="s">
        <v>578</v>
      </c>
      <c r="E129" s="15" t="s">
        <v>604</v>
      </c>
      <c r="F129" s="15" t="s">
        <v>605</v>
      </c>
      <c r="G129" s="29" t="s">
        <v>581</v>
      </c>
      <c r="H129" s="15"/>
      <c r="I129" s="15" t="s">
        <v>214</v>
      </c>
      <c r="J129" s="15" t="s">
        <v>215</v>
      </c>
      <c r="K129" s="15" t="s">
        <v>606</v>
      </c>
      <c r="L129" s="15" t="s">
        <v>217</v>
      </c>
      <c r="M129" s="15" t="s">
        <v>219</v>
      </c>
      <c r="N129" s="15" t="s">
        <v>219</v>
      </c>
      <c r="O129" s="15" t="s">
        <v>219</v>
      </c>
      <c r="P129" s="15" t="s">
        <v>219</v>
      </c>
      <c r="Q129" s="15" t="s">
        <v>219</v>
      </c>
      <c r="R129" s="15" t="s">
        <v>219</v>
      </c>
      <c r="S129" s="15" t="s">
        <v>219</v>
      </c>
      <c r="T129" s="15" t="s">
        <v>219</v>
      </c>
      <c r="U129" s="15" t="s">
        <v>243</v>
      </c>
      <c r="V129" s="15" t="s">
        <v>219</v>
      </c>
      <c r="W129" s="15">
        <v>5</v>
      </c>
      <c r="X129" s="15" t="str">
        <f>_xlfn.XLOOKUP(tblMeasure[[#This Row],[id_src]],tblSource[id_src],tblSource[org])</f>
        <v>NHS Digital</v>
      </c>
      <c r="Y129" s="25" t="str">
        <f>_xlfn.XLOOKUP(tblMeasure[[#This Row],[id_src]],tblSource[id_src],tblSource[source])</f>
        <v>Deprivation of Liberty Safeguards</v>
      </c>
      <c r="Z129" s="25" t="str">
        <f>_xlfn.XLOOKUP(tblMeasure[[#This Row],[id_src]],tblSource[id_src],tblSource[url_source])</f>
        <v>https://digital.nhs.uk/data-and-information/publications/statistical/mental-capacity-act-2005-deprivation-of-liberty-safeguards-assessments</v>
      </c>
      <c r="AA129" s="25">
        <f>_xlfn.XLOOKUP(tblMeasure[[#This Row],[id_src]],tblSource[id_src],tblSource[year_first_published])</f>
        <v>2010</v>
      </c>
      <c r="AB129" s="25">
        <f>_xlfn.XLOOKUP(tblMeasure[[#This Row],[id_src]],tblSource[id_src],tblSource[year_last_published])</f>
        <v>2019</v>
      </c>
      <c r="AC129" s="25">
        <f>_xlfn.XLOOKUP(tblMeasure[[#This Row],[id_src]],tblSource[id_src],tblSource[discontinuity])</f>
        <v>2017</v>
      </c>
      <c r="AD129" s="25" t="str">
        <f>_xlfn.XLOOKUP(tblMeasure[[#This Row],[id_src]],tblSource[id_src],tblSource[publication_frequency])</f>
        <v>Annual</v>
      </c>
      <c r="AE129" s="15">
        <f>_xlfn.XLOOKUP(tblMeasure[[#This Row],[id_src]],tblSource[id_src],tblSource[publication_lag_months])</f>
        <v>3</v>
      </c>
      <c r="AF129" s="25" t="str">
        <f>_xlfn.XLOOKUP(tblMeasure[[#This Row],[id_src]],tblSource[id_src],tblSource[data_providers])</f>
        <v>LA</v>
      </c>
      <c r="AG129" s="25" t="str">
        <f>_xlfn.XLOOKUP(tblMeasure[[#This Row],[id_src]],tblSource[id_src],tblSource[statistic_class])</f>
        <v>Official</v>
      </c>
      <c r="AH129" s="25" t="str">
        <f>_xlfn.XLOOKUP(tblMeasure[[#This Row],[id_src]],tblSource[id_src],tblSource[methodology_link])</f>
        <v>https://digital.nhs.uk/data-and-information/publications/statistical/mental-capacity-act-2005-deprivation-of-liberty-safeguards-assessments/england-2018-19/data-quality-statement</v>
      </c>
      <c r="AI129" s="25" t="str">
        <f>_xlfn.XLOOKUP(tblMeasure[[#This Row],[id_src]],tblSource[id_src],tblSource[quality_issues])</f>
        <v>TBD</v>
      </c>
      <c r="AJ129" s="25">
        <f>VLOOKUP(tblMeasure[[#This Row],[msr_population_or_survey]],strlu_msr_population_or_survey,2,FALSE)</f>
        <v>1</v>
      </c>
      <c r="AK129" s="25">
        <f>VLOOKUP(tblMeasure[[#This Row],[msr_min_geo_resolution]],strlu_msr_min_geo_resolution,2,FALSE)</f>
        <v>1</v>
      </c>
      <c r="AL129" s="25">
        <f>(MAX(tblMeasure[[#This Row],[src_year_last_published]]-2010+1,0)+MIN(2010-tblMeasure[[#This Row],[src_year_first_published]],0)-MAX(tblMeasure[[#This Row],[src_year_last_published]]-2019,0))/10</f>
        <v>1</v>
      </c>
      <c r="AM129" s="25">
        <f>IF(OR(tblMeasure[[#This Row],[src_discontinuity]]="None",tblMeasure[[#This Row],[src_discontinuity]]=0),1,0)</f>
        <v>0</v>
      </c>
      <c r="AN129" s="25">
        <f>VLOOKUP(tblMeasure[[#This Row],[src_pub_frequency]],strlu_src_pub_frequency,2,FALSE)</f>
        <v>0.8</v>
      </c>
      <c r="AO129" s="25">
        <f>VLOOKUP(tblMeasure[[#This Row],[src_pub_lag_months]],strlu_src_pub_lag_months,2,FALSE)</f>
        <v>0.7</v>
      </c>
      <c r="AP129" s="25">
        <f>VLOOKUP(tblMeasure[[#This Row],[src_statistic_class]],strlu_src_statistic_class,2,FALSE)</f>
        <v>1</v>
      </c>
      <c r="AQ129" s="25">
        <f>IF(tblMeasure[[#This Row],[src_methodology_url]]="TBD",0,1)</f>
        <v>1</v>
      </c>
      <c r="AR129" s="25">
        <f>IF(tblMeasure[[#This Row],[src_quality_url]]="TBD",0,1)</f>
        <v>0</v>
      </c>
      <c r="AS129" s="85" cm="1">
        <f t="array" ref="AS129">SUMPRODUCT(TRANSPOSE(tblMeasure[[#This Row],[str_msr_population_or_survey]:[str_src_quality_url]]),str_weights)/str_weights_total</f>
        <v>0.8307692307692307</v>
      </c>
    </row>
    <row r="130" spans="1:45" hidden="1" x14ac:dyDescent="0.15">
      <c r="A130" s="30">
        <v>128</v>
      </c>
      <c r="B130" s="15">
        <f>COUNTIF(requirement_measure_map!$D$3:$D$1514,measure!A130)</f>
        <v>5</v>
      </c>
      <c r="C130" s="30" t="s">
        <v>520</v>
      </c>
      <c r="D130" s="15" t="s">
        <v>74</v>
      </c>
      <c r="E130" s="15" t="s">
        <v>579</v>
      </c>
      <c r="F130" s="15" t="s">
        <v>607</v>
      </c>
      <c r="G130" s="29" t="s">
        <v>608</v>
      </c>
      <c r="H130" s="15"/>
      <c r="I130" s="15" t="s">
        <v>214</v>
      </c>
      <c r="J130" s="15" t="s">
        <v>215</v>
      </c>
      <c r="K130" s="15" t="s">
        <v>609</v>
      </c>
      <c r="L130" s="15" t="s">
        <v>217</v>
      </c>
      <c r="M130" s="15" t="s">
        <v>240</v>
      </c>
      <c r="N130" s="15" t="s">
        <v>267</v>
      </c>
      <c r="O130" s="15" t="s">
        <v>219</v>
      </c>
      <c r="P130" s="15" t="s">
        <v>219</v>
      </c>
      <c r="Q130" s="15" t="s">
        <v>219</v>
      </c>
      <c r="R130" s="15" t="s">
        <v>219</v>
      </c>
      <c r="S130" s="15" t="s">
        <v>219</v>
      </c>
      <c r="T130" s="15" t="s">
        <v>219</v>
      </c>
      <c r="U130" s="15" t="s">
        <v>219</v>
      </c>
      <c r="V130" s="15" t="s">
        <v>219</v>
      </c>
      <c r="W130" s="15">
        <v>5</v>
      </c>
      <c r="X130" s="15" t="str">
        <f>_xlfn.XLOOKUP(tblMeasure[[#This Row],[id_src]],tblSource[id_src],tblSource[org])</f>
        <v>NHS Digital</v>
      </c>
      <c r="Y130" s="15" t="str">
        <f>_xlfn.XLOOKUP(tblMeasure[[#This Row],[id_src]],tblSource[id_src],tblSource[source])</f>
        <v>Deprivation of Liberty Safeguards</v>
      </c>
      <c r="Z130" s="15" t="str">
        <f>_xlfn.XLOOKUP(tblMeasure[[#This Row],[id_src]],tblSource[id_src],tblSource[url_source])</f>
        <v>https://digital.nhs.uk/data-and-information/publications/statistical/mental-capacity-act-2005-deprivation-of-liberty-safeguards-assessments</v>
      </c>
      <c r="AA130" s="15">
        <f>_xlfn.XLOOKUP(tblMeasure[[#This Row],[id_src]],tblSource[id_src],tblSource[year_first_published])</f>
        <v>2010</v>
      </c>
      <c r="AB130" s="15">
        <f>_xlfn.XLOOKUP(tblMeasure[[#This Row],[id_src]],tblSource[id_src],tblSource[year_last_published])</f>
        <v>2019</v>
      </c>
      <c r="AC130" s="15">
        <f>_xlfn.XLOOKUP(tblMeasure[[#This Row],[id_src]],tblSource[id_src],tblSource[discontinuity])</f>
        <v>2017</v>
      </c>
      <c r="AD130" s="15" t="str">
        <f>_xlfn.XLOOKUP(tblMeasure[[#This Row],[id_src]],tblSource[id_src],tblSource[publication_frequency])</f>
        <v>Annual</v>
      </c>
      <c r="AE130" s="15">
        <f>_xlfn.XLOOKUP(tblMeasure[[#This Row],[id_src]],tblSource[id_src],tblSource[publication_lag_months])</f>
        <v>3</v>
      </c>
      <c r="AF130" s="25" t="str">
        <f>_xlfn.XLOOKUP(tblMeasure[[#This Row],[id_src]],tblSource[id_src],tblSource[data_providers])</f>
        <v>LA</v>
      </c>
      <c r="AG130" s="25" t="str">
        <f>_xlfn.XLOOKUP(tblMeasure[[#This Row],[id_src]],tblSource[id_src],tblSource[statistic_class])</f>
        <v>Official</v>
      </c>
      <c r="AH130" s="25" t="str">
        <f>_xlfn.XLOOKUP(tblMeasure[[#This Row],[id_src]],tblSource[id_src],tblSource[methodology_link])</f>
        <v>https://digital.nhs.uk/data-and-information/publications/statistical/mental-capacity-act-2005-deprivation-of-liberty-safeguards-assessments/england-2018-19/data-quality-statement</v>
      </c>
      <c r="AI130" s="25" t="str">
        <f>_xlfn.XLOOKUP(tblMeasure[[#This Row],[id_src]],tblSource[id_src],tblSource[quality_issues])</f>
        <v>TBD</v>
      </c>
      <c r="AJ130" s="25">
        <f>VLOOKUP(tblMeasure[[#This Row],[msr_population_or_survey]],strlu_msr_population_or_survey,2,FALSE)</f>
        <v>1</v>
      </c>
      <c r="AK130" s="25">
        <f>VLOOKUP(tblMeasure[[#This Row],[msr_min_geo_resolution]],strlu_msr_min_geo_resolution,2,FALSE)</f>
        <v>1</v>
      </c>
      <c r="AL130" s="25">
        <f>(MAX(tblMeasure[[#This Row],[src_year_last_published]]-2010+1,0)+MIN(2010-tblMeasure[[#This Row],[src_year_first_published]],0)-MAX(tblMeasure[[#This Row],[src_year_last_published]]-2019,0))/10</f>
        <v>1</v>
      </c>
      <c r="AM130" s="25">
        <f>IF(OR(tblMeasure[[#This Row],[src_discontinuity]]="None",tblMeasure[[#This Row],[src_discontinuity]]=0),1,0)</f>
        <v>0</v>
      </c>
      <c r="AN130" s="25">
        <f>VLOOKUP(tblMeasure[[#This Row],[src_pub_frequency]],strlu_src_pub_frequency,2,FALSE)</f>
        <v>0.8</v>
      </c>
      <c r="AO130" s="25">
        <f>VLOOKUP(tblMeasure[[#This Row],[src_pub_lag_months]],strlu_src_pub_lag_months,2,FALSE)</f>
        <v>0.7</v>
      </c>
      <c r="AP130" s="25">
        <f>VLOOKUP(tblMeasure[[#This Row],[src_statistic_class]],strlu_src_statistic_class,2,FALSE)</f>
        <v>1</v>
      </c>
      <c r="AQ130" s="25">
        <f>IF(tblMeasure[[#This Row],[src_methodology_url]]="TBD",0,1)</f>
        <v>1</v>
      </c>
      <c r="AR130" s="25">
        <f>IF(tblMeasure[[#This Row],[src_quality_url]]="TBD",0,1)</f>
        <v>0</v>
      </c>
      <c r="AS130" s="85" cm="1">
        <f t="array" ref="AS130">SUMPRODUCT(TRANSPOSE(tblMeasure[[#This Row],[str_msr_population_or_survey]:[str_src_quality_url]]),str_weights)/str_weights_total</f>
        <v>0.8307692307692307</v>
      </c>
    </row>
    <row r="131" spans="1:45" hidden="1" x14ac:dyDescent="0.15">
      <c r="A131" s="30">
        <v>129</v>
      </c>
      <c r="B131" s="15">
        <f>COUNTIF(requirement_measure_map!$D$3:$D$1514,measure!A131)</f>
        <v>0</v>
      </c>
      <c r="C131" s="30" t="s">
        <v>610</v>
      </c>
      <c r="D131" s="15" t="s">
        <v>74</v>
      </c>
      <c r="E131" s="15" t="s">
        <v>583</v>
      </c>
      <c r="F131" s="15" t="s">
        <v>611</v>
      </c>
      <c r="G131" s="29" t="s">
        <v>608</v>
      </c>
      <c r="H131" s="15"/>
      <c r="I131" s="15" t="s">
        <v>214</v>
      </c>
      <c r="J131" s="15" t="s">
        <v>215</v>
      </c>
      <c r="K131" s="15" t="s">
        <v>609</v>
      </c>
      <c r="L131" s="15" t="s">
        <v>217</v>
      </c>
      <c r="M131" s="15" t="s">
        <v>240</v>
      </c>
      <c r="N131" s="15" t="s">
        <v>219</v>
      </c>
      <c r="O131" s="15" t="s">
        <v>219</v>
      </c>
      <c r="P131" s="15" t="s">
        <v>219</v>
      </c>
      <c r="Q131" s="15" t="s">
        <v>219</v>
      </c>
      <c r="R131" s="15" t="s">
        <v>219</v>
      </c>
      <c r="S131" s="15" t="s">
        <v>219</v>
      </c>
      <c r="T131" s="15" t="s">
        <v>219</v>
      </c>
      <c r="U131" s="15" t="s">
        <v>219</v>
      </c>
      <c r="V131" s="15" t="s">
        <v>219</v>
      </c>
      <c r="W131" s="15">
        <v>5</v>
      </c>
      <c r="X131" s="15" t="str">
        <f>_xlfn.XLOOKUP(tblMeasure[[#This Row],[id_src]],tblSource[id_src],tblSource[org])</f>
        <v>NHS Digital</v>
      </c>
      <c r="Y131" s="15" t="str">
        <f>_xlfn.XLOOKUP(tblMeasure[[#This Row],[id_src]],tblSource[id_src],tblSource[source])</f>
        <v>Deprivation of Liberty Safeguards</v>
      </c>
      <c r="Z131" s="15" t="str">
        <f>_xlfn.XLOOKUP(tblMeasure[[#This Row],[id_src]],tblSource[id_src],tblSource[url_source])</f>
        <v>https://digital.nhs.uk/data-and-information/publications/statistical/mental-capacity-act-2005-deprivation-of-liberty-safeguards-assessments</v>
      </c>
      <c r="AA131" s="15">
        <f>_xlfn.XLOOKUP(tblMeasure[[#This Row],[id_src]],tblSource[id_src],tblSource[year_first_published])</f>
        <v>2010</v>
      </c>
      <c r="AB131" s="15">
        <f>_xlfn.XLOOKUP(tblMeasure[[#This Row],[id_src]],tblSource[id_src],tblSource[year_last_published])</f>
        <v>2019</v>
      </c>
      <c r="AC131" s="15">
        <f>_xlfn.XLOOKUP(tblMeasure[[#This Row],[id_src]],tblSource[id_src],tblSource[discontinuity])</f>
        <v>2017</v>
      </c>
      <c r="AD131" s="15" t="str">
        <f>_xlfn.XLOOKUP(tblMeasure[[#This Row],[id_src]],tblSource[id_src],tblSource[publication_frequency])</f>
        <v>Annual</v>
      </c>
      <c r="AE131" s="15">
        <f>_xlfn.XLOOKUP(tblMeasure[[#This Row],[id_src]],tblSource[id_src],tblSource[publication_lag_months])</f>
        <v>3</v>
      </c>
      <c r="AF131" s="25" t="str">
        <f>_xlfn.XLOOKUP(tblMeasure[[#This Row],[id_src]],tblSource[id_src],tblSource[data_providers])</f>
        <v>LA</v>
      </c>
      <c r="AG131" s="25" t="str">
        <f>_xlfn.XLOOKUP(tblMeasure[[#This Row],[id_src]],tblSource[id_src],tblSource[statistic_class])</f>
        <v>Official</v>
      </c>
      <c r="AH131" s="25" t="str">
        <f>_xlfn.XLOOKUP(tblMeasure[[#This Row],[id_src]],tblSource[id_src],tblSource[methodology_link])</f>
        <v>https://digital.nhs.uk/data-and-information/publications/statistical/mental-capacity-act-2005-deprivation-of-liberty-safeguards-assessments/england-2018-19/data-quality-statement</v>
      </c>
      <c r="AI131" s="25" t="str">
        <f>_xlfn.XLOOKUP(tblMeasure[[#This Row],[id_src]],tblSource[id_src],tblSource[quality_issues])</f>
        <v>TBD</v>
      </c>
      <c r="AJ131" s="25">
        <f>VLOOKUP(tblMeasure[[#This Row],[msr_population_or_survey]],strlu_msr_population_or_survey,2,FALSE)</f>
        <v>1</v>
      </c>
      <c r="AK131" s="25">
        <f>VLOOKUP(tblMeasure[[#This Row],[msr_min_geo_resolution]],strlu_msr_min_geo_resolution,2,FALSE)</f>
        <v>1</v>
      </c>
      <c r="AL131" s="25">
        <f>(MAX(tblMeasure[[#This Row],[src_year_last_published]]-2010+1,0)+MIN(2010-tblMeasure[[#This Row],[src_year_first_published]],0)-MAX(tblMeasure[[#This Row],[src_year_last_published]]-2019,0))/10</f>
        <v>1</v>
      </c>
      <c r="AM131" s="25">
        <f>IF(OR(tblMeasure[[#This Row],[src_discontinuity]]="None",tblMeasure[[#This Row],[src_discontinuity]]=0),1,0)</f>
        <v>0</v>
      </c>
      <c r="AN131" s="25">
        <f>VLOOKUP(tblMeasure[[#This Row],[src_pub_frequency]],strlu_src_pub_frequency,2,FALSE)</f>
        <v>0.8</v>
      </c>
      <c r="AO131" s="25">
        <f>VLOOKUP(tblMeasure[[#This Row],[src_pub_lag_months]],strlu_src_pub_lag_months,2,FALSE)</f>
        <v>0.7</v>
      </c>
      <c r="AP131" s="25">
        <f>VLOOKUP(tblMeasure[[#This Row],[src_statistic_class]],strlu_src_statistic_class,2,FALSE)</f>
        <v>1</v>
      </c>
      <c r="AQ131" s="25">
        <f>IF(tblMeasure[[#This Row],[src_methodology_url]]="TBD",0,1)</f>
        <v>1</v>
      </c>
      <c r="AR131" s="25">
        <f>IF(tblMeasure[[#This Row],[src_quality_url]]="TBD",0,1)</f>
        <v>0</v>
      </c>
      <c r="AS131" s="85" cm="1">
        <f t="array" ref="AS131">SUMPRODUCT(TRANSPOSE(tblMeasure[[#This Row],[str_msr_population_or_survey]:[str_src_quality_url]]),str_weights)/str_weights_total</f>
        <v>0.8307692307692307</v>
      </c>
    </row>
    <row r="132" spans="1:45" hidden="1" x14ac:dyDescent="0.15">
      <c r="A132" s="30">
        <v>130</v>
      </c>
      <c r="B132" s="15">
        <f>COUNTIF(requirement_measure_map!$D$3:$D$1514,measure!A132)</f>
        <v>1</v>
      </c>
      <c r="C132" s="30" t="s">
        <v>520</v>
      </c>
      <c r="D132" s="15" t="s">
        <v>612</v>
      </c>
      <c r="E132" s="15" t="s">
        <v>579</v>
      </c>
      <c r="F132" s="15" t="s">
        <v>613</v>
      </c>
      <c r="G132" s="29" t="s">
        <v>614</v>
      </c>
      <c r="H132" s="15"/>
      <c r="I132" s="15" t="s">
        <v>214</v>
      </c>
      <c r="J132" s="15" t="s">
        <v>215</v>
      </c>
      <c r="K132" s="15" t="s">
        <v>615</v>
      </c>
      <c r="L132" s="15" t="s">
        <v>217</v>
      </c>
      <c r="M132" s="15" t="s">
        <v>219</v>
      </c>
      <c r="N132" s="15" t="s">
        <v>219</v>
      </c>
      <c r="O132" s="15" t="s">
        <v>219</v>
      </c>
      <c r="P132" s="15" t="s">
        <v>219</v>
      </c>
      <c r="Q132" s="15" t="s">
        <v>219</v>
      </c>
      <c r="R132" s="15" t="s">
        <v>219</v>
      </c>
      <c r="S132" s="15" t="s">
        <v>219</v>
      </c>
      <c r="T132" s="15" t="s">
        <v>219</v>
      </c>
      <c r="U132" s="15" t="s">
        <v>219</v>
      </c>
      <c r="V132" s="15" t="s">
        <v>219</v>
      </c>
      <c r="W132" s="15">
        <v>5</v>
      </c>
      <c r="X132" s="15" t="str">
        <f>_xlfn.XLOOKUP(tblMeasure[[#This Row],[id_src]],tblSource[id_src],tblSource[org])</f>
        <v>NHS Digital</v>
      </c>
      <c r="Y132" s="15" t="str">
        <f>_xlfn.XLOOKUP(tblMeasure[[#This Row],[id_src]],tblSource[id_src],tblSource[source])</f>
        <v>Deprivation of Liberty Safeguards</v>
      </c>
      <c r="Z132" s="15" t="str">
        <f>_xlfn.XLOOKUP(tblMeasure[[#This Row],[id_src]],tblSource[id_src],tblSource[url_source])</f>
        <v>https://digital.nhs.uk/data-and-information/publications/statistical/mental-capacity-act-2005-deprivation-of-liberty-safeguards-assessments</v>
      </c>
      <c r="AA132" s="15">
        <f>_xlfn.XLOOKUP(tblMeasure[[#This Row],[id_src]],tblSource[id_src],tblSource[year_first_published])</f>
        <v>2010</v>
      </c>
      <c r="AB132" s="15">
        <f>_xlfn.XLOOKUP(tblMeasure[[#This Row],[id_src]],tblSource[id_src],tblSource[year_last_published])</f>
        <v>2019</v>
      </c>
      <c r="AC132" s="15">
        <f>_xlfn.XLOOKUP(tblMeasure[[#This Row],[id_src]],tblSource[id_src],tblSource[discontinuity])</f>
        <v>2017</v>
      </c>
      <c r="AD132" s="15" t="str">
        <f>_xlfn.XLOOKUP(tblMeasure[[#This Row],[id_src]],tblSource[id_src],tblSource[publication_frequency])</f>
        <v>Annual</v>
      </c>
      <c r="AE132" s="15">
        <f>_xlfn.XLOOKUP(tblMeasure[[#This Row],[id_src]],tblSource[id_src],tblSource[publication_lag_months])</f>
        <v>3</v>
      </c>
      <c r="AF132" s="25" t="str">
        <f>_xlfn.XLOOKUP(tblMeasure[[#This Row],[id_src]],tblSource[id_src],tblSource[data_providers])</f>
        <v>LA</v>
      </c>
      <c r="AG132" s="25" t="str">
        <f>_xlfn.XLOOKUP(tblMeasure[[#This Row],[id_src]],tblSource[id_src],tblSource[statistic_class])</f>
        <v>Official</v>
      </c>
      <c r="AH132" s="25" t="str">
        <f>_xlfn.XLOOKUP(tblMeasure[[#This Row],[id_src]],tblSource[id_src],tblSource[methodology_link])</f>
        <v>https://digital.nhs.uk/data-and-information/publications/statistical/mental-capacity-act-2005-deprivation-of-liberty-safeguards-assessments/england-2018-19/data-quality-statement</v>
      </c>
      <c r="AI132" s="25" t="str">
        <f>_xlfn.XLOOKUP(tblMeasure[[#This Row],[id_src]],tblSource[id_src],tblSource[quality_issues])</f>
        <v>TBD</v>
      </c>
      <c r="AJ132" s="25">
        <f>VLOOKUP(tblMeasure[[#This Row],[msr_population_or_survey]],strlu_msr_population_or_survey,2,FALSE)</f>
        <v>1</v>
      </c>
      <c r="AK132" s="25">
        <f>VLOOKUP(tblMeasure[[#This Row],[msr_min_geo_resolution]],strlu_msr_min_geo_resolution,2,FALSE)</f>
        <v>1</v>
      </c>
      <c r="AL132" s="25">
        <f>(MAX(tblMeasure[[#This Row],[src_year_last_published]]-2010+1,0)+MIN(2010-tblMeasure[[#This Row],[src_year_first_published]],0)-MAX(tblMeasure[[#This Row],[src_year_last_published]]-2019,0))/10</f>
        <v>1</v>
      </c>
      <c r="AM132" s="25">
        <f>IF(OR(tblMeasure[[#This Row],[src_discontinuity]]="None",tblMeasure[[#This Row],[src_discontinuity]]=0),1,0)</f>
        <v>0</v>
      </c>
      <c r="AN132" s="25">
        <f>VLOOKUP(tblMeasure[[#This Row],[src_pub_frequency]],strlu_src_pub_frequency,2,FALSE)</f>
        <v>0.8</v>
      </c>
      <c r="AO132" s="25">
        <f>VLOOKUP(tblMeasure[[#This Row],[src_pub_lag_months]],strlu_src_pub_lag_months,2,FALSE)</f>
        <v>0.7</v>
      </c>
      <c r="AP132" s="25">
        <f>VLOOKUP(tblMeasure[[#This Row],[src_statistic_class]],strlu_src_statistic_class,2,FALSE)</f>
        <v>1</v>
      </c>
      <c r="AQ132" s="25">
        <f>IF(tblMeasure[[#This Row],[src_methodology_url]]="TBD",0,1)</f>
        <v>1</v>
      </c>
      <c r="AR132" s="25">
        <f>IF(tblMeasure[[#This Row],[src_quality_url]]="TBD",0,1)</f>
        <v>0</v>
      </c>
      <c r="AS132" s="85" cm="1">
        <f t="array" ref="AS132">SUMPRODUCT(TRANSPOSE(tblMeasure[[#This Row],[str_msr_population_or_survey]:[str_src_quality_url]]),str_weights)/str_weights_total</f>
        <v>0.8307692307692307</v>
      </c>
    </row>
    <row r="133" spans="1:45" x14ac:dyDescent="0.15">
      <c r="A133" s="30">
        <v>131</v>
      </c>
      <c r="B133" s="15">
        <f>COUNTIF(requirement_measure_map!$D$3:$D$1514,measure!A133)</f>
        <v>1</v>
      </c>
      <c r="C133" s="30" t="s">
        <v>520</v>
      </c>
      <c r="D133" s="15" t="s">
        <v>612</v>
      </c>
      <c r="E133" s="15" t="s">
        <v>583</v>
      </c>
      <c r="F133" s="15" t="s">
        <v>616</v>
      </c>
      <c r="G133" s="29" t="s">
        <v>614</v>
      </c>
      <c r="H133" s="15"/>
      <c r="I133" s="15" t="s">
        <v>214</v>
      </c>
      <c r="J133" s="15" t="s">
        <v>215</v>
      </c>
      <c r="K133" s="15" t="s">
        <v>617</v>
      </c>
      <c r="L133" s="15" t="s">
        <v>217</v>
      </c>
      <c r="M133" s="15" t="s">
        <v>219</v>
      </c>
      <c r="N133" s="15" t="s">
        <v>219</v>
      </c>
      <c r="O133" s="15" t="s">
        <v>219</v>
      </c>
      <c r="P133" s="15" t="s">
        <v>219</v>
      </c>
      <c r="Q133" s="15" t="s">
        <v>219</v>
      </c>
      <c r="R133" s="15" t="s">
        <v>219</v>
      </c>
      <c r="S133" s="15" t="s">
        <v>219</v>
      </c>
      <c r="T133" s="15" t="s">
        <v>219</v>
      </c>
      <c r="U133" s="15" t="s">
        <v>219</v>
      </c>
      <c r="V133" s="15" t="s">
        <v>219</v>
      </c>
      <c r="W133" s="15">
        <v>5</v>
      </c>
      <c r="X133" s="15" t="str">
        <f>_xlfn.XLOOKUP(tblMeasure[[#This Row],[id_src]],tblSource[id_src],tblSource[org])</f>
        <v>NHS Digital</v>
      </c>
      <c r="Y133" s="15" t="str">
        <f>_xlfn.XLOOKUP(tblMeasure[[#This Row],[id_src]],tblSource[id_src],tblSource[source])</f>
        <v>Deprivation of Liberty Safeguards</v>
      </c>
      <c r="Z133" s="15" t="str">
        <f>_xlfn.XLOOKUP(tblMeasure[[#This Row],[id_src]],tblSource[id_src],tblSource[url_source])</f>
        <v>https://digital.nhs.uk/data-and-information/publications/statistical/mental-capacity-act-2005-deprivation-of-liberty-safeguards-assessments</v>
      </c>
      <c r="AA133" s="15">
        <f>_xlfn.XLOOKUP(tblMeasure[[#This Row],[id_src]],tblSource[id_src],tblSource[year_first_published])</f>
        <v>2010</v>
      </c>
      <c r="AB133" s="15">
        <f>_xlfn.XLOOKUP(tblMeasure[[#This Row],[id_src]],tblSource[id_src],tblSource[year_last_published])</f>
        <v>2019</v>
      </c>
      <c r="AC133" s="15">
        <f>_xlfn.XLOOKUP(tblMeasure[[#This Row],[id_src]],tblSource[id_src],tblSource[discontinuity])</f>
        <v>2017</v>
      </c>
      <c r="AD133" s="15" t="str">
        <f>_xlfn.XLOOKUP(tblMeasure[[#This Row],[id_src]],tblSource[id_src],tblSource[publication_frequency])</f>
        <v>Annual</v>
      </c>
      <c r="AE133" s="15">
        <f>_xlfn.XLOOKUP(tblMeasure[[#This Row],[id_src]],tblSource[id_src],tblSource[publication_lag_months])</f>
        <v>3</v>
      </c>
      <c r="AF133" s="25" t="str">
        <f>_xlfn.XLOOKUP(tblMeasure[[#This Row],[id_src]],tblSource[id_src],tblSource[data_providers])</f>
        <v>LA</v>
      </c>
      <c r="AG133" s="25" t="str">
        <f>_xlfn.XLOOKUP(tblMeasure[[#This Row],[id_src]],tblSource[id_src],tblSource[statistic_class])</f>
        <v>Official</v>
      </c>
      <c r="AH133" s="25" t="str">
        <f>_xlfn.XLOOKUP(tblMeasure[[#This Row],[id_src]],tblSource[id_src],tblSource[methodology_link])</f>
        <v>https://digital.nhs.uk/data-and-information/publications/statistical/mental-capacity-act-2005-deprivation-of-liberty-safeguards-assessments/england-2018-19/data-quality-statement</v>
      </c>
      <c r="AI133" s="25" t="str">
        <f>_xlfn.XLOOKUP(tblMeasure[[#This Row],[id_src]],tblSource[id_src],tblSource[quality_issues])</f>
        <v>TBD</v>
      </c>
      <c r="AJ133" s="25">
        <f>VLOOKUP(tblMeasure[[#This Row],[msr_population_or_survey]],strlu_msr_population_or_survey,2,FALSE)</f>
        <v>1</v>
      </c>
      <c r="AK133" s="25">
        <f>VLOOKUP(tblMeasure[[#This Row],[msr_min_geo_resolution]],strlu_msr_min_geo_resolution,2,FALSE)</f>
        <v>1</v>
      </c>
      <c r="AL133" s="25">
        <f>(MAX(tblMeasure[[#This Row],[src_year_last_published]]-2010+1,0)+MIN(2010-tblMeasure[[#This Row],[src_year_first_published]],0)-MAX(tblMeasure[[#This Row],[src_year_last_published]]-2019,0))/10</f>
        <v>1</v>
      </c>
      <c r="AM133" s="25">
        <f>IF(OR(tblMeasure[[#This Row],[src_discontinuity]]="None",tblMeasure[[#This Row],[src_discontinuity]]=0),1,0)</f>
        <v>0</v>
      </c>
      <c r="AN133" s="25">
        <f>VLOOKUP(tblMeasure[[#This Row],[src_pub_frequency]],strlu_src_pub_frequency,2,FALSE)</f>
        <v>0.8</v>
      </c>
      <c r="AO133" s="25">
        <f>VLOOKUP(tblMeasure[[#This Row],[src_pub_lag_months]],strlu_src_pub_lag_months,2,FALSE)</f>
        <v>0.7</v>
      </c>
      <c r="AP133" s="25">
        <f>VLOOKUP(tblMeasure[[#This Row],[src_statistic_class]],strlu_src_statistic_class,2,FALSE)</f>
        <v>1</v>
      </c>
      <c r="AQ133" s="25">
        <f>IF(tblMeasure[[#This Row],[src_methodology_url]]="TBD",0,1)</f>
        <v>1</v>
      </c>
      <c r="AR133" s="25">
        <f>IF(tblMeasure[[#This Row],[src_quality_url]]="TBD",0,1)</f>
        <v>0</v>
      </c>
      <c r="AS133" s="85" cm="1">
        <f t="array" ref="AS133">SUMPRODUCT(TRANSPOSE(tblMeasure[[#This Row],[str_msr_population_or_survey]:[str_src_quality_url]]),str_weights)/str_weights_total</f>
        <v>0.8307692307692307</v>
      </c>
    </row>
    <row r="134" spans="1:45" hidden="1" x14ac:dyDescent="0.15">
      <c r="A134" s="30">
        <v>132</v>
      </c>
      <c r="B134" s="15">
        <f>COUNTIF(requirement_measure_map!$D$3:$D$1514,measure!A134)</f>
        <v>1</v>
      </c>
      <c r="C134" s="30" t="s">
        <v>520</v>
      </c>
      <c r="D134" s="15" t="s">
        <v>612</v>
      </c>
      <c r="E134" s="15" t="s">
        <v>586</v>
      </c>
      <c r="F134" s="15" t="s">
        <v>618</v>
      </c>
      <c r="G134" s="29" t="s">
        <v>614</v>
      </c>
      <c r="H134" s="15"/>
      <c r="I134" s="15" t="s">
        <v>214</v>
      </c>
      <c r="J134" s="15" t="s">
        <v>215</v>
      </c>
      <c r="K134" s="15" t="s">
        <v>617</v>
      </c>
      <c r="L134" s="15" t="s">
        <v>217</v>
      </c>
      <c r="M134" s="15" t="s">
        <v>219</v>
      </c>
      <c r="N134" s="15" t="s">
        <v>219</v>
      </c>
      <c r="O134" s="15" t="s">
        <v>219</v>
      </c>
      <c r="P134" s="15" t="s">
        <v>219</v>
      </c>
      <c r="Q134" s="15" t="s">
        <v>219</v>
      </c>
      <c r="R134" s="15" t="s">
        <v>219</v>
      </c>
      <c r="S134" s="15" t="s">
        <v>219</v>
      </c>
      <c r="T134" s="15" t="s">
        <v>219</v>
      </c>
      <c r="U134" s="15" t="s">
        <v>219</v>
      </c>
      <c r="V134" s="15" t="s">
        <v>219</v>
      </c>
      <c r="W134" s="15">
        <v>5</v>
      </c>
      <c r="X134" s="15" t="str">
        <f>_xlfn.XLOOKUP(tblMeasure[[#This Row],[id_src]],tblSource[id_src],tblSource[org])</f>
        <v>NHS Digital</v>
      </c>
      <c r="Y134" s="15" t="str">
        <f>_xlfn.XLOOKUP(tblMeasure[[#This Row],[id_src]],tblSource[id_src],tblSource[source])</f>
        <v>Deprivation of Liberty Safeguards</v>
      </c>
      <c r="Z134" s="15" t="str">
        <f>_xlfn.XLOOKUP(tblMeasure[[#This Row],[id_src]],tblSource[id_src],tblSource[url_source])</f>
        <v>https://digital.nhs.uk/data-and-information/publications/statistical/mental-capacity-act-2005-deprivation-of-liberty-safeguards-assessments</v>
      </c>
      <c r="AA134" s="15">
        <f>_xlfn.XLOOKUP(tblMeasure[[#This Row],[id_src]],tblSource[id_src],tblSource[year_first_published])</f>
        <v>2010</v>
      </c>
      <c r="AB134" s="15">
        <f>_xlfn.XLOOKUP(tblMeasure[[#This Row],[id_src]],tblSource[id_src],tblSource[year_last_published])</f>
        <v>2019</v>
      </c>
      <c r="AC134" s="15">
        <f>_xlfn.XLOOKUP(tblMeasure[[#This Row],[id_src]],tblSource[id_src],tblSource[discontinuity])</f>
        <v>2017</v>
      </c>
      <c r="AD134" s="15" t="str">
        <f>_xlfn.XLOOKUP(tblMeasure[[#This Row],[id_src]],tblSource[id_src],tblSource[publication_frequency])</f>
        <v>Annual</v>
      </c>
      <c r="AE134" s="15">
        <f>_xlfn.XLOOKUP(tblMeasure[[#This Row],[id_src]],tblSource[id_src],tblSource[publication_lag_months])</f>
        <v>3</v>
      </c>
      <c r="AF134" s="25" t="str">
        <f>_xlfn.XLOOKUP(tblMeasure[[#This Row],[id_src]],tblSource[id_src],tblSource[data_providers])</f>
        <v>LA</v>
      </c>
      <c r="AG134" s="25" t="str">
        <f>_xlfn.XLOOKUP(tblMeasure[[#This Row],[id_src]],tblSource[id_src],tblSource[statistic_class])</f>
        <v>Official</v>
      </c>
      <c r="AH134" s="25" t="str">
        <f>_xlfn.XLOOKUP(tblMeasure[[#This Row],[id_src]],tblSource[id_src],tblSource[methodology_link])</f>
        <v>https://digital.nhs.uk/data-and-information/publications/statistical/mental-capacity-act-2005-deprivation-of-liberty-safeguards-assessments/england-2018-19/data-quality-statement</v>
      </c>
      <c r="AI134" s="25" t="str">
        <f>_xlfn.XLOOKUP(tblMeasure[[#This Row],[id_src]],tblSource[id_src],tblSource[quality_issues])</f>
        <v>TBD</v>
      </c>
      <c r="AJ134" s="25">
        <f>VLOOKUP(tblMeasure[[#This Row],[msr_population_or_survey]],strlu_msr_population_or_survey,2,FALSE)</f>
        <v>1</v>
      </c>
      <c r="AK134" s="25">
        <f>VLOOKUP(tblMeasure[[#This Row],[msr_min_geo_resolution]],strlu_msr_min_geo_resolution,2,FALSE)</f>
        <v>1</v>
      </c>
      <c r="AL134" s="25">
        <f>(MAX(tblMeasure[[#This Row],[src_year_last_published]]-2010+1,0)+MIN(2010-tblMeasure[[#This Row],[src_year_first_published]],0)-MAX(tblMeasure[[#This Row],[src_year_last_published]]-2019,0))/10</f>
        <v>1</v>
      </c>
      <c r="AM134" s="25">
        <f>IF(OR(tblMeasure[[#This Row],[src_discontinuity]]="None",tblMeasure[[#This Row],[src_discontinuity]]=0),1,0)</f>
        <v>0</v>
      </c>
      <c r="AN134" s="25">
        <f>VLOOKUP(tblMeasure[[#This Row],[src_pub_frequency]],strlu_src_pub_frequency,2,FALSE)</f>
        <v>0.8</v>
      </c>
      <c r="AO134" s="25">
        <f>VLOOKUP(tblMeasure[[#This Row],[src_pub_lag_months]],strlu_src_pub_lag_months,2,FALSE)</f>
        <v>0.7</v>
      </c>
      <c r="AP134" s="25">
        <f>VLOOKUP(tblMeasure[[#This Row],[src_statistic_class]],strlu_src_statistic_class,2,FALSE)</f>
        <v>1</v>
      </c>
      <c r="AQ134" s="25">
        <f>IF(tblMeasure[[#This Row],[src_methodology_url]]="TBD",0,1)</f>
        <v>1</v>
      </c>
      <c r="AR134" s="25">
        <f>IF(tblMeasure[[#This Row],[src_quality_url]]="TBD",0,1)</f>
        <v>0</v>
      </c>
      <c r="AS134" s="85" cm="1">
        <f t="array" ref="AS134">SUMPRODUCT(TRANSPOSE(tblMeasure[[#This Row],[str_msr_population_or_survey]:[str_src_quality_url]]),str_weights)/str_weights_total</f>
        <v>0.8307692307692307</v>
      </c>
    </row>
    <row r="135" spans="1:45" hidden="1" x14ac:dyDescent="0.15">
      <c r="A135" s="30">
        <v>133</v>
      </c>
      <c r="B135" s="15">
        <f>COUNTIF(requirement_measure_map!$D$3:$D$1514,measure!A135)</f>
        <v>1</v>
      </c>
      <c r="C135" s="30" t="s">
        <v>520</v>
      </c>
      <c r="D135" s="15" t="s">
        <v>612</v>
      </c>
      <c r="E135" s="15" t="s">
        <v>589</v>
      </c>
      <c r="F135" s="15" t="s">
        <v>619</v>
      </c>
      <c r="G135" s="29" t="s">
        <v>614</v>
      </c>
      <c r="H135" s="15"/>
      <c r="I135" s="15" t="s">
        <v>214</v>
      </c>
      <c r="J135" s="15" t="s">
        <v>215</v>
      </c>
      <c r="K135" s="15" t="s">
        <v>620</v>
      </c>
      <c r="L135" s="15" t="s">
        <v>217</v>
      </c>
      <c r="M135" s="15" t="s">
        <v>219</v>
      </c>
      <c r="N135" s="15" t="s">
        <v>219</v>
      </c>
      <c r="O135" s="15" t="s">
        <v>219</v>
      </c>
      <c r="P135" s="15" t="s">
        <v>219</v>
      </c>
      <c r="Q135" s="15" t="s">
        <v>219</v>
      </c>
      <c r="R135" s="15" t="s">
        <v>219</v>
      </c>
      <c r="S135" s="15" t="s">
        <v>219</v>
      </c>
      <c r="T135" s="15" t="s">
        <v>219</v>
      </c>
      <c r="U135" s="15" t="s">
        <v>219</v>
      </c>
      <c r="V135" s="15" t="s">
        <v>219</v>
      </c>
      <c r="W135" s="15">
        <v>5</v>
      </c>
      <c r="X135" s="15" t="str">
        <f>_xlfn.XLOOKUP(tblMeasure[[#This Row],[id_src]],tblSource[id_src],tblSource[org])</f>
        <v>NHS Digital</v>
      </c>
      <c r="Y135" s="15" t="str">
        <f>_xlfn.XLOOKUP(tblMeasure[[#This Row],[id_src]],tblSource[id_src],tblSource[source])</f>
        <v>Deprivation of Liberty Safeguards</v>
      </c>
      <c r="Z135" s="15" t="str">
        <f>_xlfn.XLOOKUP(tblMeasure[[#This Row],[id_src]],tblSource[id_src],tblSource[url_source])</f>
        <v>https://digital.nhs.uk/data-and-information/publications/statistical/mental-capacity-act-2005-deprivation-of-liberty-safeguards-assessments</v>
      </c>
      <c r="AA135" s="15">
        <f>_xlfn.XLOOKUP(tblMeasure[[#This Row],[id_src]],tblSource[id_src],tblSource[year_first_published])</f>
        <v>2010</v>
      </c>
      <c r="AB135" s="15">
        <f>_xlfn.XLOOKUP(tblMeasure[[#This Row],[id_src]],tblSource[id_src],tblSource[year_last_published])</f>
        <v>2019</v>
      </c>
      <c r="AC135" s="15">
        <f>_xlfn.XLOOKUP(tblMeasure[[#This Row],[id_src]],tblSource[id_src],tblSource[discontinuity])</f>
        <v>2017</v>
      </c>
      <c r="AD135" s="15" t="str">
        <f>_xlfn.XLOOKUP(tblMeasure[[#This Row],[id_src]],tblSource[id_src],tblSource[publication_frequency])</f>
        <v>Annual</v>
      </c>
      <c r="AE135" s="15">
        <f>_xlfn.XLOOKUP(tblMeasure[[#This Row],[id_src]],tblSource[id_src],tblSource[publication_lag_months])</f>
        <v>3</v>
      </c>
      <c r="AF135" s="25" t="str">
        <f>_xlfn.XLOOKUP(tblMeasure[[#This Row],[id_src]],tblSource[id_src],tblSource[data_providers])</f>
        <v>LA</v>
      </c>
      <c r="AG135" s="25" t="str">
        <f>_xlfn.XLOOKUP(tblMeasure[[#This Row],[id_src]],tblSource[id_src],tblSource[statistic_class])</f>
        <v>Official</v>
      </c>
      <c r="AH135" s="25" t="str">
        <f>_xlfn.XLOOKUP(tblMeasure[[#This Row],[id_src]],tblSource[id_src],tblSource[methodology_link])</f>
        <v>https://digital.nhs.uk/data-and-information/publications/statistical/mental-capacity-act-2005-deprivation-of-liberty-safeguards-assessments/england-2018-19/data-quality-statement</v>
      </c>
      <c r="AI135" s="25" t="str">
        <f>_xlfn.XLOOKUP(tblMeasure[[#This Row],[id_src]],tblSource[id_src],tblSource[quality_issues])</f>
        <v>TBD</v>
      </c>
      <c r="AJ135" s="25">
        <f>VLOOKUP(tblMeasure[[#This Row],[msr_population_or_survey]],strlu_msr_population_or_survey,2,FALSE)</f>
        <v>1</v>
      </c>
      <c r="AK135" s="25">
        <f>VLOOKUP(tblMeasure[[#This Row],[msr_min_geo_resolution]],strlu_msr_min_geo_resolution,2,FALSE)</f>
        <v>1</v>
      </c>
      <c r="AL135" s="25">
        <f>(MAX(tblMeasure[[#This Row],[src_year_last_published]]-2010+1,0)+MIN(2010-tblMeasure[[#This Row],[src_year_first_published]],0)-MAX(tblMeasure[[#This Row],[src_year_last_published]]-2019,0))/10</f>
        <v>1</v>
      </c>
      <c r="AM135" s="25">
        <f>IF(OR(tblMeasure[[#This Row],[src_discontinuity]]="None",tblMeasure[[#This Row],[src_discontinuity]]=0),1,0)</f>
        <v>0</v>
      </c>
      <c r="AN135" s="25">
        <f>VLOOKUP(tblMeasure[[#This Row],[src_pub_frequency]],strlu_src_pub_frequency,2,FALSE)</f>
        <v>0.8</v>
      </c>
      <c r="AO135" s="25">
        <f>VLOOKUP(tblMeasure[[#This Row],[src_pub_lag_months]],strlu_src_pub_lag_months,2,FALSE)</f>
        <v>0.7</v>
      </c>
      <c r="AP135" s="25">
        <f>VLOOKUP(tblMeasure[[#This Row],[src_statistic_class]],strlu_src_statistic_class,2,FALSE)</f>
        <v>1</v>
      </c>
      <c r="AQ135" s="25">
        <f>IF(tblMeasure[[#This Row],[src_methodology_url]]="TBD",0,1)</f>
        <v>1</v>
      </c>
      <c r="AR135" s="25">
        <f>IF(tblMeasure[[#This Row],[src_quality_url]]="TBD",0,1)</f>
        <v>0</v>
      </c>
      <c r="AS135" s="85" cm="1">
        <f t="array" ref="AS135">SUMPRODUCT(TRANSPOSE(tblMeasure[[#This Row],[str_msr_population_or_survey]:[str_src_quality_url]]),str_weights)/str_weights_total</f>
        <v>0.8307692307692307</v>
      </c>
    </row>
    <row r="136" spans="1:45" hidden="1" x14ac:dyDescent="0.15">
      <c r="A136" s="30">
        <v>134</v>
      </c>
      <c r="B136" s="15">
        <f>COUNTIF(requirement_measure_map!$D$3:$D$1514,measure!A136)</f>
        <v>1</v>
      </c>
      <c r="C136" s="30" t="s">
        <v>520</v>
      </c>
      <c r="D136" s="15" t="s">
        <v>612</v>
      </c>
      <c r="E136" s="15" t="s">
        <v>592</v>
      </c>
      <c r="F136" s="15" t="s">
        <v>621</v>
      </c>
      <c r="G136" s="29" t="s">
        <v>614</v>
      </c>
      <c r="H136" s="15"/>
      <c r="I136" s="15" t="s">
        <v>214</v>
      </c>
      <c r="J136" s="15" t="s">
        <v>215</v>
      </c>
      <c r="K136" s="15" t="s">
        <v>622</v>
      </c>
      <c r="L136" s="15" t="s">
        <v>217</v>
      </c>
      <c r="M136" s="15" t="s">
        <v>219</v>
      </c>
      <c r="N136" s="15" t="s">
        <v>219</v>
      </c>
      <c r="O136" s="15" t="s">
        <v>219</v>
      </c>
      <c r="P136" s="15" t="s">
        <v>219</v>
      </c>
      <c r="Q136" s="15" t="s">
        <v>219</v>
      </c>
      <c r="R136" s="15" t="s">
        <v>219</v>
      </c>
      <c r="S136" s="15" t="s">
        <v>219</v>
      </c>
      <c r="T136" s="15" t="s">
        <v>219</v>
      </c>
      <c r="U136" s="15" t="s">
        <v>219</v>
      </c>
      <c r="V136" s="15" t="s">
        <v>219</v>
      </c>
      <c r="W136" s="15">
        <v>5</v>
      </c>
      <c r="X136" s="15" t="str">
        <f>_xlfn.XLOOKUP(tblMeasure[[#This Row],[id_src]],tblSource[id_src],tblSource[org])</f>
        <v>NHS Digital</v>
      </c>
      <c r="Y136" s="15" t="str">
        <f>_xlfn.XLOOKUP(tblMeasure[[#This Row],[id_src]],tblSource[id_src],tblSource[source])</f>
        <v>Deprivation of Liberty Safeguards</v>
      </c>
      <c r="Z136" s="15" t="str">
        <f>_xlfn.XLOOKUP(tblMeasure[[#This Row],[id_src]],tblSource[id_src],tblSource[url_source])</f>
        <v>https://digital.nhs.uk/data-and-information/publications/statistical/mental-capacity-act-2005-deprivation-of-liberty-safeguards-assessments</v>
      </c>
      <c r="AA136" s="15">
        <f>_xlfn.XLOOKUP(tblMeasure[[#This Row],[id_src]],tblSource[id_src],tblSource[year_first_published])</f>
        <v>2010</v>
      </c>
      <c r="AB136" s="15">
        <f>_xlfn.XLOOKUP(tblMeasure[[#This Row],[id_src]],tblSource[id_src],tblSource[year_last_published])</f>
        <v>2019</v>
      </c>
      <c r="AC136" s="15">
        <f>_xlfn.XLOOKUP(tblMeasure[[#This Row],[id_src]],tblSource[id_src],tblSource[discontinuity])</f>
        <v>2017</v>
      </c>
      <c r="AD136" s="15" t="str">
        <f>_xlfn.XLOOKUP(tblMeasure[[#This Row],[id_src]],tblSource[id_src],tblSource[publication_frequency])</f>
        <v>Annual</v>
      </c>
      <c r="AE136" s="15">
        <f>_xlfn.XLOOKUP(tblMeasure[[#This Row],[id_src]],tblSource[id_src],tblSource[publication_lag_months])</f>
        <v>3</v>
      </c>
      <c r="AF136" s="25" t="str">
        <f>_xlfn.XLOOKUP(tblMeasure[[#This Row],[id_src]],tblSource[id_src],tblSource[data_providers])</f>
        <v>LA</v>
      </c>
      <c r="AG136" s="25" t="str">
        <f>_xlfn.XLOOKUP(tblMeasure[[#This Row],[id_src]],tblSource[id_src],tblSource[statistic_class])</f>
        <v>Official</v>
      </c>
      <c r="AH136" s="25" t="str">
        <f>_xlfn.XLOOKUP(tblMeasure[[#This Row],[id_src]],tblSource[id_src],tblSource[methodology_link])</f>
        <v>https://digital.nhs.uk/data-and-information/publications/statistical/mental-capacity-act-2005-deprivation-of-liberty-safeguards-assessments/england-2018-19/data-quality-statement</v>
      </c>
      <c r="AI136" s="25" t="str">
        <f>_xlfn.XLOOKUP(tblMeasure[[#This Row],[id_src]],tblSource[id_src],tblSource[quality_issues])</f>
        <v>TBD</v>
      </c>
      <c r="AJ136" s="25">
        <f>VLOOKUP(tblMeasure[[#This Row],[msr_population_or_survey]],strlu_msr_population_or_survey,2,FALSE)</f>
        <v>1</v>
      </c>
      <c r="AK136" s="25">
        <f>VLOOKUP(tblMeasure[[#This Row],[msr_min_geo_resolution]],strlu_msr_min_geo_resolution,2,FALSE)</f>
        <v>1</v>
      </c>
      <c r="AL136" s="25">
        <f>(MAX(tblMeasure[[#This Row],[src_year_last_published]]-2010+1,0)+MIN(2010-tblMeasure[[#This Row],[src_year_first_published]],0)-MAX(tblMeasure[[#This Row],[src_year_last_published]]-2019,0))/10</f>
        <v>1</v>
      </c>
      <c r="AM136" s="25">
        <f>IF(OR(tblMeasure[[#This Row],[src_discontinuity]]="None",tblMeasure[[#This Row],[src_discontinuity]]=0),1,0)</f>
        <v>0</v>
      </c>
      <c r="AN136" s="25">
        <f>VLOOKUP(tblMeasure[[#This Row],[src_pub_frequency]],strlu_src_pub_frequency,2,FALSE)</f>
        <v>0.8</v>
      </c>
      <c r="AO136" s="25">
        <f>VLOOKUP(tblMeasure[[#This Row],[src_pub_lag_months]],strlu_src_pub_lag_months,2,FALSE)</f>
        <v>0.7</v>
      </c>
      <c r="AP136" s="25">
        <f>VLOOKUP(tblMeasure[[#This Row],[src_statistic_class]],strlu_src_statistic_class,2,FALSE)</f>
        <v>1</v>
      </c>
      <c r="AQ136" s="25">
        <f>IF(tblMeasure[[#This Row],[src_methodology_url]]="TBD",0,1)</f>
        <v>1</v>
      </c>
      <c r="AR136" s="25">
        <f>IF(tblMeasure[[#This Row],[src_quality_url]]="TBD",0,1)</f>
        <v>0</v>
      </c>
      <c r="AS136" s="85" cm="1">
        <f t="array" ref="AS136">SUMPRODUCT(TRANSPOSE(tblMeasure[[#This Row],[str_msr_population_or_survey]:[str_src_quality_url]]),str_weights)/str_weights_total</f>
        <v>0.8307692307692307</v>
      </c>
    </row>
    <row r="137" spans="1:45" hidden="1" x14ac:dyDescent="0.15">
      <c r="A137" s="30">
        <v>135</v>
      </c>
      <c r="B137" s="15">
        <f>COUNTIF(requirement_measure_map!$D$3:$D$1514,measure!A137)</f>
        <v>1</v>
      </c>
      <c r="C137" s="30" t="s">
        <v>520</v>
      </c>
      <c r="D137" s="15" t="s">
        <v>612</v>
      </c>
      <c r="E137" s="15" t="s">
        <v>595</v>
      </c>
      <c r="F137" s="15" t="s">
        <v>623</v>
      </c>
      <c r="G137" s="29" t="s">
        <v>614</v>
      </c>
      <c r="H137" s="15"/>
      <c r="I137" s="15" t="s">
        <v>214</v>
      </c>
      <c r="J137" s="15" t="s">
        <v>215</v>
      </c>
      <c r="K137" s="15" t="s">
        <v>624</v>
      </c>
      <c r="L137" s="15" t="s">
        <v>217</v>
      </c>
      <c r="M137" s="15" t="s">
        <v>219</v>
      </c>
      <c r="N137" s="15" t="s">
        <v>219</v>
      </c>
      <c r="O137" s="15" t="s">
        <v>219</v>
      </c>
      <c r="P137" s="15" t="s">
        <v>219</v>
      </c>
      <c r="Q137" s="15" t="s">
        <v>219</v>
      </c>
      <c r="R137" s="15" t="s">
        <v>219</v>
      </c>
      <c r="S137" s="15" t="s">
        <v>219</v>
      </c>
      <c r="T137" s="15" t="s">
        <v>219</v>
      </c>
      <c r="U137" s="15" t="s">
        <v>219</v>
      </c>
      <c r="V137" s="15" t="s">
        <v>219</v>
      </c>
      <c r="W137" s="15">
        <v>5</v>
      </c>
      <c r="X137" s="15" t="str">
        <f>_xlfn.XLOOKUP(tblMeasure[[#This Row],[id_src]],tblSource[id_src],tblSource[org])</f>
        <v>NHS Digital</v>
      </c>
      <c r="Y137" s="15" t="str">
        <f>_xlfn.XLOOKUP(tblMeasure[[#This Row],[id_src]],tblSource[id_src],tblSource[source])</f>
        <v>Deprivation of Liberty Safeguards</v>
      </c>
      <c r="Z137" s="15" t="str">
        <f>_xlfn.XLOOKUP(tblMeasure[[#This Row],[id_src]],tblSource[id_src],tblSource[url_source])</f>
        <v>https://digital.nhs.uk/data-and-information/publications/statistical/mental-capacity-act-2005-deprivation-of-liberty-safeguards-assessments</v>
      </c>
      <c r="AA137" s="15">
        <f>_xlfn.XLOOKUP(tblMeasure[[#This Row],[id_src]],tblSource[id_src],tblSource[year_first_published])</f>
        <v>2010</v>
      </c>
      <c r="AB137" s="15">
        <f>_xlfn.XLOOKUP(tblMeasure[[#This Row],[id_src]],tblSource[id_src],tblSource[year_last_published])</f>
        <v>2019</v>
      </c>
      <c r="AC137" s="15">
        <f>_xlfn.XLOOKUP(tblMeasure[[#This Row],[id_src]],tblSource[id_src],tblSource[discontinuity])</f>
        <v>2017</v>
      </c>
      <c r="AD137" s="15" t="str">
        <f>_xlfn.XLOOKUP(tblMeasure[[#This Row],[id_src]],tblSource[id_src],tblSource[publication_frequency])</f>
        <v>Annual</v>
      </c>
      <c r="AE137" s="15">
        <f>_xlfn.XLOOKUP(tblMeasure[[#This Row],[id_src]],tblSource[id_src],tblSource[publication_lag_months])</f>
        <v>3</v>
      </c>
      <c r="AF137" s="25" t="str">
        <f>_xlfn.XLOOKUP(tblMeasure[[#This Row],[id_src]],tblSource[id_src],tblSource[data_providers])</f>
        <v>LA</v>
      </c>
      <c r="AG137" s="25" t="str">
        <f>_xlfn.XLOOKUP(tblMeasure[[#This Row],[id_src]],tblSource[id_src],tblSource[statistic_class])</f>
        <v>Official</v>
      </c>
      <c r="AH137" s="25" t="str">
        <f>_xlfn.XLOOKUP(tblMeasure[[#This Row],[id_src]],tblSource[id_src],tblSource[methodology_link])</f>
        <v>https://digital.nhs.uk/data-and-information/publications/statistical/mental-capacity-act-2005-deprivation-of-liberty-safeguards-assessments/england-2018-19/data-quality-statement</v>
      </c>
      <c r="AI137" s="25" t="str">
        <f>_xlfn.XLOOKUP(tblMeasure[[#This Row],[id_src]],tblSource[id_src],tblSource[quality_issues])</f>
        <v>TBD</v>
      </c>
      <c r="AJ137" s="25">
        <f>VLOOKUP(tblMeasure[[#This Row],[msr_population_or_survey]],strlu_msr_population_or_survey,2,FALSE)</f>
        <v>1</v>
      </c>
      <c r="AK137" s="25">
        <f>VLOOKUP(tblMeasure[[#This Row],[msr_min_geo_resolution]],strlu_msr_min_geo_resolution,2,FALSE)</f>
        <v>1</v>
      </c>
      <c r="AL137" s="25">
        <f>(MAX(tblMeasure[[#This Row],[src_year_last_published]]-2010+1,0)+MIN(2010-tblMeasure[[#This Row],[src_year_first_published]],0)-MAX(tblMeasure[[#This Row],[src_year_last_published]]-2019,0))/10</f>
        <v>1</v>
      </c>
      <c r="AM137" s="25">
        <f>IF(OR(tblMeasure[[#This Row],[src_discontinuity]]="None",tblMeasure[[#This Row],[src_discontinuity]]=0),1,0)</f>
        <v>0</v>
      </c>
      <c r="AN137" s="25">
        <f>VLOOKUP(tblMeasure[[#This Row],[src_pub_frequency]],strlu_src_pub_frequency,2,FALSE)</f>
        <v>0.8</v>
      </c>
      <c r="AO137" s="25">
        <f>VLOOKUP(tblMeasure[[#This Row],[src_pub_lag_months]],strlu_src_pub_lag_months,2,FALSE)</f>
        <v>0.7</v>
      </c>
      <c r="AP137" s="25">
        <f>VLOOKUP(tblMeasure[[#This Row],[src_statistic_class]],strlu_src_statistic_class,2,FALSE)</f>
        <v>1</v>
      </c>
      <c r="AQ137" s="25">
        <f>IF(tblMeasure[[#This Row],[src_methodology_url]]="TBD",0,1)</f>
        <v>1</v>
      </c>
      <c r="AR137" s="25">
        <f>IF(tblMeasure[[#This Row],[src_quality_url]]="TBD",0,1)</f>
        <v>0</v>
      </c>
      <c r="AS137" s="85" cm="1">
        <f t="array" ref="AS137">SUMPRODUCT(TRANSPOSE(tblMeasure[[#This Row],[str_msr_population_or_survey]:[str_src_quality_url]]),str_weights)/str_weights_total</f>
        <v>0.8307692307692307</v>
      </c>
    </row>
    <row r="138" spans="1:45" hidden="1" x14ac:dyDescent="0.15">
      <c r="A138" s="30">
        <v>136</v>
      </c>
      <c r="B138" s="15">
        <f>COUNTIF(requirement_measure_map!$D$3:$D$1514,measure!A138)</f>
        <v>3</v>
      </c>
      <c r="C138" s="30" t="s">
        <v>520</v>
      </c>
      <c r="D138" s="15" t="s">
        <v>625</v>
      </c>
      <c r="E138" s="15" t="s">
        <v>579</v>
      </c>
      <c r="F138" s="15" t="s">
        <v>626</v>
      </c>
      <c r="G138" s="29" t="s">
        <v>627</v>
      </c>
      <c r="H138" s="15"/>
      <c r="I138" s="15" t="s">
        <v>214</v>
      </c>
      <c r="J138" s="15" t="s">
        <v>215</v>
      </c>
      <c r="K138" s="15" t="s">
        <v>628</v>
      </c>
      <c r="L138" s="15" t="s">
        <v>233</v>
      </c>
      <c r="M138" s="15" t="s">
        <v>219</v>
      </c>
      <c r="N138" s="15" t="s">
        <v>219</v>
      </c>
      <c r="O138" s="15" t="s">
        <v>219</v>
      </c>
      <c r="P138" s="15" t="s">
        <v>219</v>
      </c>
      <c r="Q138" s="15" t="s">
        <v>219</v>
      </c>
      <c r="R138" s="15" t="s">
        <v>219</v>
      </c>
      <c r="S138" s="15" t="s">
        <v>219</v>
      </c>
      <c r="T138" s="15" t="s">
        <v>219</v>
      </c>
      <c r="U138" s="15" t="s">
        <v>219</v>
      </c>
      <c r="V138" s="15" t="s">
        <v>219</v>
      </c>
      <c r="W138" s="15">
        <v>6</v>
      </c>
      <c r="X138" s="15" t="str">
        <f>_xlfn.XLOOKUP(tblMeasure[[#This Row],[id_src]],tblSource[id_src],tblSource[org])</f>
        <v>NHS Digital</v>
      </c>
      <c r="Y138" s="15" t="str">
        <f>_xlfn.XLOOKUP(tblMeasure[[#This Row],[id_src]],tblSource[id_src],tblSource[source])</f>
        <v>Guardianship under the Mental Health Act</v>
      </c>
      <c r="Z138" s="15" t="str">
        <f>_xlfn.XLOOKUP(tblMeasure[[#This Row],[id_src]],tblSource[id_src],tblSource[url_source])</f>
        <v>https://digital.nhs.uk/data-and-information/publications/statistical/guardianship-under-the-mental-health-act-1983</v>
      </c>
      <c r="AA138" s="15">
        <f>_xlfn.XLOOKUP(tblMeasure[[#This Row],[id_src]],tblSource[id_src],tblSource[year_first_published])</f>
        <v>2005</v>
      </c>
      <c r="AB138" s="15">
        <f>_xlfn.XLOOKUP(tblMeasure[[#This Row],[id_src]],tblSource[id_src],tblSource[year_last_published])</f>
        <v>2018</v>
      </c>
      <c r="AC138" s="15" t="str">
        <f>_xlfn.XLOOKUP(tblMeasure[[#This Row],[id_src]],tblSource[id_src],tblSource[discontinuity])</f>
        <v>2014, 2015</v>
      </c>
      <c r="AD138" s="15" t="str">
        <f>_xlfn.XLOOKUP(tblMeasure[[#This Row],[id_src]],tblSource[id_src],tblSource[publication_frequency])</f>
        <v>Biennial</v>
      </c>
      <c r="AE138" s="15">
        <f>_xlfn.XLOOKUP(tblMeasure[[#This Row],[id_src]],tblSource[id_src],tblSource[publication_lag_months])</f>
        <v>4</v>
      </c>
      <c r="AF138" s="25" t="str">
        <f>_xlfn.XLOOKUP(tblMeasure[[#This Row],[id_src]],tblSource[id_src],tblSource[data_providers])</f>
        <v>LA</v>
      </c>
      <c r="AG138" s="25" t="str">
        <f>_xlfn.XLOOKUP(tblMeasure[[#This Row],[id_src]],tblSource[id_src],tblSource[statistic_class])</f>
        <v>National</v>
      </c>
      <c r="AH138" s="25" t="str">
        <f>_xlfn.XLOOKUP(tblMeasure[[#This Row],[id_src]],tblSource[id_src],tblSource[methodology_link])</f>
        <v>https://files.digital.nhs.uk/E2/38AA0F/guar-unde-ment-heal-act-1983-eng-1618-annex-B-data-qual.pdf</v>
      </c>
      <c r="AI138" s="25" t="str">
        <f>_xlfn.XLOOKUP(tblMeasure[[#This Row],[id_src]],tblSource[id_src],tblSource[quality_issues])</f>
        <v>https://files.digital.nhs.uk/E2/38AA0F/guar-unde-ment-heal-act-1983-eng-1618-annex-B-data-qual.pdf</v>
      </c>
      <c r="AJ138" s="25">
        <f>VLOOKUP(tblMeasure[[#This Row],[msr_population_or_survey]],strlu_msr_population_or_survey,2,FALSE)</f>
        <v>1</v>
      </c>
      <c r="AK138" s="25">
        <f>VLOOKUP(tblMeasure[[#This Row],[msr_min_geo_resolution]],strlu_msr_min_geo_resolution,2,FALSE)</f>
        <v>0</v>
      </c>
      <c r="AL138" s="25">
        <f>(MAX(tblMeasure[[#This Row],[src_year_last_published]]-2010+1,0)+MIN(2010-tblMeasure[[#This Row],[src_year_first_published]],0)-MAX(tblMeasure[[#This Row],[src_year_last_published]]-2019,0))/10</f>
        <v>0.9</v>
      </c>
      <c r="AM138" s="25">
        <f>IF(OR(tblMeasure[[#This Row],[src_discontinuity]]="None",tblMeasure[[#This Row],[src_discontinuity]]=0),1,0)</f>
        <v>0</v>
      </c>
      <c r="AN138" s="25">
        <f>VLOOKUP(tblMeasure[[#This Row],[src_pub_frequency]],strlu_src_pub_frequency,2,FALSE)</f>
        <v>0.5</v>
      </c>
      <c r="AO138" s="25">
        <f>VLOOKUP(tblMeasure[[#This Row],[src_pub_lag_months]],strlu_src_pub_lag_months,2,FALSE)</f>
        <v>0.6</v>
      </c>
      <c r="AP138" s="25">
        <f>VLOOKUP(tblMeasure[[#This Row],[src_statistic_class]],strlu_src_statistic_class,2,FALSE)</f>
        <v>1</v>
      </c>
      <c r="AQ138" s="25">
        <f>IF(tblMeasure[[#This Row],[src_methodology_url]]="TBD",0,1)</f>
        <v>1</v>
      </c>
      <c r="AR138" s="25">
        <f>IF(tblMeasure[[#This Row],[src_quality_url]]="TBD",0,1)</f>
        <v>1</v>
      </c>
      <c r="AS138" s="85" cm="1">
        <f t="array" ref="AS138">SUMPRODUCT(TRANSPOSE(tblMeasure[[#This Row],[str_msr_population_or_survey]:[str_src_quality_url]]),str_weights)/str_weights_total</f>
        <v>0.64615384615384608</v>
      </c>
    </row>
    <row r="139" spans="1:45" hidden="1" x14ac:dyDescent="0.15">
      <c r="A139" s="30">
        <v>137</v>
      </c>
      <c r="B139" s="15">
        <f>COUNTIF(requirement_measure_map!$D$3:$D$1514,measure!A139)</f>
        <v>4</v>
      </c>
      <c r="C139" s="30" t="s">
        <v>520</v>
      </c>
      <c r="D139" s="15" t="s">
        <v>625</v>
      </c>
      <c r="E139" s="15" t="s">
        <v>583</v>
      </c>
      <c r="F139" s="15" t="s">
        <v>629</v>
      </c>
      <c r="G139" s="29" t="s">
        <v>627</v>
      </c>
      <c r="H139" s="15"/>
      <c r="I139" s="15" t="s">
        <v>214</v>
      </c>
      <c r="J139" s="15" t="s">
        <v>215</v>
      </c>
      <c r="K139" s="15" t="s">
        <v>628</v>
      </c>
      <c r="L139" s="15" t="s">
        <v>233</v>
      </c>
      <c r="M139" s="15" t="s">
        <v>219</v>
      </c>
      <c r="N139" s="15" t="s">
        <v>220</v>
      </c>
      <c r="O139" s="15" t="s">
        <v>219</v>
      </c>
      <c r="P139" s="15" t="s">
        <v>219</v>
      </c>
      <c r="Q139" s="15" t="s">
        <v>219</v>
      </c>
      <c r="R139" s="15" t="s">
        <v>219</v>
      </c>
      <c r="S139" s="15" t="s">
        <v>219</v>
      </c>
      <c r="T139" s="15" t="s">
        <v>219</v>
      </c>
      <c r="U139" s="15" t="s">
        <v>219</v>
      </c>
      <c r="V139" s="15" t="s">
        <v>219</v>
      </c>
      <c r="W139" s="15">
        <v>6</v>
      </c>
      <c r="X139" s="15" t="str">
        <f>_xlfn.XLOOKUP(tblMeasure[[#This Row],[id_src]],tblSource[id_src],tblSource[org])</f>
        <v>NHS Digital</v>
      </c>
      <c r="Y139" s="15" t="str">
        <f>_xlfn.XLOOKUP(tblMeasure[[#This Row],[id_src]],tblSource[id_src],tblSource[source])</f>
        <v>Guardianship under the Mental Health Act</v>
      </c>
      <c r="Z139" s="15" t="str">
        <f>_xlfn.XLOOKUP(tblMeasure[[#This Row],[id_src]],tblSource[id_src],tblSource[url_source])</f>
        <v>https://digital.nhs.uk/data-and-information/publications/statistical/guardianship-under-the-mental-health-act-1983</v>
      </c>
      <c r="AA139" s="15">
        <f>_xlfn.XLOOKUP(tblMeasure[[#This Row],[id_src]],tblSource[id_src],tblSource[year_first_published])</f>
        <v>2005</v>
      </c>
      <c r="AB139" s="15">
        <f>_xlfn.XLOOKUP(tblMeasure[[#This Row],[id_src]],tblSource[id_src],tblSource[year_last_published])</f>
        <v>2018</v>
      </c>
      <c r="AC139" s="15" t="str">
        <f>_xlfn.XLOOKUP(tblMeasure[[#This Row],[id_src]],tblSource[id_src],tblSource[discontinuity])</f>
        <v>2014, 2015</v>
      </c>
      <c r="AD139" s="15" t="str">
        <f>_xlfn.XLOOKUP(tblMeasure[[#This Row],[id_src]],tblSource[id_src],tblSource[publication_frequency])</f>
        <v>Biennial</v>
      </c>
      <c r="AE139" s="15">
        <f>_xlfn.XLOOKUP(tblMeasure[[#This Row],[id_src]],tblSource[id_src],tblSource[publication_lag_months])</f>
        <v>4</v>
      </c>
      <c r="AF139" s="25" t="str">
        <f>_xlfn.XLOOKUP(tblMeasure[[#This Row],[id_src]],tblSource[id_src],tblSource[data_providers])</f>
        <v>LA</v>
      </c>
      <c r="AG139" s="25" t="str">
        <f>_xlfn.XLOOKUP(tblMeasure[[#This Row],[id_src]],tblSource[id_src],tblSource[statistic_class])</f>
        <v>National</v>
      </c>
      <c r="AH139" s="25" t="str">
        <f>_xlfn.XLOOKUP(tblMeasure[[#This Row],[id_src]],tblSource[id_src],tblSource[methodology_link])</f>
        <v>https://files.digital.nhs.uk/E2/38AA0F/guar-unde-ment-heal-act-1983-eng-1618-annex-B-data-qual.pdf</v>
      </c>
      <c r="AI139" s="25" t="str">
        <f>_xlfn.XLOOKUP(tblMeasure[[#This Row],[id_src]],tblSource[id_src],tblSource[quality_issues])</f>
        <v>https://files.digital.nhs.uk/E2/38AA0F/guar-unde-ment-heal-act-1983-eng-1618-annex-B-data-qual.pdf</v>
      </c>
      <c r="AJ139" s="25">
        <f>VLOOKUP(tblMeasure[[#This Row],[msr_population_or_survey]],strlu_msr_population_or_survey,2,FALSE)</f>
        <v>1</v>
      </c>
      <c r="AK139" s="25">
        <f>VLOOKUP(tblMeasure[[#This Row],[msr_min_geo_resolution]],strlu_msr_min_geo_resolution,2,FALSE)</f>
        <v>0</v>
      </c>
      <c r="AL139" s="25">
        <f>(MAX(tblMeasure[[#This Row],[src_year_last_published]]-2010+1,0)+MIN(2010-tblMeasure[[#This Row],[src_year_first_published]],0)-MAX(tblMeasure[[#This Row],[src_year_last_published]]-2019,0))/10</f>
        <v>0.9</v>
      </c>
      <c r="AM139" s="25">
        <f>IF(OR(tblMeasure[[#This Row],[src_discontinuity]]="None",tblMeasure[[#This Row],[src_discontinuity]]=0),1,0)</f>
        <v>0</v>
      </c>
      <c r="AN139" s="25">
        <f>VLOOKUP(tblMeasure[[#This Row],[src_pub_frequency]],strlu_src_pub_frequency,2,FALSE)</f>
        <v>0.5</v>
      </c>
      <c r="AO139" s="25">
        <f>VLOOKUP(tblMeasure[[#This Row],[src_pub_lag_months]],strlu_src_pub_lag_months,2,FALSE)</f>
        <v>0.6</v>
      </c>
      <c r="AP139" s="25">
        <f>VLOOKUP(tblMeasure[[#This Row],[src_statistic_class]],strlu_src_statistic_class,2,FALSE)</f>
        <v>1</v>
      </c>
      <c r="AQ139" s="25">
        <f>IF(tblMeasure[[#This Row],[src_methodology_url]]="TBD",0,1)</f>
        <v>1</v>
      </c>
      <c r="AR139" s="25">
        <f>IF(tblMeasure[[#This Row],[src_quality_url]]="TBD",0,1)</f>
        <v>1</v>
      </c>
      <c r="AS139" s="85" cm="1">
        <f t="array" ref="AS139">SUMPRODUCT(TRANSPOSE(tblMeasure[[#This Row],[str_msr_population_or_survey]:[str_src_quality_url]]),str_weights)/str_weights_total</f>
        <v>0.64615384615384608</v>
      </c>
    </row>
    <row r="140" spans="1:45" hidden="1" x14ac:dyDescent="0.15">
      <c r="A140" s="30">
        <v>138</v>
      </c>
      <c r="B140" s="15">
        <f>COUNTIF(requirement_measure_map!$D$3:$D$1514,measure!A140)</f>
        <v>0</v>
      </c>
      <c r="C140" s="30" t="s">
        <v>610</v>
      </c>
      <c r="D140" s="15" t="s">
        <v>625</v>
      </c>
      <c r="E140" s="15" t="s">
        <v>586</v>
      </c>
      <c r="F140" s="15" t="s">
        <v>630</v>
      </c>
      <c r="G140" s="29" t="s">
        <v>627</v>
      </c>
      <c r="H140" s="15"/>
      <c r="I140" s="15" t="s">
        <v>214</v>
      </c>
      <c r="J140" s="15" t="s">
        <v>215</v>
      </c>
      <c r="K140" s="15" t="s">
        <v>628</v>
      </c>
      <c r="L140" s="15" t="s">
        <v>287</v>
      </c>
      <c r="M140" s="15" t="s">
        <v>219</v>
      </c>
      <c r="N140" s="15" t="s">
        <v>219</v>
      </c>
      <c r="O140" s="15" t="s">
        <v>219</v>
      </c>
      <c r="P140" s="15" t="s">
        <v>219</v>
      </c>
      <c r="Q140" s="15" t="s">
        <v>219</v>
      </c>
      <c r="R140" s="15" t="s">
        <v>219</v>
      </c>
      <c r="S140" s="15" t="s">
        <v>219</v>
      </c>
      <c r="T140" s="15" t="s">
        <v>219</v>
      </c>
      <c r="U140" s="15" t="s">
        <v>219</v>
      </c>
      <c r="V140" s="15" t="s">
        <v>219</v>
      </c>
      <c r="W140" s="15">
        <v>6</v>
      </c>
      <c r="X140" s="15" t="str">
        <f>_xlfn.XLOOKUP(tblMeasure[[#This Row],[id_src]],tblSource[id_src],tblSource[org])</f>
        <v>NHS Digital</v>
      </c>
      <c r="Y140" s="15" t="str">
        <f>_xlfn.XLOOKUP(tblMeasure[[#This Row],[id_src]],tblSource[id_src],tblSource[source])</f>
        <v>Guardianship under the Mental Health Act</v>
      </c>
      <c r="Z140" s="15" t="str">
        <f>_xlfn.XLOOKUP(tblMeasure[[#This Row],[id_src]],tblSource[id_src],tblSource[url_source])</f>
        <v>https://digital.nhs.uk/data-and-information/publications/statistical/guardianship-under-the-mental-health-act-1983</v>
      </c>
      <c r="AA140" s="15">
        <f>_xlfn.XLOOKUP(tblMeasure[[#This Row],[id_src]],tblSource[id_src],tblSource[year_first_published])</f>
        <v>2005</v>
      </c>
      <c r="AB140" s="15">
        <f>_xlfn.XLOOKUP(tblMeasure[[#This Row],[id_src]],tblSource[id_src],tblSource[year_last_published])</f>
        <v>2018</v>
      </c>
      <c r="AC140" s="15" t="str">
        <f>_xlfn.XLOOKUP(tblMeasure[[#This Row],[id_src]],tblSource[id_src],tblSource[discontinuity])</f>
        <v>2014, 2015</v>
      </c>
      <c r="AD140" s="15" t="str">
        <f>_xlfn.XLOOKUP(tblMeasure[[#This Row],[id_src]],tblSource[id_src],tblSource[publication_frequency])</f>
        <v>Biennial</v>
      </c>
      <c r="AE140" s="15">
        <f>_xlfn.XLOOKUP(tblMeasure[[#This Row],[id_src]],tblSource[id_src],tblSource[publication_lag_months])</f>
        <v>4</v>
      </c>
      <c r="AF140" s="25" t="str">
        <f>_xlfn.XLOOKUP(tblMeasure[[#This Row],[id_src]],tblSource[id_src],tblSource[data_providers])</f>
        <v>LA</v>
      </c>
      <c r="AG140" s="25" t="str">
        <f>_xlfn.XLOOKUP(tblMeasure[[#This Row],[id_src]],tblSource[id_src],tblSource[statistic_class])</f>
        <v>National</v>
      </c>
      <c r="AH140" s="25" t="str">
        <f>_xlfn.XLOOKUP(tblMeasure[[#This Row],[id_src]],tblSource[id_src],tblSource[methodology_link])</f>
        <v>https://files.digital.nhs.uk/E2/38AA0F/guar-unde-ment-heal-act-1983-eng-1618-annex-B-data-qual.pdf</v>
      </c>
      <c r="AI140" s="25" t="str">
        <f>_xlfn.XLOOKUP(tblMeasure[[#This Row],[id_src]],tblSource[id_src],tblSource[quality_issues])</f>
        <v>https://files.digital.nhs.uk/E2/38AA0F/guar-unde-ment-heal-act-1983-eng-1618-annex-B-data-qual.pdf</v>
      </c>
      <c r="AJ140" s="25">
        <f>VLOOKUP(tblMeasure[[#This Row],[msr_population_or_survey]],strlu_msr_population_or_survey,2,FALSE)</f>
        <v>1</v>
      </c>
      <c r="AK140" s="25">
        <f>VLOOKUP(tblMeasure[[#This Row],[msr_min_geo_resolution]],strlu_msr_min_geo_resolution,2,FALSE)</f>
        <v>0.5</v>
      </c>
      <c r="AL140" s="25">
        <f>(MAX(tblMeasure[[#This Row],[src_year_last_published]]-2010+1,0)+MIN(2010-tblMeasure[[#This Row],[src_year_first_published]],0)-MAX(tblMeasure[[#This Row],[src_year_last_published]]-2019,0))/10</f>
        <v>0.9</v>
      </c>
      <c r="AM140" s="25">
        <f>IF(OR(tblMeasure[[#This Row],[src_discontinuity]]="None",tblMeasure[[#This Row],[src_discontinuity]]=0),1,0)</f>
        <v>0</v>
      </c>
      <c r="AN140" s="25">
        <f>VLOOKUP(tblMeasure[[#This Row],[src_pub_frequency]],strlu_src_pub_frequency,2,FALSE)</f>
        <v>0.5</v>
      </c>
      <c r="AO140" s="25">
        <f>VLOOKUP(tblMeasure[[#This Row],[src_pub_lag_months]],strlu_src_pub_lag_months,2,FALSE)</f>
        <v>0.6</v>
      </c>
      <c r="AP140" s="25">
        <f>VLOOKUP(tblMeasure[[#This Row],[src_statistic_class]],strlu_src_statistic_class,2,FALSE)</f>
        <v>1</v>
      </c>
      <c r="AQ140" s="25">
        <f>IF(tblMeasure[[#This Row],[src_methodology_url]]="TBD",0,1)</f>
        <v>1</v>
      </c>
      <c r="AR140" s="25">
        <f>IF(tblMeasure[[#This Row],[src_quality_url]]="TBD",0,1)</f>
        <v>1</v>
      </c>
      <c r="AS140" s="85" cm="1">
        <f t="array" ref="AS140">SUMPRODUCT(TRANSPOSE(tblMeasure[[#This Row],[str_msr_population_or_survey]:[str_src_quality_url]]),str_weights)/str_weights_total</f>
        <v>0.72307692307692295</v>
      </c>
    </row>
    <row r="141" spans="1:45" hidden="1" x14ac:dyDescent="0.15">
      <c r="A141" s="30">
        <v>139</v>
      </c>
      <c r="B141" s="15">
        <f>COUNTIF(requirement_measure_map!$D$3:$D$1514,measure!A141)</f>
        <v>1</v>
      </c>
      <c r="C141" s="30" t="s">
        <v>520</v>
      </c>
      <c r="D141" s="15" t="s">
        <v>625</v>
      </c>
      <c r="E141" s="15" t="s">
        <v>589</v>
      </c>
      <c r="F141" s="15" t="s">
        <v>631</v>
      </c>
      <c r="G141" s="29" t="s">
        <v>627</v>
      </c>
      <c r="H141" s="15"/>
      <c r="I141" s="15" t="s">
        <v>214</v>
      </c>
      <c r="J141" s="15" t="s">
        <v>215</v>
      </c>
      <c r="K141" s="15" t="s">
        <v>632</v>
      </c>
      <c r="L141" s="15" t="s">
        <v>217</v>
      </c>
      <c r="M141" s="15" t="s">
        <v>219</v>
      </c>
      <c r="N141" s="15" t="s">
        <v>219</v>
      </c>
      <c r="O141" s="15" t="s">
        <v>219</v>
      </c>
      <c r="P141" s="15" t="s">
        <v>219</v>
      </c>
      <c r="Q141" s="15" t="s">
        <v>219</v>
      </c>
      <c r="R141" s="15" t="s">
        <v>219</v>
      </c>
      <c r="S141" s="15" t="s">
        <v>219</v>
      </c>
      <c r="T141" s="15" t="s">
        <v>219</v>
      </c>
      <c r="U141" s="15" t="s">
        <v>219</v>
      </c>
      <c r="V141" s="15" t="s">
        <v>219</v>
      </c>
      <c r="W141" s="15">
        <v>6</v>
      </c>
      <c r="X141" s="15" t="str">
        <f>_xlfn.XLOOKUP(tblMeasure[[#This Row],[id_src]],tblSource[id_src],tblSource[org])</f>
        <v>NHS Digital</v>
      </c>
      <c r="Y141" s="15" t="str">
        <f>_xlfn.XLOOKUP(tblMeasure[[#This Row],[id_src]],tblSource[id_src],tblSource[source])</f>
        <v>Guardianship under the Mental Health Act</v>
      </c>
      <c r="Z141" s="15" t="str">
        <f>_xlfn.XLOOKUP(tblMeasure[[#This Row],[id_src]],tblSource[id_src],tblSource[url_source])</f>
        <v>https://digital.nhs.uk/data-and-information/publications/statistical/guardianship-under-the-mental-health-act-1983</v>
      </c>
      <c r="AA141" s="15">
        <f>_xlfn.XLOOKUP(tblMeasure[[#This Row],[id_src]],tblSource[id_src],tblSource[year_first_published])</f>
        <v>2005</v>
      </c>
      <c r="AB141" s="15">
        <f>_xlfn.XLOOKUP(tblMeasure[[#This Row],[id_src]],tblSource[id_src],tblSource[year_last_published])</f>
        <v>2018</v>
      </c>
      <c r="AC141" s="15" t="str">
        <f>_xlfn.XLOOKUP(tblMeasure[[#This Row],[id_src]],tblSource[id_src],tblSource[discontinuity])</f>
        <v>2014, 2015</v>
      </c>
      <c r="AD141" s="15" t="str">
        <f>_xlfn.XLOOKUP(tblMeasure[[#This Row],[id_src]],tblSource[id_src],tblSource[publication_frequency])</f>
        <v>Biennial</v>
      </c>
      <c r="AE141" s="15">
        <f>_xlfn.XLOOKUP(tblMeasure[[#This Row],[id_src]],tblSource[id_src],tblSource[publication_lag_months])</f>
        <v>4</v>
      </c>
      <c r="AF141" s="25" t="str">
        <f>_xlfn.XLOOKUP(tblMeasure[[#This Row],[id_src]],tblSource[id_src],tblSource[data_providers])</f>
        <v>LA</v>
      </c>
      <c r="AG141" s="25" t="str">
        <f>_xlfn.XLOOKUP(tblMeasure[[#This Row],[id_src]],tblSource[id_src],tblSource[statistic_class])</f>
        <v>National</v>
      </c>
      <c r="AH141" s="25" t="str">
        <f>_xlfn.XLOOKUP(tblMeasure[[#This Row],[id_src]],tblSource[id_src],tblSource[methodology_link])</f>
        <v>https://files.digital.nhs.uk/E2/38AA0F/guar-unde-ment-heal-act-1983-eng-1618-annex-B-data-qual.pdf</v>
      </c>
      <c r="AI141" s="25" t="str">
        <f>_xlfn.XLOOKUP(tblMeasure[[#This Row],[id_src]],tblSource[id_src],tblSource[quality_issues])</f>
        <v>https://files.digital.nhs.uk/E2/38AA0F/guar-unde-ment-heal-act-1983-eng-1618-annex-B-data-qual.pdf</v>
      </c>
      <c r="AJ141" s="25">
        <f>VLOOKUP(tblMeasure[[#This Row],[msr_population_or_survey]],strlu_msr_population_or_survey,2,FALSE)</f>
        <v>1</v>
      </c>
      <c r="AK141" s="25">
        <f>VLOOKUP(tblMeasure[[#This Row],[msr_min_geo_resolution]],strlu_msr_min_geo_resolution,2,FALSE)</f>
        <v>1</v>
      </c>
      <c r="AL141" s="25">
        <f>(MAX(tblMeasure[[#This Row],[src_year_last_published]]-2010+1,0)+MIN(2010-tblMeasure[[#This Row],[src_year_first_published]],0)-MAX(tblMeasure[[#This Row],[src_year_last_published]]-2019,0))/10</f>
        <v>0.9</v>
      </c>
      <c r="AM141" s="25">
        <f>IF(OR(tblMeasure[[#This Row],[src_discontinuity]]="None",tblMeasure[[#This Row],[src_discontinuity]]=0),1,0)</f>
        <v>0</v>
      </c>
      <c r="AN141" s="25">
        <f>VLOOKUP(tblMeasure[[#This Row],[src_pub_frequency]],strlu_src_pub_frequency,2,FALSE)</f>
        <v>0.5</v>
      </c>
      <c r="AO141" s="25">
        <f>VLOOKUP(tblMeasure[[#This Row],[src_pub_lag_months]],strlu_src_pub_lag_months,2,FALSE)</f>
        <v>0.6</v>
      </c>
      <c r="AP141" s="25">
        <f>VLOOKUP(tblMeasure[[#This Row],[src_statistic_class]],strlu_src_statistic_class,2,FALSE)</f>
        <v>1</v>
      </c>
      <c r="AQ141" s="25">
        <f>IF(tblMeasure[[#This Row],[src_methodology_url]]="TBD",0,1)</f>
        <v>1</v>
      </c>
      <c r="AR141" s="25">
        <f>IF(tblMeasure[[#This Row],[src_quality_url]]="TBD",0,1)</f>
        <v>1</v>
      </c>
      <c r="AS141" s="85" cm="1">
        <f t="array" ref="AS141">SUMPRODUCT(TRANSPOSE(tblMeasure[[#This Row],[str_msr_population_or_survey]:[str_src_quality_url]]),str_weights)/str_weights_total</f>
        <v>0.79999999999999993</v>
      </c>
    </row>
    <row r="142" spans="1:45" hidden="1" x14ac:dyDescent="0.15">
      <c r="A142" s="30">
        <v>140</v>
      </c>
      <c r="B142" s="15">
        <f>COUNTIF(requirement_measure_map!$D$3:$D$1514,measure!A142)</f>
        <v>1</v>
      </c>
      <c r="C142" s="30" t="s">
        <v>520</v>
      </c>
      <c r="D142" s="15" t="s">
        <v>625</v>
      </c>
      <c r="E142" s="15" t="s">
        <v>592</v>
      </c>
      <c r="F142" s="15" t="s">
        <v>633</v>
      </c>
      <c r="G142" s="29" t="s">
        <v>627</v>
      </c>
      <c r="H142" s="15"/>
      <c r="I142" s="15" t="s">
        <v>214</v>
      </c>
      <c r="J142" s="15" t="s">
        <v>215</v>
      </c>
      <c r="K142" s="15" t="s">
        <v>634</v>
      </c>
      <c r="L142" s="15" t="s">
        <v>217</v>
      </c>
      <c r="M142" s="15" t="s">
        <v>219</v>
      </c>
      <c r="N142" s="15" t="s">
        <v>219</v>
      </c>
      <c r="O142" s="15" t="s">
        <v>219</v>
      </c>
      <c r="P142" s="15" t="s">
        <v>219</v>
      </c>
      <c r="Q142" s="15" t="s">
        <v>219</v>
      </c>
      <c r="R142" s="15" t="s">
        <v>219</v>
      </c>
      <c r="S142" s="15" t="s">
        <v>219</v>
      </c>
      <c r="T142" s="15" t="s">
        <v>219</v>
      </c>
      <c r="U142" s="15" t="s">
        <v>219</v>
      </c>
      <c r="V142" s="15" t="s">
        <v>219</v>
      </c>
      <c r="W142" s="15">
        <v>6</v>
      </c>
      <c r="X142" s="15" t="str">
        <f>_xlfn.XLOOKUP(tblMeasure[[#This Row],[id_src]],tblSource[id_src],tblSource[org])</f>
        <v>NHS Digital</v>
      </c>
      <c r="Y142" s="15" t="str">
        <f>_xlfn.XLOOKUP(tblMeasure[[#This Row],[id_src]],tblSource[id_src],tblSource[source])</f>
        <v>Guardianship under the Mental Health Act</v>
      </c>
      <c r="Z142" s="15" t="str">
        <f>_xlfn.XLOOKUP(tblMeasure[[#This Row],[id_src]],tblSource[id_src],tblSource[url_source])</f>
        <v>https://digital.nhs.uk/data-and-information/publications/statistical/guardianship-under-the-mental-health-act-1983</v>
      </c>
      <c r="AA142" s="15">
        <f>_xlfn.XLOOKUP(tblMeasure[[#This Row],[id_src]],tblSource[id_src],tblSource[year_first_published])</f>
        <v>2005</v>
      </c>
      <c r="AB142" s="15">
        <f>_xlfn.XLOOKUP(tblMeasure[[#This Row],[id_src]],tblSource[id_src],tblSource[year_last_published])</f>
        <v>2018</v>
      </c>
      <c r="AC142" s="15" t="str">
        <f>_xlfn.XLOOKUP(tblMeasure[[#This Row],[id_src]],tblSource[id_src],tblSource[discontinuity])</f>
        <v>2014, 2015</v>
      </c>
      <c r="AD142" s="15" t="str">
        <f>_xlfn.XLOOKUP(tblMeasure[[#This Row],[id_src]],tblSource[id_src],tblSource[publication_frequency])</f>
        <v>Biennial</v>
      </c>
      <c r="AE142" s="15">
        <f>_xlfn.XLOOKUP(tblMeasure[[#This Row],[id_src]],tblSource[id_src],tblSource[publication_lag_months])</f>
        <v>4</v>
      </c>
      <c r="AF142" s="25" t="str">
        <f>_xlfn.XLOOKUP(tblMeasure[[#This Row],[id_src]],tblSource[id_src],tblSource[data_providers])</f>
        <v>LA</v>
      </c>
      <c r="AG142" s="25" t="str">
        <f>_xlfn.XLOOKUP(tblMeasure[[#This Row],[id_src]],tblSource[id_src],tblSource[statistic_class])</f>
        <v>National</v>
      </c>
      <c r="AH142" s="25" t="str">
        <f>_xlfn.XLOOKUP(tblMeasure[[#This Row],[id_src]],tblSource[id_src],tblSource[methodology_link])</f>
        <v>https://files.digital.nhs.uk/E2/38AA0F/guar-unde-ment-heal-act-1983-eng-1618-annex-B-data-qual.pdf</v>
      </c>
      <c r="AI142" s="25" t="str">
        <f>_xlfn.XLOOKUP(tblMeasure[[#This Row],[id_src]],tblSource[id_src],tblSource[quality_issues])</f>
        <v>https://files.digital.nhs.uk/E2/38AA0F/guar-unde-ment-heal-act-1983-eng-1618-annex-B-data-qual.pdf</v>
      </c>
      <c r="AJ142" s="25">
        <f>VLOOKUP(tblMeasure[[#This Row],[msr_population_or_survey]],strlu_msr_population_or_survey,2,FALSE)</f>
        <v>1</v>
      </c>
      <c r="AK142" s="25">
        <f>VLOOKUP(tblMeasure[[#This Row],[msr_min_geo_resolution]],strlu_msr_min_geo_resolution,2,FALSE)</f>
        <v>1</v>
      </c>
      <c r="AL142" s="25">
        <f>(MAX(tblMeasure[[#This Row],[src_year_last_published]]-2010+1,0)+MIN(2010-tblMeasure[[#This Row],[src_year_first_published]],0)-MAX(tblMeasure[[#This Row],[src_year_last_published]]-2019,0))/10</f>
        <v>0.9</v>
      </c>
      <c r="AM142" s="25">
        <f>IF(OR(tblMeasure[[#This Row],[src_discontinuity]]="None",tblMeasure[[#This Row],[src_discontinuity]]=0),1,0)</f>
        <v>0</v>
      </c>
      <c r="AN142" s="25">
        <f>VLOOKUP(tblMeasure[[#This Row],[src_pub_frequency]],strlu_src_pub_frequency,2,FALSE)</f>
        <v>0.5</v>
      </c>
      <c r="AO142" s="25">
        <f>VLOOKUP(tblMeasure[[#This Row],[src_pub_lag_months]],strlu_src_pub_lag_months,2,FALSE)</f>
        <v>0.6</v>
      </c>
      <c r="AP142" s="25">
        <f>VLOOKUP(tblMeasure[[#This Row],[src_statistic_class]],strlu_src_statistic_class,2,FALSE)</f>
        <v>1</v>
      </c>
      <c r="AQ142" s="25">
        <f>IF(tblMeasure[[#This Row],[src_methodology_url]]="TBD",0,1)</f>
        <v>1</v>
      </c>
      <c r="AR142" s="25">
        <f>IF(tblMeasure[[#This Row],[src_quality_url]]="TBD",0,1)</f>
        <v>1</v>
      </c>
      <c r="AS142" s="85" cm="1">
        <f t="array" ref="AS142">SUMPRODUCT(TRANSPOSE(tblMeasure[[#This Row],[str_msr_population_or_survey]:[str_src_quality_url]]),str_weights)/str_weights_total</f>
        <v>0.79999999999999993</v>
      </c>
    </row>
    <row r="143" spans="1:45" hidden="1" x14ac:dyDescent="0.15">
      <c r="A143" s="30">
        <v>141</v>
      </c>
      <c r="B143" s="15">
        <f>COUNTIF(requirement_measure_map!$D$3:$D$1514,measure!A143)</f>
        <v>1</v>
      </c>
      <c r="C143" s="30" t="s">
        <v>520</v>
      </c>
      <c r="D143" s="15" t="s">
        <v>625</v>
      </c>
      <c r="E143" s="15" t="s">
        <v>595</v>
      </c>
      <c r="F143" s="15" t="s">
        <v>635</v>
      </c>
      <c r="G143" s="29" t="s">
        <v>627</v>
      </c>
      <c r="H143" s="15"/>
      <c r="I143" s="15" t="s">
        <v>214</v>
      </c>
      <c r="J143" s="15" t="s">
        <v>215</v>
      </c>
      <c r="K143" s="15" t="s">
        <v>636</v>
      </c>
      <c r="L143" s="15" t="s">
        <v>217</v>
      </c>
      <c r="M143" s="15" t="s">
        <v>219</v>
      </c>
      <c r="N143" s="15" t="s">
        <v>219</v>
      </c>
      <c r="O143" s="15" t="s">
        <v>219</v>
      </c>
      <c r="P143" s="15" t="s">
        <v>219</v>
      </c>
      <c r="Q143" s="15" t="s">
        <v>219</v>
      </c>
      <c r="R143" s="15" t="s">
        <v>219</v>
      </c>
      <c r="S143" s="15" t="s">
        <v>219</v>
      </c>
      <c r="T143" s="15" t="s">
        <v>219</v>
      </c>
      <c r="U143" s="15" t="s">
        <v>219</v>
      </c>
      <c r="V143" s="15" t="s">
        <v>219</v>
      </c>
      <c r="W143" s="15">
        <v>6</v>
      </c>
      <c r="X143" s="15" t="str">
        <f>_xlfn.XLOOKUP(tblMeasure[[#This Row],[id_src]],tblSource[id_src],tblSource[org])</f>
        <v>NHS Digital</v>
      </c>
      <c r="Y143" s="15" t="str">
        <f>_xlfn.XLOOKUP(tblMeasure[[#This Row],[id_src]],tblSource[id_src],tblSource[source])</f>
        <v>Guardianship under the Mental Health Act</v>
      </c>
      <c r="Z143" s="15" t="str">
        <f>_xlfn.XLOOKUP(tblMeasure[[#This Row],[id_src]],tblSource[id_src],tblSource[url_source])</f>
        <v>https://digital.nhs.uk/data-and-information/publications/statistical/guardianship-under-the-mental-health-act-1983</v>
      </c>
      <c r="AA143" s="15">
        <f>_xlfn.XLOOKUP(tblMeasure[[#This Row],[id_src]],tblSource[id_src],tblSource[year_first_published])</f>
        <v>2005</v>
      </c>
      <c r="AB143" s="15">
        <f>_xlfn.XLOOKUP(tblMeasure[[#This Row],[id_src]],tblSource[id_src],tblSource[year_last_published])</f>
        <v>2018</v>
      </c>
      <c r="AC143" s="15" t="str">
        <f>_xlfn.XLOOKUP(tblMeasure[[#This Row],[id_src]],tblSource[id_src],tblSource[discontinuity])</f>
        <v>2014, 2015</v>
      </c>
      <c r="AD143" s="15" t="str">
        <f>_xlfn.XLOOKUP(tblMeasure[[#This Row],[id_src]],tblSource[id_src],tblSource[publication_frequency])</f>
        <v>Biennial</v>
      </c>
      <c r="AE143" s="15">
        <f>_xlfn.XLOOKUP(tblMeasure[[#This Row],[id_src]],tblSource[id_src],tblSource[publication_lag_months])</f>
        <v>4</v>
      </c>
      <c r="AF143" s="25" t="str">
        <f>_xlfn.XLOOKUP(tblMeasure[[#This Row],[id_src]],tblSource[id_src],tblSource[data_providers])</f>
        <v>LA</v>
      </c>
      <c r="AG143" s="25" t="str">
        <f>_xlfn.XLOOKUP(tblMeasure[[#This Row],[id_src]],tblSource[id_src],tblSource[statistic_class])</f>
        <v>National</v>
      </c>
      <c r="AH143" s="25" t="str">
        <f>_xlfn.XLOOKUP(tblMeasure[[#This Row],[id_src]],tblSource[id_src],tblSource[methodology_link])</f>
        <v>https://files.digital.nhs.uk/E2/38AA0F/guar-unde-ment-heal-act-1983-eng-1618-annex-B-data-qual.pdf</v>
      </c>
      <c r="AI143" s="25" t="str">
        <f>_xlfn.XLOOKUP(tblMeasure[[#This Row],[id_src]],tblSource[id_src],tblSource[quality_issues])</f>
        <v>https://files.digital.nhs.uk/E2/38AA0F/guar-unde-ment-heal-act-1983-eng-1618-annex-B-data-qual.pdf</v>
      </c>
      <c r="AJ143" s="25">
        <f>VLOOKUP(tblMeasure[[#This Row],[msr_population_or_survey]],strlu_msr_population_or_survey,2,FALSE)</f>
        <v>1</v>
      </c>
      <c r="AK143" s="25">
        <f>VLOOKUP(tblMeasure[[#This Row],[msr_min_geo_resolution]],strlu_msr_min_geo_resolution,2,FALSE)</f>
        <v>1</v>
      </c>
      <c r="AL143" s="25">
        <f>(MAX(tblMeasure[[#This Row],[src_year_last_published]]-2010+1,0)+MIN(2010-tblMeasure[[#This Row],[src_year_first_published]],0)-MAX(tblMeasure[[#This Row],[src_year_last_published]]-2019,0))/10</f>
        <v>0.9</v>
      </c>
      <c r="AM143" s="25">
        <f>IF(OR(tblMeasure[[#This Row],[src_discontinuity]]="None",tblMeasure[[#This Row],[src_discontinuity]]=0),1,0)</f>
        <v>0</v>
      </c>
      <c r="AN143" s="25">
        <f>VLOOKUP(tblMeasure[[#This Row],[src_pub_frequency]],strlu_src_pub_frequency,2,FALSE)</f>
        <v>0.5</v>
      </c>
      <c r="AO143" s="25">
        <f>VLOOKUP(tblMeasure[[#This Row],[src_pub_lag_months]],strlu_src_pub_lag_months,2,FALSE)</f>
        <v>0.6</v>
      </c>
      <c r="AP143" s="25">
        <f>VLOOKUP(tblMeasure[[#This Row],[src_statistic_class]],strlu_src_statistic_class,2,FALSE)</f>
        <v>1</v>
      </c>
      <c r="AQ143" s="25">
        <f>IF(tblMeasure[[#This Row],[src_methodology_url]]="TBD",0,1)</f>
        <v>1</v>
      </c>
      <c r="AR143" s="25">
        <f>IF(tblMeasure[[#This Row],[src_quality_url]]="TBD",0,1)</f>
        <v>1</v>
      </c>
      <c r="AS143" s="85" cm="1">
        <f t="array" ref="AS143">SUMPRODUCT(TRANSPOSE(tblMeasure[[#This Row],[str_msr_population_or_survey]:[str_src_quality_url]]),str_weights)/str_weights_total</f>
        <v>0.79999999999999993</v>
      </c>
    </row>
    <row r="144" spans="1:45" hidden="1" x14ac:dyDescent="0.15">
      <c r="A144" s="30">
        <v>142</v>
      </c>
      <c r="B144" s="15">
        <f>COUNTIF(requirement_measure_map!$D$3:$D$1514,measure!A144)</f>
        <v>1</v>
      </c>
      <c r="C144" s="30" t="s">
        <v>520</v>
      </c>
      <c r="D144" s="15" t="s">
        <v>637</v>
      </c>
      <c r="E144" s="15" t="s">
        <v>579</v>
      </c>
      <c r="F144" s="15" t="s">
        <v>638</v>
      </c>
      <c r="G144" s="29" t="s">
        <v>639</v>
      </c>
      <c r="H144" s="15"/>
      <c r="I144" s="15" t="s">
        <v>214</v>
      </c>
      <c r="J144" s="15" t="s">
        <v>215</v>
      </c>
      <c r="K144" s="15" t="s">
        <v>640</v>
      </c>
      <c r="L144" s="15" t="s">
        <v>233</v>
      </c>
      <c r="M144" s="15" t="s">
        <v>219</v>
      </c>
      <c r="N144" s="15" t="s">
        <v>219</v>
      </c>
      <c r="O144" s="15" t="s">
        <v>219</v>
      </c>
      <c r="P144" s="15" t="s">
        <v>219</v>
      </c>
      <c r="Q144" s="15" t="s">
        <v>219</v>
      </c>
      <c r="R144" s="15" t="s">
        <v>219</v>
      </c>
      <c r="S144" s="15" t="s">
        <v>219</v>
      </c>
      <c r="T144" s="15" t="s">
        <v>219</v>
      </c>
      <c r="U144" s="15" t="s">
        <v>219</v>
      </c>
      <c r="V144" s="15" t="s">
        <v>219</v>
      </c>
      <c r="W144" s="15">
        <v>7</v>
      </c>
      <c r="X144" s="15" t="str">
        <f>_xlfn.XLOOKUP(tblMeasure[[#This Row],[id_src]],tblSource[id_src],tblSource[org])</f>
        <v>NHS Digital</v>
      </c>
      <c r="Y144" s="15" t="str">
        <f>_xlfn.XLOOKUP(tblMeasure[[#This Row],[id_src]],tblSource[id_src],tblSource[source])</f>
        <v>Learning Disability Services Statistics</v>
      </c>
      <c r="Z144" s="15" t="str">
        <f>_xlfn.XLOOKUP(tblMeasure[[#This Row],[id_src]],tblSource[id_src],tblSource[url_source])</f>
        <v>https://digital.nhs.uk/data-and-information/publications/statistical/learning-disability-services-statistics</v>
      </c>
      <c r="AA144" s="15">
        <f>_xlfn.XLOOKUP(tblMeasure[[#This Row],[id_src]],tblSource[id_src],tblSource[year_first_published])</f>
        <v>2015</v>
      </c>
      <c r="AB144" s="15">
        <f>_xlfn.XLOOKUP(tblMeasure[[#This Row],[id_src]],tblSource[id_src],tblSource[year_last_published])</f>
        <v>2020</v>
      </c>
      <c r="AC144" s="15" t="str">
        <f>_xlfn.XLOOKUP(tblMeasure[[#This Row],[id_src]],tblSource[id_src],tblSource[discontinuity])</f>
        <v>TBD</v>
      </c>
      <c r="AD144" s="15" t="str">
        <f>_xlfn.XLOOKUP(tblMeasure[[#This Row],[id_src]],tblSource[id_src],tblSource[publication_frequency])</f>
        <v>Monthly</v>
      </c>
      <c r="AE144" s="15">
        <f>_xlfn.XLOOKUP(tblMeasure[[#This Row],[id_src]],tblSource[id_src],tblSource[publication_lag_months])</f>
        <v>1</v>
      </c>
      <c r="AF144" s="25" t="str">
        <f>_xlfn.XLOOKUP(tblMeasure[[#This Row],[id_src]],tblSource[id_src],tblSource[data_providers])</f>
        <v>CCG</v>
      </c>
      <c r="AG144" s="25" t="str">
        <f>_xlfn.XLOOKUP(tblMeasure[[#This Row],[id_src]],tblSource[id_src],tblSource[statistic_class])</f>
        <v>Experimental</v>
      </c>
      <c r="AH144" s="25" t="str">
        <f>_xlfn.XLOOKUP(tblMeasure[[#This Row],[id_src]],tblSource[id_src],tblSource[methodology_link])</f>
        <v>https://files.digital.nhs.uk/37/CA1829/ldsm-jan-20-main-report.pdf</v>
      </c>
      <c r="AI144" s="25" t="str">
        <f>_xlfn.XLOOKUP(tblMeasure[[#This Row],[id_src]],tblSource[id_src],tblSource[quality_issues])</f>
        <v>https://files.digital.nhs.uk/37/CA1829/ldsm-jan-20-main-report.pdf</v>
      </c>
      <c r="AJ144" s="25">
        <f>VLOOKUP(tblMeasure[[#This Row],[msr_population_or_survey]],strlu_msr_population_or_survey,2,FALSE)</f>
        <v>1</v>
      </c>
      <c r="AK144" s="25">
        <f>VLOOKUP(tblMeasure[[#This Row],[msr_min_geo_resolution]],strlu_msr_min_geo_resolution,2,FALSE)</f>
        <v>0</v>
      </c>
      <c r="AL144" s="25">
        <f>(MAX(tblMeasure[[#This Row],[src_year_last_published]]-2010+1,0)+MIN(2010-tblMeasure[[#This Row],[src_year_first_published]],0)-MAX(tblMeasure[[#This Row],[src_year_last_published]]-2019,0))/10</f>
        <v>0.5</v>
      </c>
      <c r="AM144" s="25">
        <f>IF(OR(tblMeasure[[#This Row],[src_discontinuity]]="None",tblMeasure[[#This Row],[src_discontinuity]]=0),1,0)</f>
        <v>0</v>
      </c>
      <c r="AN144" s="25">
        <f>VLOOKUP(tblMeasure[[#This Row],[src_pub_frequency]],strlu_src_pub_frequency,2,FALSE)</f>
        <v>1</v>
      </c>
      <c r="AO144" s="25">
        <f>VLOOKUP(tblMeasure[[#This Row],[src_pub_lag_months]],strlu_src_pub_lag_months,2,FALSE)</f>
        <v>0.9</v>
      </c>
      <c r="AP144" s="25">
        <f>VLOOKUP(tblMeasure[[#This Row],[src_statistic_class]],strlu_src_statistic_class,2,FALSE)</f>
        <v>0.5</v>
      </c>
      <c r="AQ144" s="25">
        <f>IF(tblMeasure[[#This Row],[src_methodology_url]]="TBD",0,1)</f>
        <v>1</v>
      </c>
      <c r="AR144" s="25">
        <f>IF(tblMeasure[[#This Row],[src_quality_url]]="TBD",0,1)</f>
        <v>1</v>
      </c>
      <c r="AS144" s="85" cm="1">
        <f t="array" ref="AS144">SUMPRODUCT(TRANSPOSE(tblMeasure[[#This Row],[str_msr_population_or_survey]:[str_src_quality_url]]),str_weights)/str_weights_total</f>
        <v>0.60769230769230775</v>
      </c>
    </row>
    <row r="145" spans="1:45" hidden="1" x14ac:dyDescent="0.15">
      <c r="A145" s="30">
        <v>143</v>
      </c>
      <c r="B145" s="15">
        <f>COUNTIF(requirement_measure_map!$D$3:$D$1514,measure!A145)</f>
        <v>5</v>
      </c>
      <c r="C145" s="30" t="s">
        <v>520</v>
      </c>
      <c r="D145" s="15" t="s">
        <v>641</v>
      </c>
      <c r="E145" s="15" t="s">
        <v>583</v>
      </c>
      <c r="F145" s="15" t="s">
        <v>642</v>
      </c>
      <c r="G145" s="29" t="s">
        <v>639</v>
      </c>
      <c r="H145" s="15"/>
      <c r="I145" s="15" t="s">
        <v>214</v>
      </c>
      <c r="J145" s="15" t="s">
        <v>215</v>
      </c>
      <c r="K145" s="15" t="s">
        <v>643</v>
      </c>
      <c r="L145" s="15" t="s">
        <v>233</v>
      </c>
      <c r="M145" s="15" t="s">
        <v>349</v>
      </c>
      <c r="N145" s="15" t="s">
        <v>267</v>
      </c>
      <c r="O145" s="15" t="s">
        <v>219</v>
      </c>
      <c r="P145" s="15" t="s">
        <v>349</v>
      </c>
      <c r="Q145" s="15" t="s">
        <v>220</v>
      </c>
      <c r="R145" s="15" t="s">
        <v>219</v>
      </c>
      <c r="S145" s="15" t="s">
        <v>219</v>
      </c>
      <c r="T145" s="15" t="s">
        <v>219</v>
      </c>
      <c r="U145" s="15" t="s">
        <v>219</v>
      </c>
      <c r="V145" s="15" t="s">
        <v>219</v>
      </c>
      <c r="W145" s="15">
        <v>7</v>
      </c>
      <c r="X145" s="15" t="str">
        <f>_xlfn.XLOOKUP(tblMeasure[[#This Row],[id_src]],tblSource[id_src],tblSource[org])</f>
        <v>NHS Digital</v>
      </c>
      <c r="Y145" s="15" t="str">
        <f>_xlfn.XLOOKUP(tblMeasure[[#This Row],[id_src]],tblSource[id_src],tblSource[source])</f>
        <v>Learning Disability Services Statistics</v>
      </c>
      <c r="Z145" s="15" t="str">
        <f>_xlfn.XLOOKUP(tblMeasure[[#This Row],[id_src]],tblSource[id_src],tblSource[url_source])</f>
        <v>https://digital.nhs.uk/data-and-information/publications/statistical/learning-disability-services-statistics</v>
      </c>
      <c r="AA145" s="15">
        <f>_xlfn.XLOOKUP(tblMeasure[[#This Row],[id_src]],tblSource[id_src],tblSource[year_first_published])</f>
        <v>2015</v>
      </c>
      <c r="AB145" s="15">
        <f>_xlfn.XLOOKUP(tblMeasure[[#This Row],[id_src]],tblSource[id_src],tblSource[year_last_published])</f>
        <v>2020</v>
      </c>
      <c r="AC145" s="15" t="str">
        <f>_xlfn.XLOOKUP(tblMeasure[[#This Row],[id_src]],tblSource[id_src],tblSource[discontinuity])</f>
        <v>TBD</v>
      </c>
      <c r="AD145" s="15" t="str">
        <f>_xlfn.XLOOKUP(tblMeasure[[#This Row],[id_src]],tblSource[id_src],tblSource[publication_frequency])</f>
        <v>Monthly</v>
      </c>
      <c r="AE145" s="15">
        <f>_xlfn.XLOOKUP(tblMeasure[[#This Row],[id_src]],tblSource[id_src],tblSource[publication_lag_months])</f>
        <v>1</v>
      </c>
      <c r="AF145" s="25" t="str">
        <f>_xlfn.XLOOKUP(tblMeasure[[#This Row],[id_src]],tblSource[id_src],tblSource[data_providers])</f>
        <v>CCG</v>
      </c>
      <c r="AG145" s="25" t="str">
        <f>_xlfn.XLOOKUP(tblMeasure[[#This Row],[id_src]],tblSource[id_src],tblSource[statistic_class])</f>
        <v>Experimental</v>
      </c>
      <c r="AH145" s="25" t="str">
        <f>_xlfn.XLOOKUP(tblMeasure[[#This Row],[id_src]],tblSource[id_src],tblSource[methodology_link])</f>
        <v>https://files.digital.nhs.uk/37/CA1829/ldsm-jan-20-main-report.pdf</v>
      </c>
      <c r="AI145" s="25" t="str">
        <f>_xlfn.XLOOKUP(tblMeasure[[#This Row],[id_src]],tblSource[id_src],tblSource[quality_issues])</f>
        <v>https://files.digital.nhs.uk/37/CA1829/ldsm-jan-20-main-report.pdf</v>
      </c>
      <c r="AJ145" s="25">
        <f>VLOOKUP(tblMeasure[[#This Row],[msr_population_or_survey]],strlu_msr_population_or_survey,2,FALSE)</f>
        <v>1</v>
      </c>
      <c r="AK145" s="25">
        <f>VLOOKUP(tblMeasure[[#This Row],[msr_min_geo_resolution]],strlu_msr_min_geo_resolution,2,FALSE)</f>
        <v>0</v>
      </c>
      <c r="AL145" s="25">
        <f>(MAX(tblMeasure[[#This Row],[src_year_last_published]]-2010+1,0)+MIN(2010-tblMeasure[[#This Row],[src_year_first_published]],0)-MAX(tblMeasure[[#This Row],[src_year_last_published]]-2019,0))/10</f>
        <v>0.5</v>
      </c>
      <c r="AM145" s="25">
        <f>IF(OR(tblMeasure[[#This Row],[src_discontinuity]]="None",tblMeasure[[#This Row],[src_discontinuity]]=0),1,0)</f>
        <v>0</v>
      </c>
      <c r="AN145" s="25">
        <f>VLOOKUP(tblMeasure[[#This Row],[src_pub_frequency]],strlu_src_pub_frequency,2,FALSE)</f>
        <v>1</v>
      </c>
      <c r="AO145" s="25">
        <f>VLOOKUP(tblMeasure[[#This Row],[src_pub_lag_months]],strlu_src_pub_lag_months,2,FALSE)</f>
        <v>0.9</v>
      </c>
      <c r="AP145" s="25">
        <f>VLOOKUP(tblMeasure[[#This Row],[src_statistic_class]],strlu_src_statistic_class,2,FALSE)</f>
        <v>0.5</v>
      </c>
      <c r="AQ145" s="25">
        <f>IF(tblMeasure[[#This Row],[src_methodology_url]]="TBD",0,1)</f>
        <v>1</v>
      </c>
      <c r="AR145" s="25">
        <f>IF(tblMeasure[[#This Row],[src_quality_url]]="TBD",0,1)</f>
        <v>1</v>
      </c>
      <c r="AS145" s="85" cm="1">
        <f t="array" ref="AS145">SUMPRODUCT(TRANSPOSE(tblMeasure[[#This Row],[str_msr_population_or_survey]:[str_src_quality_url]]),str_weights)/str_weights_total</f>
        <v>0.60769230769230775</v>
      </c>
    </row>
    <row r="146" spans="1:45" hidden="1" x14ac:dyDescent="0.15">
      <c r="A146" s="30">
        <v>144</v>
      </c>
      <c r="B146" s="15">
        <f>COUNTIF(requirement_measure_map!$D$3:$D$1514,measure!A146)</f>
        <v>7</v>
      </c>
      <c r="C146" s="30" t="s">
        <v>520</v>
      </c>
      <c r="D146" s="15" t="s">
        <v>644</v>
      </c>
      <c r="E146" s="15" t="s">
        <v>586</v>
      </c>
      <c r="F146" s="15" t="s">
        <v>645</v>
      </c>
      <c r="G146" s="29" t="s">
        <v>639</v>
      </c>
      <c r="H146" s="15"/>
      <c r="I146" s="15" t="s">
        <v>214</v>
      </c>
      <c r="J146" s="15" t="s">
        <v>215</v>
      </c>
      <c r="K146" s="15" t="s">
        <v>646</v>
      </c>
      <c r="L146" s="15" t="s">
        <v>233</v>
      </c>
      <c r="M146" s="15" t="s">
        <v>219</v>
      </c>
      <c r="N146" s="15" t="s">
        <v>219</v>
      </c>
      <c r="O146" s="15" t="s">
        <v>219</v>
      </c>
      <c r="P146" s="15" t="s">
        <v>219</v>
      </c>
      <c r="Q146" s="15" t="s">
        <v>220</v>
      </c>
      <c r="R146" s="15" t="s">
        <v>219</v>
      </c>
      <c r="S146" s="15" t="s">
        <v>219</v>
      </c>
      <c r="T146" s="15" t="s">
        <v>219</v>
      </c>
      <c r="U146" s="15" t="s">
        <v>219</v>
      </c>
      <c r="V146" s="15" t="s">
        <v>219</v>
      </c>
      <c r="W146" s="15">
        <v>7</v>
      </c>
      <c r="X146" s="15" t="str">
        <f>_xlfn.XLOOKUP(tblMeasure[[#This Row],[id_src]],tblSource[id_src],tblSource[org])</f>
        <v>NHS Digital</v>
      </c>
      <c r="Y146" s="15" t="str">
        <f>_xlfn.XLOOKUP(tblMeasure[[#This Row],[id_src]],tblSource[id_src],tblSource[source])</f>
        <v>Learning Disability Services Statistics</v>
      </c>
      <c r="Z146" s="15" t="str">
        <f>_xlfn.XLOOKUP(tblMeasure[[#This Row],[id_src]],tblSource[id_src],tblSource[url_source])</f>
        <v>https://digital.nhs.uk/data-and-information/publications/statistical/learning-disability-services-statistics</v>
      </c>
      <c r="AA146" s="15">
        <f>_xlfn.XLOOKUP(tblMeasure[[#This Row],[id_src]],tblSource[id_src],tblSource[year_first_published])</f>
        <v>2015</v>
      </c>
      <c r="AB146" s="15">
        <f>_xlfn.XLOOKUP(tblMeasure[[#This Row],[id_src]],tblSource[id_src],tblSource[year_last_published])</f>
        <v>2020</v>
      </c>
      <c r="AC146" s="15" t="str">
        <f>_xlfn.XLOOKUP(tblMeasure[[#This Row],[id_src]],tblSource[id_src],tblSource[discontinuity])</f>
        <v>TBD</v>
      </c>
      <c r="AD146" s="15" t="str">
        <f>_xlfn.XLOOKUP(tblMeasure[[#This Row],[id_src]],tblSource[id_src],tblSource[publication_frequency])</f>
        <v>Monthly</v>
      </c>
      <c r="AE146" s="15">
        <f>_xlfn.XLOOKUP(tblMeasure[[#This Row],[id_src]],tblSource[id_src],tblSource[publication_lag_months])</f>
        <v>1</v>
      </c>
      <c r="AF146" s="25" t="str">
        <f>_xlfn.XLOOKUP(tblMeasure[[#This Row],[id_src]],tblSource[id_src],tblSource[data_providers])</f>
        <v>CCG</v>
      </c>
      <c r="AG146" s="25" t="str">
        <f>_xlfn.XLOOKUP(tblMeasure[[#This Row],[id_src]],tblSource[id_src],tblSource[statistic_class])</f>
        <v>Experimental</v>
      </c>
      <c r="AH146" s="25" t="str">
        <f>_xlfn.XLOOKUP(tblMeasure[[#This Row],[id_src]],tblSource[id_src],tblSource[methodology_link])</f>
        <v>https://files.digital.nhs.uk/37/CA1829/ldsm-jan-20-main-report.pdf</v>
      </c>
      <c r="AI146" s="25" t="str">
        <f>_xlfn.XLOOKUP(tblMeasure[[#This Row],[id_src]],tblSource[id_src],tblSource[quality_issues])</f>
        <v>https://files.digital.nhs.uk/37/CA1829/ldsm-jan-20-main-report.pdf</v>
      </c>
      <c r="AJ146" s="25">
        <f>VLOOKUP(tblMeasure[[#This Row],[msr_population_or_survey]],strlu_msr_population_or_survey,2,FALSE)</f>
        <v>1</v>
      </c>
      <c r="AK146" s="25">
        <f>VLOOKUP(tblMeasure[[#This Row],[msr_min_geo_resolution]],strlu_msr_min_geo_resolution,2,FALSE)</f>
        <v>0</v>
      </c>
      <c r="AL146" s="25">
        <f>(MAX(tblMeasure[[#This Row],[src_year_last_published]]-2010+1,0)+MIN(2010-tblMeasure[[#This Row],[src_year_first_published]],0)-MAX(tblMeasure[[#This Row],[src_year_last_published]]-2019,0))/10</f>
        <v>0.5</v>
      </c>
      <c r="AM146" s="25">
        <f>IF(OR(tblMeasure[[#This Row],[src_discontinuity]]="None",tblMeasure[[#This Row],[src_discontinuity]]=0),1,0)</f>
        <v>0</v>
      </c>
      <c r="AN146" s="25">
        <f>VLOOKUP(tblMeasure[[#This Row],[src_pub_frequency]],strlu_src_pub_frequency,2,FALSE)</f>
        <v>1</v>
      </c>
      <c r="AO146" s="25">
        <f>VLOOKUP(tblMeasure[[#This Row],[src_pub_lag_months]],strlu_src_pub_lag_months,2,FALSE)</f>
        <v>0.9</v>
      </c>
      <c r="AP146" s="25">
        <f>VLOOKUP(tblMeasure[[#This Row],[src_statistic_class]],strlu_src_statistic_class,2,FALSE)</f>
        <v>0.5</v>
      </c>
      <c r="AQ146" s="25">
        <f>IF(tblMeasure[[#This Row],[src_methodology_url]]="TBD",0,1)</f>
        <v>1</v>
      </c>
      <c r="AR146" s="25">
        <f>IF(tblMeasure[[#This Row],[src_quality_url]]="TBD",0,1)</f>
        <v>1</v>
      </c>
      <c r="AS146" s="85" cm="1">
        <f t="array" ref="AS146">SUMPRODUCT(TRANSPOSE(tblMeasure[[#This Row],[str_msr_population_or_survey]:[str_src_quality_url]]),str_weights)/str_weights_total</f>
        <v>0.60769230769230775</v>
      </c>
    </row>
    <row r="147" spans="1:45" hidden="1" x14ac:dyDescent="0.15">
      <c r="A147" s="30">
        <v>145</v>
      </c>
      <c r="B147" s="15">
        <f>COUNTIF(requirement_measure_map!$D$3:$D$1514,measure!A147)</f>
        <v>1</v>
      </c>
      <c r="C147" s="30" t="s">
        <v>520</v>
      </c>
      <c r="D147" s="15" t="s">
        <v>647</v>
      </c>
      <c r="E147" s="15" t="s">
        <v>589</v>
      </c>
      <c r="F147" s="15" t="s">
        <v>648</v>
      </c>
      <c r="G147" s="29" t="s">
        <v>639</v>
      </c>
      <c r="H147" s="15"/>
      <c r="I147" s="15" t="s">
        <v>214</v>
      </c>
      <c r="J147" s="15" t="s">
        <v>215</v>
      </c>
      <c r="K147" s="15" t="s">
        <v>649</v>
      </c>
      <c r="L147" s="15" t="s">
        <v>233</v>
      </c>
      <c r="M147" s="15" t="s">
        <v>219</v>
      </c>
      <c r="N147" s="15" t="s">
        <v>219</v>
      </c>
      <c r="O147" s="15" t="s">
        <v>219</v>
      </c>
      <c r="P147" s="15" t="s">
        <v>219</v>
      </c>
      <c r="Q147" s="15" t="s">
        <v>220</v>
      </c>
      <c r="R147" s="15" t="s">
        <v>219</v>
      </c>
      <c r="S147" s="15" t="s">
        <v>219</v>
      </c>
      <c r="T147" s="15" t="s">
        <v>219</v>
      </c>
      <c r="U147" s="15" t="s">
        <v>219</v>
      </c>
      <c r="V147" s="15" t="s">
        <v>219</v>
      </c>
      <c r="W147" s="15">
        <v>7</v>
      </c>
      <c r="X147" s="15" t="str">
        <f>_xlfn.XLOOKUP(tblMeasure[[#This Row],[id_src]],tblSource[id_src],tblSource[org])</f>
        <v>NHS Digital</v>
      </c>
      <c r="Y147" s="15" t="str">
        <f>_xlfn.XLOOKUP(tblMeasure[[#This Row],[id_src]],tblSource[id_src],tblSource[source])</f>
        <v>Learning Disability Services Statistics</v>
      </c>
      <c r="Z147" s="15" t="str">
        <f>_xlfn.XLOOKUP(tblMeasure[[#This Row],[id_src]],tblSource[id_src],tblSource[url_source])</f>
        <v>https://digital.nhs.uk/data-and-information/publications/statistical/learning-disability-services-statistics</v>
      </c>
      <c r="AA147" s="15">
        <f>_xlfn.XLOOKUP(tblMeasure[[#This Row],[id_src]],tblSource[id_src],tblSource[year_first_published])</f>
        <v>2015</v>
      </c>
      <c r="AB147" s="15">
        <f>_xlfn.XLOOKUP(tblMeasure[[#This Row],[id_src]],tblSource[id_src],tblSource[year_last_published])</f>
        <v>2020</v>
      </c>
      <c r="AC147" s="15" t="str">
        <f>_xlfn.XLOOKUP(tblMeasure[[#This Row],[id_src]],tblSource[id_src],tblSource[discontinuity])</f>
        <v>TBD</v>
      </c>
      <c r="AD147" s="15" t="str">
        <f>_xlfn.XLOOKUP(tblMeasure[[#This Row],[id_src]],tblSource[id_src],tblSource[publication_frequency])</f>
        <v>Monthly</v>
      </c>
      <c r="AE147" s="15">
        <f>_xlfn.XLOOKUP(tblMeasure[[#This Row],[id_src]],tblSource[id_src],tblSource[publication_lag_months])</f>
        <v>1</v>
      </c>
      <c r="AF147" s="25" t="str">
        <f>_xlfn.XLOOKUP(tblMeasure[[#This Row],[id_src]],tblSource[id_src],tblSource[data_providers])</f>
        <v>CCG</v>
      </c>
      <c r="AG147" s="25" t="str">
        <f>_xlfn.XLOOKUP(tblMeasure[[#This Row],[id_src]],tblSource[id_src],tblSource[statistic_class])</f>
        <v>Experimental</v>
      </c>
      <c r="AH147" s="25" t="str">
        <f>_xlfn.XLOOKUP(tblMeasure[[#This Row],[id_src]],tblSource[id_src],tblSource[methodology_link])</f>
        <v>https://files.digital.nhs.uk/37/CA1829/ldsm-jan-20-main-report.pdf</v>
      </c>
      <c r="AI147" s="25" t="str">
        <f>_xlfn.XLOOKUP(tblMeasure[[#This Row],[id_src]],tblSource[id_src],tblSource[quality_issues])</f>
        <v>https://files.digital.nhs.uk/37/CA1829/ldsm-jan-20-main-report.pdf</v>
      </c>
      <c r="AJ147" s="25">
        <f>VLOOKUP(tblMeasure[[#This Row],[msr_population_or_survey]],strlu_msr_population_or_survey,2,FALSE)</f>
        <v>1</v>
      </c>
      <c r="AK147" s="25">
        <f>VLOOKUP(tblMeasure[[#This Row],[msr_min_geo_resolution]],strlu_msr_min_geo_resolution,2,FALSE)</f>
        <v>0</v>
      </c>
      <c r="AL147" s="25">
        <f>(MAX(tblMeasure[[#This Row],[src_year_last_published]]-2010+1,0)+MIN(2010-tblMeasure[[#This Row],[src_year_first_published]],0)-MAX(tblMeasure[[#This Row],[src_year_last_published]]-2019,0))/10</f>
        <v>0.5</v>
      </c>
      <c r="AM147" s="25">
        <f>IF(OR(tblMeasure[[#This Row],[src_discontinuity]]="None",tblMeasure[[#This Row],[src_discontinuity]]=0),1,0)</f>
        <v>0</v>
      </c>
      <c r="AN147" s="25">
        <f>VLOOKUP(tblMeasure[[#This Row],[src_pub_frequency]],strlu_src_pub_frequency,2,FALSE)</f>
        <v>1</v>
      </c>
      <c r="AO147" s="25">
        <f>VLOOKUP(tblMeasure[[#This Row],[src_pub_lag_months]],strlu_src_pub_lag_months,2,FALSE)</f>
        <v>0.9</v>
      </c>
      <c r="AP147" s="25">
        <f>VLOOKUP(tblMeasure[[#This Row],[src_statistic_class]],strlu_src_statistic_class,2,FALSE)</f>
        <v>0.5</v>
      </c>
      <c r="AQ147" s="25">
        <f>IF(tblMeasure[[#This Row],[src_methodology_url]]="TBD",0,1)</f>
        <v>1</v>
      </c>
      <c r="AR147" s="25">
        <f>IF(tblMeasure[[#This Row],[src_quality_url]]="TBD",0,1)</f>
        <v>1</v>
      </c>
      <c r="AS147" s="85" cm="1">
        <f t="array" ref="AS147">SUMPRODUCT(TRANSPOSE(tblMeasure[[#This Row],[str_msr_population_or_survey]:[str_src_quality_url]]),str_weights)/str_weights_total</f>
        <v>0.60769230769230775</v>
      </c>
    </row>
    <row r="148" spans="1:45" hidden="1" x14ac:dyDescent="0.15">
      <c r="A148" s="30">
        <v>146</v>
      </c>
      <c r="B148" s="15">
        <f>COUNTIF(requirement_measure_map!$D$3:$D$1514,measure!A148)</f>
        <v>7</v>
      </c>
      <c r="C148" s="30" t="s">
        <v>520</v>
      </c>
      <c r="D148" s="15" t="s">
        <v>650</v>
      </c>
      <c r="E148" s="15" t="s">
        <v>592</v>
      </c>
      <c r="F148" s="15" t="s">
        <v>651</v>
      </c>
      <c r="G148" s="29" t="s">
        <v>639</v>
      </c>
      <c r="H148" s="15"/>
      <c r="I148" s="15" t="s">
        <v>214</v>
      </c>
      <c r="J148" s="15" t="s">
        <v>215</v>
      </c>
      <c r="K148" s="15" t="s">
        <v>652</v>
      </c>
      <c r="L148" s="15" t="s">
        <v>233</v>
      </c>
      <c r="M148" s="15" t="s">
        <v>219</v>
      </c>
      <c r="N148" s="15" t="s">
        <v>219</v>
      </c>
      <c r="O148" s="15" t="s">
        <v>219</v>
      </c>
      <c r="P148" s="15" t="s">
        <v>219</v>
      </c>
      <c r="Q148" s="15" t="s">
        <v>220</v>
      </c>
      <c r="R148" s="15" t="s">
        <v>219</v>
      </c>
      <c r="S148" s="15" t="s">
        <v>219</v>
      </c>
      <c r="T148" s="15" t="s">
        <v>219</v>
      </c>
      <c r="U148" s="15" t="s">
        <v>529</v>
      </c>
      <c r="V148" s="15" t="s">
        <v>219</v>
      </c>
      <c r="W148" s="15">
        <v>7</v>
      </c>
      <c r="X148" s="15" t="str">
        <f>_xlfn.XLOOKUP(tblMeasure[[#This Row],[id_src]],tblSource[id_src],tblSource[org])</f>
        <v>NHS Digital</v>
      </c>
      <c r="Y148" s="15" t="str">
        <f>_xlfn.XLOOKUP(tblMeasure[[#This Row],[id_src]],tblSource[id_src],tblSource[source])</f>
        <v>Learning Disability Services Statistics</v>
      </c>
      <c r="Z148" s="15" t="str">
        <f>_xlfn.XLOOKUP(tblMeasure[[#This Row],[id_src]],tblSource[id_src],tblSource[url_source])</f>
        <v>https://digital.nhs.uk/data-and-information/publications/statistical/learning-disability-services-statistics</v>
      </c>
      <c r="AA148" s="15">
        <f>_xlfn.XLOOKUP(tblMeasure[[#This Row],[id_src]],tblSource[id_src],tblSource[year_first_published])</f>
        <v>2015</v>
      </c>
      <c r="AB148" s="15">
        <f>_xlfn.XLOOKUP(tblMeasure[[#This Row],[id_src]],tblSource[id_src],tblSource[year_last_published])</f>
        <v>2020</v>
      </c>
      <c r="AC148" s="15" t="str">
        <f>_xlfn.XLOOKUP(tblMeasure[[#This Row],[id_src]],tblSource[id_src],tblSource[discontinuity])</f>
        <v>TBD</v>
      </c>
      <c r="AD148" s="15" t="str">
        <f>_xlfn.XLOOKUP(tblMeasure[[#This Row],[id_src]],tblSource[id_src],tblSource[publication_frequency])</f>
        <v>Monthly</v>
      </c>
      <c r="AE148" s="15">
        <f>_xlfn.XLOOKUP(tblMeasure[[#This Row],[id_src]],tblSource[id_src],tblSource[publication_lag_months])</f>
        <v>1</v>
      </c>
      <c r="AF148" s="25" t="str">
        <f>_xlfn.XLOOKUP(tblMeasure[[#This Row],[id_src]],tblSource[id_src],tblSource[data_providers])</f>
        <v>CCG</v>
      </c>
      <c r="AG148" s="25" t="str">
        <f>_xlfn.XLOOKUP(tblMeasure[[#This Row],[id_src]],tblSource[id_src],tblSource[statistic_class])</f>
        <v>Experimental</v>
      </c>
      <c r="AH148" s="25" t="str">
        <f>_xlfn.XLOOKUP(tblMeasure[[#This Row],[id_src]],tblSource[id_src],tblSource[methodology_link])</f>
        <v>https://files.digital.nhs.uk/37/CA1829/ldsm-jan-20-main-report.pdf</v>
      </c>
      <c r="AI148" s="25" t="str">
        <f>_xlfn.XLOOKUP(tblMeasure[[#This Row],[id_src]],tblSource[id_src],tblSource[quality_issues])</f>
        <v>https://files.digital.nhs.uk/37/CA1829/ldsm-jan-20-main-report.pdf</v>
      </c>
      <c r="AJ148" s="25">
        <f>VLOOKUP(tblMeasure[[#This Row],[msr_population_or_survey]],strlu_msr_population_or_survey,2,FALSE)</f>
        <v>1</v>
      </c>
      <c r="AK148" s="25">
        <f>VLOOKUP(tblMeasure[[#This Row],[msr_min_geo_resolution]],strlu_msr_min_geo_resolution,2,FALSE)</f>
        <v>0</v>
      </c>
      <c r="AL148" s="25">
        <f>(MAX(tblMeasure[[#This Row],[src_year_last_published]]-2010+1,0)+MIN(2010-tblMeasure[[#This Row],[src_year_first_published]],0)-MAX(tblMeasure[[#This Row],[src_year_last_published]]-2019,0))/10</f>
        <v>0.5</v>
      </c>
      <c r="AM148" s="25">
        <f>IF(OR(tblMeasure[[#This Row],[src_discontinuity]]="None",tblMeasure[[#This Row],[src_discontinuity]]=0),1,0)</f>
        <v>0</v>
      </c>
      <c r="AN148" s="25">
        <f>VLOOKUP(tblMeasure[[#This Row],[src_pub_frequency]],strlu_src_pub_frequency,2,FALSE)</f>
        <v>1</v>
      </c>
      <c r="AO148" s="25">
        <f>VLOOKUP(tblMeasure[[#This Row],[src_pub_lag_months]],strlu_src_pub_lag_months,2,FALSE)</f>
        <v>0.9</v>
      </c>
      <c r="AP148" s="25">
        <f>VLOOKUP(tblMeasure[[#This Row],[src_statistic_class]],strlu_src_statistic_class,2,FALSE)</f>
        <v>0.5</v>
      </c>
      <c r="AQ148" s="25">
        <f>IF(tblMeasure[[#This Row],[src_methodology_url]]="TBD",0,1)</f>
        <v>1</v>
      </c>
      <c r="AR148" s="25">
        <f>IF(tblMeasure[[#This Row],[src_quality_url]]="TBD",0,1)</f>
        <v>1</v>
      </c>
      <c r="AS148" s="85" cm="1">
        <f t="array" ref="AS148">SUMPRODUCT(TRANSPOSE(tblMeasure[[#This Row],[str_msr_population_or_survey]:[str_src_quality_url]]),str_weights)/str_weights_total</f>
        <v>0.60769230769230775</v>
      </c>
    </row>
    <row r="149" spans="1:45" x14ac:dyDescent="0.15">
      <c r="A149" s="30">
        <v>147</v>
      </c>
      <c r="B149" s="15">
        <f>COUNTIF(requirement_measure_map!$D$3:$D$1514,measure!A149)</f>
        <v>7</v>
      </c>
      <c r="C149" s="30" t="s">
        <v>520</v>
      </c>
      <c r="D149" s="15" t="s">
        <v>653</v>
      </c>
      <c r="E149" s="15" t="s">
        <v>595</v>
      </c>
      <c r="F149" s="15" t="s">
        <v>654</v>
      </c>
      <c r="G149" s="29" t="s">
        <v>639</v>
      </c>
      <c r="H149" s="15"/>
      <c r="I149" s="15" t="s">
        <v>214</v>
      </c>
      <c r="J149" s="15" t="s">
        <v>215</v>
      </c>
      <c r="K149" s="15" t="s">
        <v>655</v>
      </c>
      <c r="L149" s="15" t="s">
        <v>233</v>
      </c>
      <c r="M149" s="15" t="s">
        <v>219</v>
      </c>
      <c r="N149" s="15" t="s">
        <v>219</v>
      </c>
      <c r="O149" s="15" t="s">
        <v>219</v>
      </c>
      <c r="P149" s="15" t="s">
        <v>219</v>
      </c>
      <c r="Q149" s="15" t="s">
        <v>220</v>
      </c>
      <c r="R149" s="15" t="s">
        <v>219</v>
      </c>
      <c r="S149" s="15" t="s">
        <v>219</v>
      </c>
      <c r="T149" s="15" t="s">
        <v>219</v>
      </c>
      <c r="U149" s="15" t="s">
        <v>219</v>
      </c>
      <c r="V149" s="15" t="s">
        <v>219</v>
      </c>
      <c r="W149" s="15">
        <v>7</v>
      </c>
      <c r="X149" s="15" t="str">
        <f>_xlfn.XLOOKUP(tblMeasure[[#This Row],[id_src]],tblSource[id_src],tblSource[org])</f>
        <v>NHS Digital</v>
      </c>
      <c r="Y149" s="15" t="str">
        <f>_xlfn.XLOOKUP(tblMeasure[[#This Row],[id_src]],tblSource[id_src],tblSource[source])</f>
        <v>Learning Disability Services Statistics</v>
      </c>
      <c r="Z149" s="15" t="str">
        <f>_xlfn.XLOOKUP(tblMeasure[[#This Row],[id_src]],tblSource[id_src],tblSource[url_source])</f>
        <v>https://digital.nhs.uk/data-and-information/publications/statistical/learning-disability-services-statistics</v>
      </c>
      <c r="AA149" s="15">
        <f>_xlfn.XLOOKUP(tblMeasure[[#This Row],[id_src]],tblSource[id_src],tblSource[year_first_published])</f>
        <v>2015</v>
      </c>
      <c r="AB149" s="15">
        <f>_xlfn.XLOOKUP(tblMeasure[[#This Row],[id_src]],tblSource[id_src],tblSource[year_last_published])</f>
        <v>2020</v>
      </c>
      <c r="AC149" s="15" t="str">
        <f>_xlfn.XLOOKUP(tblMeasure[[#This Row],[id_src]],tblSource[id_src],tblSource[discontinuity])</f>
        <v>TBD</v>
      </c>
      <c r="AD149" s="15" t="str">
        <f>_xlfn.XLOOKUP(tblMeasure[[#This Row],[id_src]],tblSource[id_src],tblSource[publication_frequency])</f>
        <v>Monthly</v>
      </c>
      <c r="AE149" s="15">
        <f>_xlfn.XLOOKUP(tblMeasure[[#This Row],[id_src]],tblSource[id_src],tblSource[publication_lag_months])</f>
        <v>1</v>
      </c>
      <c r="AF149" s="25" t="str">
        <f>_xlfn.XLOOKUP(tblMeasure[[#This Row],[id_src]],tblSource[id_src],tblSource[data_providers])</f>
        <v>CCG</v>
      </c>
      <c r="AG149" s="25" t="str">
        <f>_xlfn.XLOOKUP(tblMeasure[[#This Row],[id_src]],tblSource[id_src],tblSource[statistic_class])</f>
        <v>Experimental</v>
      </c>
      <c r="AH149" s="25" t="str">
        <f>_xlfn.XLOOKUP(tblMeasure[[#This Row],[id_src]],tblSource[id_src],tblSource[methodology_link])</f>
        <v>https://files.digital.nhs.uk/37/CA1829/ldsm-jan-20-main-report.pdf</v>
      </c>
      <c r="AI149" s="25" t="str">
        <f>_xlfn.XLOOKUP(tblMeasure[[#This Row],[id_src]],tblSource[id_src],tblSource[quality_issues])</f>
        <v>https://files.digital.nhs.uk/37/CA1829/ldsm-jan-20-main-report.pdf</v>
      </c>
      <c r="AJ149" s="25">
        <f>VLOOKUP(tblMeasure[[#This Row],[msr_population_or_survey]],strlu_msr_population_or_survey,2,FALSE)</f>
        <v>1</v>
      </c>
      <c r="AK149" s="25">
        <f>VLOOKUP(tblMeasure[[#This Row],[msr_min_geo_resolution]],strlu_msr_min_geo_resolution,2,FALSE)</f>
        <v>0</v>
      </c>
      <c r="AL149" s="25">
        <f>(MAX(tblMeasure[[#This Row],[src_year_last_published]]-2010+1,0)+MIN(2010-tblMeasure[[#This Row],[src_year_first_published]],0)-MAX(tblMeasure[[#This Row],[src_year_last_published]]-2019,0))/10</f>
        <v>0.5</v>
      </c>
      <c r="AM149" s="25">
        <f>IF(OR(tblMeasure[[#This Row],[src_discontinuity]]="None",tblMeasure[[#This Row],[src_discontinuity]]=0),1,0)</f>
        <v>0</v>
      </c>
      <c r="AN149" s="25">
        <f>VLOOKUP(tblMeasure[[#This Row],[src_pub_frequency]],strlu_src_pub_frequency,2,FALSE)</f>
        <v>1</v>
      </c>
      <c r="AO149" s="25">
        <f>VLOOKUP(tblMeasure[[#This Row],[src_pub_lag_months]],strlu_src_pub_lag_months,2,FALSE)</f>
        <v>0.9</v>
      </c>
      <c r="AP149" s="25">
        <f>VLOOKUP(tblMeasure[[#This Row],[src_statistic_class]],strlu_src_statistic_class,2,FALSE)</f>
        <v>0.5</v>
      </c>
      <c r="AQ149" s="25">
        <f>IF(tblMeasure[[#This Row],[src_methodology_url]]="TBD",0,1)</f>
        <v>1</v>
      </c>
      <c r="AR149" s="25">
        <f>IF(tblMeasure[[#This Row],[src_quality_url]]="TBD",0,1)</f>
        <v>1</v>
      </c>
      <c r="AS149" s="85" cm="1">
        <f t="array" ref="AS149">SUMPRODUCT(TRANSPOSE(tblMeasure[[#This Row],[str_msr_population_or_survey]:[str_src_quality_url]]),str_weights)/str_weights_total</f>
        <v>0.60769230769230775</v>
      </c>
    </row>
    <row r="150" spans="1:45" x14ac:dyDescent="0.15">
      <c r="A150" s="30">
        <v>148</v>
      </c>
      <c r="B150" s="15">
        <f>COUNTIF(requirement_measure_map!$D$3:$D$1514,measure!A150)</f>
        <v>1</v>
      </c>
      <c r="C150" s="30" t="s">
        <v>656</v>
      </c>
      <c r="D150" s="15" t="s">
        <v>657</v>
      </c>
      <c r="E150" s="15" t="s">
        <v>598</v>
      </c>
      <c r="F150" s="15" t="s">
        <v>658</v>
      </c>
      <c r="G150" s="29" t="s">
        <v>639</v>
      </c>
      <c r="H150" s="15"/>
      <c r="I150" s="15" t="s">
        <v>214</v>
      </c>
      <c r="J150" s="15" t="s">
        <v>215</v>
      </c>
      <c r="K150" s="15" t="s">
        <v>659</v>
      </c>
      <c r="L150" s="15" t="s">
        <v>233</v>
      </c>
      <c r="M150" s="15" t="s">
        <v>219</v>
      </c>
      <c r="N150" s="15" t="s">
        <v>219</v>
      </c>
      <c r="O150" s="15" t="s">
        <v>219</v>
      </c>
      <c r="P150" s="15" t="s">
        <v>219</v>
      </c>
      <c r="Q150" s="15" t="s">
        <v>220</v>
      </c>
      <c r="R150" s="15" t="s">
        <v>219</v>
      </c>
      <c r="S150" s="15" t="s">
        <v>219</v>
      </c>
      <c r="T150" s="15" t="s">
        <v>219</v>
      </c>
      <c r="U150" s="15" t="s">
        <v>219</v>
      </c>
      <c r="V150" s="15" t="s">
        <v>219</v>
      </c>
      <c r="W150" s="15">
        <v>7</v>
      </c>
      <c r="X150" s="15" t="str">
        <f>_xlfn.XLOOKUP(tblMeasure[[#This Row],[id_src]],tblSource[id_src],tblSource[org])</f>
        <v>NHS Digital</v>
      </c>
      <c r="Y150" s="15" t="str">
        <f>_xlfn.XLOOKUP(tblMeasure[[#This Row],[id_src]],tblSource[id_src],tblSource[source])</f>
        <v>Learning Disability Services Statistics</v>
      </c>
      <c r="Z150" s="15" t="str">
        <f>_xlfn.XLOOKUP(tblMeasure[[#This Row],[id_src]],tblSource[id_src],tblSource[url_source])</f>
        <v>https://digital.nhs.uk/data-and-information/publications/statistical/learning-disability-services-statistics</v>
      </c>
      <c r="AA150" s="15">
        <f>_xlfn.XLOOKUP(tblMeasure[[#This Row],[id_src]],tblSource[id_src],tblSource[year_first_published])</f>
        <v>2015</v>
      </c>
      <c r="AB150" s="15">
        <f>_xlfn.XLOOKUP(tblMeasure[[#This Row],[id_src]],tblSource[id_src],tblSource[year_last_published])</f>
        <v>2020</v>
      </c>
      <c r="AC150" s="15" t="str">
        <f>_xlfn.XLOOKUP(tblMeasure[[#This Row],[id_src]],tblSource[id_src],tblSource[discontinuity])</f>
        <v>TBD</v>
      </c>
      <c r="AD150" s="15" t="str">
        <f>_xlfn.XLOOKUP(tblMeasure[[#This Row],[id_src]],tblSource[id_src],tblSource[publication_frequency])</f>
        <v>Monthly</v>
      </c>
      <c r="AE150" s="15">
        <f>_xlfn.XLOOKUP(tblMeasure[[#This Row],[id_src]],tblSource[id_src],tblSource[publication_lag_months])</f>
        <v>1</v>
      </c>
      <c r="AF150" s="25" t="str">
        <f>_xlfn.XLOOKUP(tblMeasure[[#This Row],[id_src]],tblSource[id_src],tblSource[data_providers])</f>
        <v>CCG</v>
      </c>
      <c r="AG150" s="25" t="str">
        <f>_xlfn.XLOOKUP(tblMeasure[[#This Row],[id_src]],tblSource[id_src],tblSource[statistic_class])</f>
        <v>Experimental</v>
      </c>
      <c r="AH150" s="25" t="str">
        <f>_xlfn.XLOOKUP(tblMeasure[[#This Row],[id_src]],tblSource[id_src],tblSource[methodology_link])</f>
        <v>https://files.digital.nhs.uk/37/CA1829/ldsm-jan-20-main-report.pdf</v>
      </c>
      <c r="AI150" s="25" t="str">
        <f>_xlfn.XLOOKUP(tblMeasure[[#This Row],[id_src]],tblSource[id_src],tblSource[quality_issues])</f>
        <v>https://files.digital.nhs.uk/37/CA1829/ldsm-jan-20-main-report.pdf</v>
      </c>
      <c r="AJ150" s="25">
        <f>VLOOKUP(tblMeasure[[#This Row],[msr_population_or_survey]],strlu_msr_population_or_survey,2,FALSE)</f>
        <v>1</v>
      </c>
      <c r="AK150" s="25">
        <f>VLOOKUP(tblMeasure[[#This Row],[msr_min_geo_resolution]],strlu_msr_min_geo_resolution,2,FALSE)</f>
        <v>0</v>
      </c>
      <c r="AL150" s="25">
        <f>(MAX(tblMeasure[[#This Row],[src_year_last_published]]-2010+1,0)+MIN(2010-tblMeasure[[#This Row],[src_year_first_published]],0)-MAX(tblMeasure[[#This Row],[src_year_last_published]]-2019,0))/10</f>
        <v>0.5</v>
      </c>
      <c r="AM150" s="25">
        <f>IF(OR(tblMeasure[[#This Row],[src_discontinuity]]="None",tblMeasure[[#This Row],[src_discontinuity]]=0),1,0)</f>
        <v>0</v>
      </c>
      <c r="AN150" s="25">
        <f>VLOOKUP(tblMeasure[[#This Row],[src_pub_frequency]],strlu_src_pub_frequency,2,FALSE)</f>
        <v>1</v>
      </c>
      <c r="AO150" s="25">
        <f>VLOOKUP(tblMeasure[[#This Row],[src_pub_lag_months]],strlu_src_pub_lag_months,2,FALSE)</f>
        <v>0.9</v>
      </c>
      <c r="AP150" s="25">
        <f>VLOOKUP(tblMeasure[[#This Row],[src_statistic_class]],strlu_src_statistic_class,2,FALSE)</f>
        <v>0.5</v>
      </c>
      <c r="AQ150" s="25">
        <f>IF(tblMeasure[[#This Row],[src_methodology_url]]="TBD",0,1)</f>
        <v>1</v>
      </c>
      <c r="AR150" s="25">
        <f>IF(tblMeasure[[#This Row],[src_quality_url]]="TBD",0,1)</f>
        <v>1</v>
      </c>
      <c r="AS150" s="85" cm="1">
        <f t="array" ref="AS150">SUMPRODUCT(TRANSPOSE(tblMeasure[[#This Row],[str_msr_population_or_survey]:[str_src_quality_url]]),str_weights)/str_weights_total</f>
        <v>0.60769230769230775</v>
      </c>
    </row>
    <row r="151" spans="1:45" hidden="1" x14ac:dyDescent="0.15">
      <c r="A151" s="30">
        <v>149</v>
      </c>
      <c r="B151" s="15">
        <f>COUNTIF(requirement_measure_map!$D$3:$D$1514,measure!A151)</f>
        <v>1</v>
      </c>
      <c r="C151" s="30" t="s">
        <v>656</v>
      </c>
      <c r="D151" s="15" t="s">
        <v>660</v>
      </c>
      <c r="E151" s="15" t="s">
        <v>601</v>
      </c>
      <c r="F151" s="15" t="s">
        <v>661</v>
      </c>
      <c r="G151" s="29" t="s">
        <v>639</v>
      </c>
      <c r="H151" s="15"/>
      <c r="I151" s="15" t="s">
        <v>214</v>
      </c>
      <c r="J151" s="15" t="s">
        <v>215</v>
      </c>
      <c r="K151" s="15" t="s">
        <v>662</v>
      </c>
      <c r="L151" s="15" t="s">
        <v>233</v>
      </c>
      <c r="M151" s="15" t="s">
        <v>219</v>
      </c>
      <c r="N151" s="15" t="s">
        <v>219</v>
      </c>
      <c r="O151" s="15" t="s">
        <v>219</v>
      </c>
      <c r="P151" s="15" t="s">
        <v>219</v>
      </c>
      <c r="Q151" s="15" t="s">
        <v>220</v>
      </c>
      <c r="R151" s="15" t="s">
        <v>219</v>
      </c>
      <c r="S151" s="15" t="s">
        <v>219</v>
      </c>
      <c r="T151" s="15" t="s">
        <v>219</v>
      </c>
      <c r="U151" s="15" t="s">
        <v>219</v>
      </c>
      <c r="V151" s="15" t="s">
        <v>219</v>
      </c>
      <c r="W151" s="15">
        <v>7</v>
      </c>
      <c r="X151" s="15" t="str">
        <f>_xlfn.XLOOKUP(tblMeasure[[#This Row],[id_src]],tblSource[id_src],tblSource[org])</f>
        <v>NHS Digital</v>
      </c>
      <c r="Y151" s="15" t="str">
        <f>_xlfn.XLOOKUP(tblMeasure[[#This Row],[id_src]],tblSource[id_src],tblSource[source])</f>
        <v>Learning Disability Services Statistics</v>
      </c>
      <c r="Z151" s="15" t="str">
        <f>_xlfn.XLOOKUP(tblMeasure[[#This Row],[id_src]],tblSource[id_src],tblSource[url_source])</f>
        <v>https://digital.nhs.uk/data-and-information/publications/statistical/learning-disability-services-statistics</v>
      </c>
      <c r="AA151" s="15">
        <f>_xlfn.XLOOKUP(tblMeasure[[#This Row],[id_src]],tblSource[id_src],tblSource[year_first_published])</f>
        <v>2015</v>
      </c>
      <c r="AB151" s="15">
        <f>_xlfn.XLOOKUP(tblMeasure[[#This Row],[id_src]],tblSource[id_src],tblSource[year_last_published])</f>
        <v>2020</v>
      </c>
      <c r="AC151" s="15" t="str">
        <f>_xlfn.XLOOKUP(tblMeasure[[#This Row],[id_src]],tblSource[id_src],tblSource[discontinuity])</f>
        <v>TBD</v>
      </c>
      <c r="AD151" s="15" t="str">
        <f>_xlfn.XLOOKUP(tblMeasure[[#This Row],[id_src]],tblSource[id_src],tblSource[publication_frequency])</f>
        <v>Monthly</v>
      </c>
      <c r="AE151" s="15">
        <f>_xlfn.XLOOKUP(tblMeasure[[#This Row],[id_src]],tblSource[id_src],tblSource[publication_lag_months])</f>
        <v>1</v>
      </c>
      <c r="AF151" s="25" t="str">
        <f>_xlfn.XLOOKUP(tblMeasure[[#This Row],[id_src]],tblSource[id_src],tblSource[data_providers])</f>
        <v>CCG</v>
      </c>
      <c r="AG151" s="25" t="str">
        <f>_xlfn.XLOOKUP(tblMeasure[[#This Row],[id_src]],tblSource[id_src],tblSource[statistic_class])</f>
        <v>Experimental</v>
      </c>
      <c r="AH151" s="25" t="str">
        <f>_xlfn.XLOOKUP(tblMeasure[[#This Row],[id_src]],tblSource[id_src],tblSource[methodology_link])</f>
        <v>https://files.digital.nhs.uk/37/CA1829/ldsm-jan-20-main-report.pdf</v>
      </c>
      <c r="AI151" s="25" t="str">
        <f>_xlfn.XLOOKUP(tblMeasure[[#This Row],[id_src]],tblSource[id_src],tblSource[quality_issues])</f>
        <v>https://files.digital.nhs.uk/37/CA1829/ldsm-jan-20-main-report.pdf</v>
      </c>
      <c r="AJ151" s="25">
        <f>VLOOKUP(tblMeasure[[#This Row],[msr_population_or_survey]],strlu_msr_population_or_survey,2,FALSE)</f>
        <v>1</v>
      </c>
      <c r="AK151" s="25">
        <f>VLOOKUP(tblMeasure[[#This Row],[msr_min_geo_resolution]],strlu_msr_min_geo_resolution,2,FALSE)</f>
        <v>0</v>
      </c>
      <c r="AL151" s="25">
        <f>(MAX(tblMeasure[[#This Row],[src_year_last_published]]-2010+1,0)+MIN(2010-tblMeasure[[#This Row],[src_year_first_published]],0)-MAX(tblMeasure[[#This Row],[src_year_last_published]]-2019,0))/10</f>
        <v>0.5</v>
      </c>
      <c r="AM151" s="25">
        <f>IF(OR(tblMeasure[[#This Row],[src_discontinuity]]="None",tblMeasure[[#This Row],[src_discontinuity]]=0),1,0)</f>
        <v>0</v>
      </c>
      <c r="AN151" s="25">
        <f>VLOOKUP(tblMeasure[[#This Row],[src_pub_frequency]],strlu_src_pub_frequency,2,FALSE)</f>
        <v>1</v>
      </c>
      <c r="AO151" s="25">
        <f>VLOOKUP(tblMeasure[[#This Row],[src_pub_lag_months]],strlu_src_pub_lag_months,2,FALSE)</f>
        <v>0.9</v>
      </c>
      <c r="AP151" s="25">
        <f>VLOOKUP(tblMeasure[[#This Row],[src_statistic_class]],strlu_src_statistic_class,2,FALSE)</f>
        <v>0.5</v>
      </c>
      <c r="AQ151" s="25">
        <f>IF(tblMeasure[[#This Row],[src_methodology_url]]="TBD",0,1)</f>
        <v>1</v>
      </c>
      <c r="AR151" s="25">
        <f>IF(tblMeasure[[#This Row],[src_quality_url]]="TBD",0,1)</f>
        <v>1</v>
      </c>
      <c r="AS151" s="85" cm="1">
        <f t="array" ref="AS151">SUMPRODUCT(TRANSPOSE(tblMeasure[[#This Row],[str_msr_population_or_survey]:[str_src_quality_url]]),str_weights)/str_weights_total</f>
        <v>0.60769230769230775</v>
      </c>
    </row>
    <row r="152" spans="1:45" hidden="1" x14ac:dyDescent="0.15">
      <c r="A152" s="30">
        <v>150</v>
      </c>
      <c r="B152" s="15">
        <f>COUNTIF(requirement_measure_map!$D$3:$D$1514,measure!A152)</f>
        <v>0</v>
      </c>
      <c r="C152" s="30" t="s">
        <v>663</v>
      </c>
      <c r="D152" s="15" t="s">
        <v>664</v>
      </c>
      <c r="E152" s="15" t="s">
        <v>604</v>
      </c>
      <c r="F152" s="15" t="s">
        <v>665</v>
      </c>
      <c r="G152" s="29" t="s">
        <v>639</v>
      </c>
      <c r="H152" s="15"/>
      <c r="I152" s="15" t="s">
        <v>214</v>
      </c>
      <c r="J152" s="15" t="s">
        <v>215</v>
      </c>
      <c r="K152" s="15" t="s">
        <v>666</v>
      </c>
      <c r="L152" s="15" t="s">
        <v>667</v>
      </c>
      <c r="M152" s="15" t="s">
        <v>219</v>
      </c>
      <c r="N152" s="15" t="s">
        <v>219</v>
      </c>
      <c r="O152" s="15" t="s">
        <v>219</v>
      </c>
      <c r="P152" s="15" t="s">
        <v>219</v>
      </c>
      <c r="Q152" s="15" t="s">
        <v>220</v>
      </c>
      <c r="R152" s="15" t="s">
        <v>219</v>
      </c>
      <c r="S152" s="15" t="s">
        <v>219</v>
      </c>
      <c r="T152" s="15" t="s">
        <v>219</v>
      </c>
      <c r="U152" s="15" t="s">
        <v>219</v>
      </c>
      <c r="V152" s="15" t="s">
        <v>219</v>
      </c>
      <c r="W152" s="15">
        <v>7</v>
      </c>
      <c r="X152" s="15" t="str">
        <f>_xlfn.XLOOKUP(tblMeasure[[#This Row],[id_src]],tblSource[id_src],tblSource[org])</f>
        <v>NHS Digital</v>
      </c>
      <c r="Y152" s="15" t="str">
        <f>_xlfn.XLOOKUP(tblMeasure[[#This Row],[id_src]],tblSource[id_src],tblSource[source])</f>
        <v>Learning Disability Services Statistics</v>
      </c>
      <c r="Z152" s="15" t="str">
        <f>_xlfn.XLOOKUP(tblMeasure[[#This Row],[id_src]],tblSource[id_src],tblSource[url_source])</f>
        <v>https://digital.nhs.uk/data-and-information/publications/statistical/learning-disability-services-statistics</v>
      </c>
      <c r="AA152" s="15">
        <f>_xlfn.XLOOKUP(tblMeasure[[#This Row],[id_src]],tblSource[id_src],tblSource[year_first_published])</f>
        <v>2015</v>
      </c>
      <c r="AB152" s="15">
        <f>_xlfn.XLOOKUP(tblMeasure[[#This Row],[id_src]],tblSource[id_src],tblSource[year_last_published])</f>
        <v>2020</v>
      </c>
      <c r="AC152" s="15" t="str">
        <f>_xlfn.XLOOKUP(tblMeasure[[#This Row],[id_src]],tblSource[id_src],tblSource[discontinuity])</f>
        <v>TBD</v>
      </c>
      <c r="AD152" s="15" t="str">
        <f>_xlfn.XLOOKUP(tblMeasure[[#This Row],[id_src]],tblSource[id_src],tblSource[publication_frequency])</f>
        <v>Monthly</v>
      </c>
      <c r="AE152" s="15">
        <f>_xlfn.XLOOKUP(tblMeasure[[#This Row],[id_src]],tblSource[id_src],tblSource[publication_lag_months])</f>
        <v>1</v>
      </c>
      <c r="AF152" s="25" t="str">
        <f>_xlfn.XLOOKUP(tblMeasure[[#This Row],[id_src]],tblSource[id_src],tblSource[data_providers])</f>
        <v>CCG</v>
      </c>
      <c r="AG152" s="25" t="str">
        <f>_xlfn.XLOOKUP(tblMeasure[[#This Row],[id_src]],tblSource[id_src],tblSource[statistic_class])</f>
        <v>Experimental</v>
      </c>
      <c r="AH152" s="25" t="str">
        <f>_xlfn.XLOOKUP(tblMeasure[[#This Row],[id_src]],tblSource[id_src],tblSource[methodology_link])</f>
        <v>https://files.digital.nhs.uk/37/CA1829/ldsm-jan-20-main-report.pdf</v>
      </c>
      <c r="AI152" s="25" t="str">
        <f>_xlfn.XLOOKUP(tblMeasure[[#This Row],[id_src]],tblSource[id_src],tblSource[quality_issues])</f>
        <v>https://files.digital.nhs.uk/37/CA1829/ldsm-jan-20-main-report.pdf</v>
      </c>
      <c r="AJ152" s="25">
        <f>VLOOKUP(tblMeasure[[#This Row],[msr_population_or_survey]],strlu_msr_population_or_survey,2,FALSE)</f>
        <v>1</v>
      </c>
      <c r="AK152" s="25">
        <f>VLOOKUP(tblMeasure[[#This Row],[msr_min_geo_resolution]],strlu_msr_min_geo_resolution,2,FALSE)</f>
        <v>1</v>
      </c>
      <c r="AL152" s="25">
        <f>(MAX(tblMeasure[[#This Row],[src_year_last_published]]-2010+1,0)+MIN(2010-tblMeasure[[#This Row],[src_year_first_published]],0)-MAX(tblMeasure[[#This Row],[src_year_last_published]]-2019,0))/10</f>
        <v>0.5</v>
      </c>
      <c r="AM152" s="25">
        <f>IF(OR(tblMeasure[[#This Row],[src_discontinuity]]="None",tblMeasure[[#This Row],[src_discontinuity]]=0),1,0)</f>
        <v>0</v>
      </c>
      <c r="AN152" s="25">
        <f>VLOOKUP(tblMeasure[[#This Row],[src_pub_frequency]],strlu_src_pub_frequency,2,FALSE)</f>
        <v>1</v>
      </c>
      <c r="AO152" s="25">
        <f>VLOOKUP(tblMeasure[[#This Row],[src_pub_lag_months]],strlu_src_pub_lag_months,2,FALSE)</f>
        <v>0.9</v>
      </c>
      <c r="AP152" s="25">
        <f>VLOOKUP(tblMeasure[[#This Row],[src_statistic_class]],strlu_src_statistic_class,2,FALSE)</f>
        <v>0.5</v>
      </c>
      <c r="AQ152" s="25">
        <f>IF(tblMeasure[[#This Row],[src_methodology_url]]="TBD",0,1)</f>
        <v>1</v>
      </c>
      <c r="AR152" s="25">
        <f>IF(tblMeasure[[#This Row],[src_quality_url]]="TBD",0,1)</f>
        <v>1</v>
      </c>
      <c r="AS152" s="85" cm="1">
        <f t="array" ref="AS152">SUMPRODUCT(TRANSPOSE(tblMeasure[[#This Row],[str_msr_population_or_survey]:[str_src_quality_url]]),str_weights)/str_weights_total</f>
        <v>0.76153846153846161</v>
      </c>
    </row>
    <row r="153" spans="1:45" hidden="1" x14ac:dyDescent="0.15">
      <c r="A153" s="30">
        <v>151</v>
      </c>
      <c r="B153" s="15">
        <f>COUNTIF(requirement_measure_map!$D$3:$D$1514,measure!A153)</f>
        <v>1</v>
      </c>
      <c r="C153" s="30" t="s">
        <v>656</v>
      </c>
      <c r="D153" s="15" t="s">
        <v>668</v>
      </c>
      <c r="E153" s="15" t="s">
        <v>669</v>
      </c>
      <c r="F153" s="15" t="s">
        <v>670</v>
      </c>
      <c r="G153" s="29" t="s">
        <v>639</v>
      </c>
      <c r="H153" s="15"/>
      <c r="I153" s="15" t="s">
        <v>214</v>
      </c>
      <c r="J153" s="15" t="s">
        <v>215</v>
      </c>
      <c r="K153" s="15" t="s">
        <v>671</v>
      </c>
      <c r="L153" s="15" t="s">
        <v>672</v>
      </c>
      <c r="M153" s="15" t="s">
        <v>219</v>
      </c>
      <c r="N153" s="15" t="s">
        <v>219</v>
      </c>
      <c r="O153" s="15" t="s">
        <v>219</v>
      </c>
      <c r="P153" s="15" t="s">
        <v>219</v>
      </c>
      <c r="Q153" s="15" t="s">
        <v>220</v>
      </c>
      <c r="R153" s="15" t="s">
        <v>219</v>
      </c>
      <c r="S153" s="15" t="s">
        <v>219</v>
      </c>
      <c r="T153" s="15" t="s">
        <v>219</v>
      </c>
      <c r="U153" s="15" t="s">
        <v>219</v>
      </c>
      <c r="V153" s="15" t="s">
        <v>219</v>
      </c>
      <c r="W153" s="15">
        <v>7</v>
      </c>
      <c r="X153" s="15" t="str">
        <f>_xlfn.XLOOKUP(tblMeasure[[#This Row],[id_src]],tblSource[id_src],tblSource[org])</f>
        <v>NHS Digital</v>
      </c>
      <c r="Y153" s="15" t="str">
        <f>_xlfn.XLOOKUP(tblMeasure[[#This Row],[id_src]],tblSource[id_src],tblSource[source])</f>
        <v>Learning Disability Services Statistics</v>
      </c>
      <c r="Z153" s="15" t="str">
        <f>_xlfn.XLOOKUP(tblMeasure[[#This Row],[id_src]],tblSource[id_src],tblSource[url_source])</f>
        <v>https://digital.nhs.uk/data-and-information/publications/statistical/learning-disability-services-statistics</v>
      </c>
      <c r="AA153" s="15">
        <f>_xlfn.XLOOKUP(tblMeasure[[#This Row],[id_src]],tblSource[id_src],tblSource[year_first_published])</f>
        <v>2015</v>
      </c>
      <c r="AB153" s="15">
        <f>_xlfn.XLOOKUP(tblMeasure[[#This Row],[id_src]],tblSource[id_src],tblSource[year_last_published])</f>
        <v>2020</v>
      </c>
      <c r="AC153" s="15" t="str">
        <f>_xlfn.XLOOKUP(tblMeasure[[#This Row],[id_src]],tblSource[id_src],tblSource[discontinuity])</f>
        <v>TBD</v>
      </c>
      <c r="AD153" s="15" t="str">
        <f>_xlfn.XLOOKUP(tblMeasure[[#This Row],[id_src]],tblSource[id_src],tblSource[publication_frequency])</f>
        <v>Monthly</v>
      </c>
      <c r="AE153" s="15">
        <f>_xlfn.XLOOKUP(tblMeasure[[#This Row],[id_src]],tblSource[id_src],tblSource[publication_lag_months])</f>
        <v>1</v>
      </c>
      <c r="AF153" s="25" t="str">
        <f>_xlfn.XLOOKUP(tblMeasure[[#This Row],[id_src]],tblSource[id_src],tblSource[data_providers])</f>
        <v>CCG</v>
      </c>
      <c r="AG153" s="25" t="str">
        <f>_xlfn.XLOOKUP(tblMeasure[[#This Row],[id_src]],tblSource[id_src],tblSource[statistic_class])</f>
        <v>Experimental</v>
      </c>
      <c r="AH153" s="25" t="str">
        <f>_xlfn.XLOOKUP(tblMeasure[[#This Row],[id_src]],tblSource[id_src],tblSource[methodology_link])</f>
        <v>https://files.digital.nhs.uk/37/CA1829/ldsm-jan-20-main-report.pdf</v>
      </c>
      <c r="AI153" s="25" t="str">
        <f>_xlfn.XLOOKUP(tblMeasure[[#This Row],[id_src]],tblSource[id_src],tblSource[quality_issues])</f>
        <v>https://files.digital.nhs.uk/37/CA1829/ldsm-jan-20-main-report.pdf</v>
      </c>
      <c r="AJ153" s="25">
        <f>VLOOKUP(tblMeasure[[#This Row],[msr_population_or_survey]],strlu_msr_population_or_survey,2,FALSE)</f>
        <v>1</v>
      </c>
      <c r="AK153" s="25">
        <f>VLOOKUP(tblMeasure[[#This Row],[msr_min_geo_resolution]],strlu_msr_min_geo_resolution,2,FALSE)</f>
        <v>1</v>
      </c>
      <c r="AL153" s="25">
        <f>(MAX(tblMeasure[[#This Row],[src_year_last_published]]-2010+1,0)+MIN(2010-tblMeasure[[#This Row],[src_year_first_published]],0)-MAX(tblMeasure[[#This Row],[src_year_last_published]]-2019,0))/10</f>
        <v>0.5</v>
      </c>
      <c r="AM153" s="25">
        <f>IF(OR(tblMeasure[[#This Row],[src_discontinuity]]="None",tblMeasure[[#This Row],[src_discontinuity]]=0),1,0)</f>
        <v>0</v>
      </c>
      <c r="AN153" s="25">
        <f>VLOOKUP(tblMeasure[[#This Row],[src_pub_frequency]],strlu_src_pub_frequency,2,FALSE)</f>
        <v>1</v>
      </c>
      <c r="AO153" s="25">
        <f>VLOOKUP(tblMeasure[[#This Row],[src_pub_lag_months]],strlu_src_pub_lag_months,2,FALSE)</f>
        <v>0.9</v>
      </c>
      <c r="AP153" s="25">
        <f>VLOOKUP(tblMeasure[[#This Row],[src_statistic_class]],strlu_src_statistic_class,2,FALSE)</f>
        <v>0.5</v>
      </c>
      <c r="AQ153" s="25">
        <f>IF(tblMeasure[[#This Row],[src_methodology_url]]="TBD",0,1)</f>
        <v>1</v>
      </c>
      <c r="AR153" s="25">
        <f>IF(tblMeasure[[#This Row],[src_quality_url]]="TBD",0,1)</f>
        <v>1</v>
      </c>
      <c r="AS153" s="85" cm="1">
        <f t="array" ref="AS153">SUMPRODUCT(TRANSPOSE(tblMeasure[[#This Row],[str_msr_population_or_survey]:[str_src_quality_url]]),str_weights)/str_weights_total</f>
        <v>0.76153846153846161</v>
      </c>
    </row>
    <row r="154" spans="1:45" hidden="1" x14ac:dyDescent="0.15">
      <c r="A154" s="30">
        <v>152</v>
      </c>
      <c r="B154" s="15">
        <f>COUNTIF(requirement_measure_map!$D$3:$D$1514,measure!A154)</f>
        <v>1</v>
      </c>
      <c r="C154" s="30" t="s">
        <v>656</v>
      </c>
      <c r="D154" s="15" t="s">
        <v>673</v>
      </c>
      <c r="E154" s="15" t="s">
        <v>674</v>
      </c>
      <c r="F154" s="15" t="s">
        <v>675</v>
      </c>
      <c r="G154" s="29" t="s">
        <v>639</v>
      </c>
      <c r="H154" s="15"/>
      <c r="I154" s="15" t="s">
        <v>214</v>
      </c>
      <c r="J154" s="15" t="s">
        <v>215</v>
      </c>
      <c r="K154" s="15" t="s">
        <v>671</v>
      </c>
      <c r="L154" s="15" t="s">
        <v>676</v>
      </c>
      <c r="M154" s="15" t="s">
        <v>219</v>
      </c>
      <c r="N154" s="15" t="s">
        <v>219</v>
      </c>
      <c r="O154" s="15" t="s">
        <v>219</v>
      </c>
      <c r="P154" s="15" t="s">
        <v>219</v>
      </c>
      <c r="Q154" s="15" t="s">
        <v>220</v>
      </c>
      <c r="R154" s="15" t="s">
        <v>219</v>
      </c>
      <c r="S154" s="15" t="s">
        <v>219</v>
      </c>
      <c r="T154" s="15" t="s">
        <v>219</v>
      </c>
      <c r="U154" s="15" t="s">
        <v>219</v>
      </c>
      <c r="V154" s="15" t="s">
        <v>219</v>
      </c>
      <c r="W154" s="15">
        <v>7</v>
      </c>
      <c r="X154" s="15" t="str">
        <f>_xlfn.XLOOKUP(tblMeasure[[#This Row],[id_src]],tblSource[id_src],tblSource[org])</f>
        <v>NHS Digital</v>
      </c>
      <c r="Y154" s="15" t="str">
        <f>_xlfn.XLOOKUP(tblMeasure[[#This Row],[id_src]],tblSource[id_src],tblSource[source])</f>
        <v>Learning Disability Services Statistics</v>
      </c>
      <c r="Z154" s="15" t="str">
        <f>_xlfn.XLOOKUP(tblMeasure[[#This Row],[id_src]],tblSource[id_src],tblSource[url_source])</f>
        <v>https://digital.nhs.uk/data-and-information/publications/statistical/learning-disability-services-statistics</v>
      </c>
      <c r="AA154" s="15">
        <f>_xlfn.XLOOKUP(tblMeasure[[#This Row],[id_src]],tblSource[id_src],tblSource[year_first_published])</f>
        <v>2015</v>
      </c>
      <c r="AB154" s="15">
        <f>_xlfn.XLOOKUP(tblMeasure[[#This Row],[id_src]],tblSource[id_src],tblSource[year_last_published])</f>
        <v>2020</v>
      </c>
      <c r="AC154" s="15" t="str">
        <f>_xlfn.XLOOKUP(tblMeasure[[#This Row],[id_src]],tblSource[id_src],tblSource[discontinuity])</f>
        <v>TBD</v>
      </c>
      <c r="AD154" s="15" t="str">
        <f>_xlfn.XLOOKUP(tblMeasure[[#This Row],[id_src]],tblSource[id_src],tblSource[publication_frequency])</f>
        <v>Monthly</v>
      </c>
      <c r="AE154" s="15">
        <f>_xlfn.XLOOKUP(tblMeasure[[#This Row],[id_src]],tblSource[id_src],tblSource[publication_lag_months])</f>
        <v>1</v>
      </c>
      <c r="AF154" s="25" t="str">
        <f>_xlfn.XLOOKUP(tblMeasure[[#This Row],[id_src]],tblSource[id_src],tblSource[data_providers])</f>
        <v>CCG</v>
      </c>
      <c r="AG154" s="25" t="str">
        <f>_xlfn.XLOOKUP(tblMeasure[[#This Row],[id_src]],tblSource[id_src],tblSource[statistic_class])</f>
        <v>Experimental</v>
      </c>
      <c r="AH154" s="25" t="str">
        <f>_xlfn.XLOOKUP(tblMeasure[[#This Row],[id_src]],tblSource[id_src],tblSource[methodology_link])</f>
        <v>https://files.digital.nhs.uk/37/CA1829/ldsm-jan-20-main-report.pdf</v>
      </c>
      <c r="AI154" s="25" t="str">
        <f>_xlfn.XLOOKUP(tblMeasure[[#This Row],[id_src]],tblSource[id_src],tblSource[quality_issues])</f>
        <v>https://files.digital.nhs.uk/37/CA1829/ldsm-jan-20-main-report.pdf</v>
      </c>
      <c r="AJ154" s="25">
        <f>VLOOKUP(tblMeasure[[#This Row],[msr_population_or_survey]],strlu_msr_population_or_survey,2,FALSE)</f>
        <v>1</v>
      </c>
      <c r="AK154" s="25">
        <f>VLOOKUP(tblMeasure[[#This Row],[msr_min_geo_resolution]],strlu_msr_min_geo_resolution,2,FALSE)</f>
        <v>0.8</v>
      </c>
      <c r="AL154" s="25">
        <f>(MAX(tblMeasure[[#This Row],[src_year_last_published]]-2010+1,0)+MIN(2010-tblMeasure[[#This Row],[src_year_first_published]],0)-MAX(tblMeasure[[#This Row],[src_year_last_published]]-2019,0))/10</f>
        <v>0.5</v>
      </c>
      <c r="AM154" s="25">
        <f>IF(OR(tblMeasure[[#This Row],[src_discontinuity]]="None",tblMeasure[[#This Row],[src_discontinuity]]=0),1,0)</f>
        <v>0</v>
      </c>
      <c r="AN154" s="25">
        <f>VLOOKUP(tblMeasure[[#This Row],[src_pub_frequency]],strlu_src_pub_frequency,2,FALSE)</f>
        <v>1</v>
      </c>
      <c r="AO154" s="25">
        <f>VLOOKUP(tblMeasure[[#This Row],[src_pub_lag_months]],strlu_src_pub_lag_months,2,FALSE)</f>
        <v>0.9</v>
      </c>
      <c r="AP154" s="25">
        <f>VLOOKUP(tblMeasure[[#This Row],[src_statistic_class]],strlu_src_statistic_class,2,FALSE)</f>
        <v>0.5</v>
      </c>
      <c r="AQ154" s="25">
        <f>IF(tblMeasure[[#This Row],[src_methodology_url]]="TBD",0,1)</f>
        <v>1</v>
      </c>
      <c r="AR154" s="25">
        <f>IF(tblMeasure[[#This Row],[src_quality_url]]="TBD",0,1)</f>
        <v>1</v>
      </c>
      <c r="AS154" s="85" cm="1">
        <f t="array" ref="AS154">SUMPRODUCT(TRANSPOSE(tblMeasure[[#This Row],[str_msr_population_or_survey]:[str_src_quality_url]]),str_weights)/str_weights_total</f>
        <v>0.73076923076923073</v>
      </c>
    </row>
    <row r="155" spans="1:45" hidden="1" x14ac:dyDescent="0.15">
      <c r="A155" s="30">
        <v>153</v>
      </c>
      <c r="B155" s="15">
        <f>COUNTIF(requirement_measure_map!$D$3:$D$1514,measure!A155)</f>
        <v>1</v>
      </c>
      <c r="C155" s="30" t="s">
        <v>656</v>
      </c>
      <c r="D155" s="15" t="s">
        <v>677</v>
      </c>
      <c r="E155" s="15" t="s">
        <v>678</v>
      </c>
      <c r="F155" s="15" t="s">
        <v>679</v>
      </c>
      <c r="G155" s="29" t="s">
        <v>639</v>
      </c>
      <c r="H155" s="15"/>
      <c r="I155" s="15" t="s">
        <v>214</v>
      </c>
      <c r="J155" s="15" t="s">
        <v>215</v>
      </c>
      <c r="K155" s="15" t="s">
        <v>671</v>
      </c>
      <c r="L155" s="15" t="s">
        <v>680</v>
      </c>
      <c r="M155" s="15" t="s">
        <v>219</v>
      </c>
      <c r="N155" s="15" t="s">
        <v>219</v>
      </c>
      <c r="O155" s="15" t="s">
        <v>219</v>
      </c>
      <c r="P155" s="15" t="s">
        <v>219</v>
      </c>
      <c r="Q155" s="15" t="s">
        <v>220</v>
      </c>
      <c r="R155" s="15" t="s">
        <v>218</v>
      </c>
      <c r="S155" s="15" t="s">
        <v>219</v>
      </c>
      <c r="T155" s="15" t="s">
        <v>219</v>
      </c>
      <c r="U155" s="15" t="s">
        <v>219</v>
      </c>
      <c r="V155" s="15" t="s">
        <v>219</v>
      </c>
      <c r="W155" s="15">
        <v>7</v>
      </c>
      <c r="X155" s="15" t="str">
        <f>_xlfn.XLOOKUP(tblMeasure[[#This Row],[id_src]],tblSource[id_src],tblSource[org])</f>
        <v>NHS Digital</v>
      </c>
      <c r="Y155" s="15" t="str">
        <f>_xlfn.XLOOKUP(tblMeasure[[#This Row],[id_src]],tblSource[id_src],tblSource[source])</f>
        <v>Learning Disability Services Statistics</v>
      </c>
      <c r="Z155" s="15" t="str">
        <f>_xlfn.XLOOKUP(tblMeasure[[#This Row],[id_src]],tblSource[id_src],tblSource[url_source])</f>
        <v>https://digital.nhs.uk/data-and-information/publications/statistical/learning-disability-services-statistics</v>
      </c>
      <c r="AA155" s="15">
        <f>_xlfn.XLOOKUP(tblMeasure[[#This Row],[id_src]],tblSource[id_src],tblSource[year_first_published])</f>
        <v>2015</v>
      </c>
      <c r="AB155" s="15">
        <f>_xlfn.XLOOKUP(tblMeasure[[#This Row],[id_src]],tblSource[id_src],tblSource[year_last_published])</f>
        <v>2020</v>
      </c>
      <c r="AC155" s="15" t="str">
        <f>_xlfn.XLOOKUP(tblMeasure[[#This Row],[id_src]],tblSource[id_src],tblSource[discontinuity])</f>
        <v>TBD</v>
      </c>
      <c r="AD155" s="15" t="str">
        <f>_xlfn.XLOOKUP(tblMeasure[[#This Row],[id_src]],tblSource[id_src],tblSource[publication_frequency])</f>
        <v>Monthly</v>
      </c>
      <c r="AE155" s="15">
        <f>_xlfn.XLOOKUP(tblMeasure[[#This Row],[id_src]],tblSource[id_src],tblSource[publication_lag_months])</f>
        <v>1</v>
      </c>
      <c r="AF155" s="25" t="str">
        <f>_xlfn.XLOOKUP(tblMeasure[[#This Row],[id_src]],tblSource[id_src],tblSource[data_providers])</f>
        <v>CCG</v>
      </c>
      <c r="AG155" s="25" t="str">
        <f>_xlfn.XLOOKUP(tblMeasure[[#This Row],[id_src]],tblSource[id_src],tblSource[statistic_class])</f>
        <v>Experimental</v>
      </c>
      <c r="AH155" s="25" t="str">
        <f>_xlfn.XLOOKUP(tblMeasure[[#This Row],[id_src]],tblSource[id_src],tblSource[methodology_link])</f>
        <v>https://files.digital.nhs.uk/37/CA1829/ldsm-jan-20-main-report.pdf</v>
      </c>
      <c r="AI155" s="25" t="str">
        <f>_xlfn.XLOOKUP(tblMeasure[[#This Row],[id_src]],tblSource[id_src],tblSource[quality_issues])</f>
        <v>https://files.digital.nhs.uk/37/CA1829/ldsm-jan-20-main-report.pdf</v>
      </c>
      <c r="AJ155" s="25">
        <f>VLOOKUP(tblMeasure[[#This Row],[msr_population_or_survey]],strlu_msr_population_or_survey,2,FALSE)</f>
        <v>1</v>
      </c>
      <c r="AK155" s="25">
        <f>VLOOKUP(tblMeasure[[#This Row],[msr_min_geo_resolution]],strlu_msr_min_geo_resolution,2,FALSE)</f>
        <v>1</v>
      </c>
      <c r="AL155" s="25">
        <f>(MAX(tblMeasure[[#This Row],[src_year_last_published]]-2010+1,0)+MIN(2010-tblMeasure[[#This Row],[src_year_first_published]],0)-MAX(tblMeasure[[#This Row],[src_year_last_published]]-2019,0))/10</f>
        <v>0.5</v>
      </c>
      <c r="AM155" s="25">
        <f>IF(OR(tblMeasure[[#This Row],[src_discontinuity]]="None",tblMeasure[[#This Row],[src_discontinuity]]=0),1,0)</f>
        <v>0</v>
      </c>
      <c r="AN155" s="25">
        <f>VLOOKUP(tblMeasure[[#This Row],[src_pub_frequency]],strlu_src_pub_frequency,2,FALSE)</f>
        <v>1</v>
      </c>
      <c r="AO155" s="25">
        <f>VLOOKUP(tblMeasure[[#This Row],[src_pub_lag_months]],strlu_src_pub_lag_months,2,FALSE)</f>
        <v>0.9</v>
      </c>
      <c r="AP155" s="25">
        <f>VLOOKUP(tblMeasure[[#This Row],[src_statistic_class]],strlu_src_statistic_class,2,FALSE)</f>
        <v>0.5</v>
      </c>
      <c r="AQ155" s="25">
        <f>IF(tblMeasure[[#This Row],[src_methodology_url]]="TBD",0,1)</f>
        <v>1</v>
      </c>
      <c r="AR155" s="25">
        <f>IF(tblMeasure[[#This Row],[src_quality_url]]="TBD",0,1)</f>
        <v>1</v>
      </c>
      <c r="AS155" s="85" cm="1">
        <f t="array" ref="AS155">SUMPRODUCT(TRANSPOSE(tblMeasure[[#This Row],[str_msr_population_or_survey]:[str_src_quality_url]]),str_weights)/str_weights_total</f>
        <v>0.76153846153846161</v>
      </c>
    </row>
    <row r="156" spans="1:45" hidden="1" x14ac:dyDescent="0.15">
      <c r="A156" s="30">
        <v>154</v>
      </c>
      <c r="B156" s="15">
        <f>COUNTIF(requirement_measure_map!$D$3:$D$1514,measure!A156)</f>
        <v>5</v>
      </c>
      <c r="C156" s="30" t="s">
        <v>656</v>
      </c>
      <c r="D156" s="15" t="s">
        <v>681</v>
      </c>
      <c r="E156" s="15" t="s">
        <v>682</v>
      </c>
      <c r="F156" s="15" t="s">
        <v>683</v>
      </c>
      <c r="G156" s="29" t="s">
        <v>639</v>
      </c>
      <c r="H156" s="15"/>
      <c r="I156" s="15" t="s">
        <v>214</v>
      </c>
      <c r="J156" s="15" t="s">
        <v>215</v>
      </c>
      <c r="K156" s="15" t="s">
        <v>684</v>
      </c>
      <c r="L156" s="15" t="s">
        <v>233</v>
      </c>
      <c r="M156" s="15" t="s">
        <v>219</v>
      </c>
      <c r="N156" s="15" t="s">
        <v>219</v>
      </c>
      <c r="O156" s="15" t="s">
        <v>219</v>
      </c>
      <c r="P156" s="15" t="s">
        <v>219</v>
      </c>
      <c r="Q156" s="15" t="s">
        <v>220</v>
      </c>
      <c r="R156" s="15" t="s">
        <v>219</v>
      </c>
      <c r="S156" s="15" t="s">
        <v>219</v>
      </c>
      <c r="T156" s="15" t="s">
        <v>219</v>
      </c>
      <c r="U156" s="15" t="s">
        <v>330</v>
      </c>
      <c r="V156" s="15" t="s">
        <v>219</v>
      </c>
      <c r="W156" s="15">
        <v>7</v>
      </c>
      <c r="X156" s="15" t="str">
        <f>_xlfn.XLOOKUP(tblMeasure[[#This Row],[id_src]],tblSource[id_src],tblSource[org])</f>
        <v>NHS Digital</v>
      </c>
      <c r="Y156" s="15" t="str">
        <f>_xlfn.XLOOKUP(tblMeasure[[#This Row],[id_src]],tblSource[id_src],tblSource[source])</f>
        <v>Learning Disability Services Statistics</v>
      </c>
      <c r="Z156" s="15" t="str">
        <f>_xlfn.XLOOKUP(tblMeasure[[#This Row],[id_src]],tblSource[id_src],tblSource[url_source])</f>
        <v>https://digital.nhs.uk/data-and-information/publications/statistical/learning-disability-services-statistics</v>
      </c>
      <c r="AA156" s="15">
        <f>_xlfn.XLOOKUP(tblMeasure[[#This Row],[id_src]],tblSource[id_src],tblSource[year_first_published])</f>
        <v>2015</v>
      </c>
      <c r="AB156" s="15">
        <f>_xlfn.XLOOKUP(tblMeasure[[#This Row],[id_src]],tblSource[id_src],tblSource[year_last_published])</f>
        <v>2020</v>
      </c>
      <c r="AC156" s="15" t="str">
        <f>_xlfn.XLOOKUP(tblMeasure[[#This Row],[id_src]],tblSource[id_src],tblSource[discontinuity])</f>
        <v>TBD</v>
      </c>
      <c r="AD156" s="15" t="str">
        <f>_xlfn.XLOOKUP(tblMeasure[[#This Row],[id_src]],tblSource[id_src],tblSource[publication_frequency])</f>
        <v>Monthly</v>
      </c>
      <c r="AE156" s="15">
        <f>_xlfn.XLOOKUP(tblMeasure[[#This Row],[id_src]],tblSource[id_src],tblSource[publication_lag_months])</f>
        <v>1</v>
      </c>
      <c r="AF156" s="25" t="str">
        <f>_xlfn.XLOOKUP(tblMeasure[[#This Row],[id_src]],tblSource[id_src],tblSource[data_providers])</f>
        <v>CCG</v>
      </c>
      <c r="AG156" s="25" t="str">
        <f>_xlfn.XLOOKUP(tblMeasure[[#This Row],[id_src]],tblSource[id_src],tblSource[statistic_class])</f>
        <v>Experimental</v>
      </c>
      <c r="AH156" s="25" t="str">
        <f>_xlfn.XLOOKUP(tblMeasure[[#This Row],[id_src]],tblSource[id_src],tblSource[methodology_link])</f>
        <v>https://files.digital.nhs.uk/37/CA1829/ldsm-jan-20-main-report.pdf</v>
      </c>
      <c r="AI156" s="25" t="str">
        <f>_xlfn.XLOOKUP(tblMeasure[[#This Row],[id_src]],tblSource[id_src],tblSource[quality_issues])</f>
        <v>https://files.digital.nhs.uk/37/CA1829/ldsm-jan-20-main-report.pdf</v>
      </c>
      <c r="AJ156" s="25">
        <f>VLOOKUP(tblMeasure[[#This Row],[msr_population_or_survey]],strlu_msr_population_or_survey,2,FALSE)</f>
        <v>1</v>
      </c>
      <c r="AK156" s="25">
        <f>VLOOKUP(tblMeasure[[#This Row],[msr_min_geo_resolution]],strlu_msr_min_geo_resolution,2,FALSE)</f>
        <v>0</v>
      </c>
      <c r="AL156" s="25">
        <f>(MAX(tblMeasure[[#This Row],[src_year_last_published]]-2010+1,0)+MIN(2010-tblMeasure[[#This Row],[src_year_first_published]],0)-MAX(tblMeasure[[#This Row],[src_year_last_published]]-2019,0))/10</f>
        <v>0.5</v>
      </c>
      <c r="AM156" s="25">
        <f>IF(OR(tblMeasure[[#This Row],[src_discontinuity]]="None",tblMeasure[[#This Row],[src_discontinuity]]=0),1,0)</f>
        <v>0</v>
      </c>
      <c r="AN156" s="25">
        <f>VLOOKUP(tblMeasure[[#This Row],[src_pub_frequency]],strlu_src_pub_frequency,2,FALSE)</f>
        <v>1</v>
      </c>
      <c r="AO156" s="25">
        <f>VLOOKUP(tblMeasure[[#This Row],[src_pub_lag_months]],strlu_src_pub_lag_months,2,FALSE)</f>
        <v>0.9</v>
      </c>
      <c r="AP156" s="25">
        <f>VLOOKUP(tblMeasure[[#This Row],[src_statistic_class]],strlu_src_statistic_class,2,FALSE)</f>
        <v>0.5</v>
      </c>
      <c r="AQ156" s="25">
        <f>IF(tblMeasure[[#This Row],[src_methodology_url]]="TBD",0,1)</f>
        <v>1</v>
      </c>
      <c r="AR156" s="25">
        <f>IF(tblMeasure[[#This Row],[src_quality_url]]="TBD",0,1)</f>
        <v>1</v>
      </c>
      <c r="AS156" s="85" cm="1">
        <f t="array" ref="AS156">SUMPRODUCT(TRANSPOSE(tblMeasure[[#This Row],[str_msr_population_or_survey]:[str_src_quality_url]]),str_weights)/str_weights_total</f>
        <v>0.60769230769230775</v>
      </c>
    </row>
    <row r="157" spans="1:45" hidden="1" x14ac:dyDescent="0.15">
      <c r="A157" s="30">
        <v>155</v>
      </c>
      <c r="B157" s="15">
        <f>COUNTIF(requirement_measure_map!$D$3:$D$1514,measure!A157)</f>
        <v>7</v>
      </c>
      <c r="C157" s="30" t="s">
        <v>656</v>
      </c>
      <c r="D157" s="15" t="s">
        <v>685</v>
      </c>
      <c r="E157" s="15" t="s">
        <v>686</v>
      </c>
      <c r="F157" s="15" t="s">
        <v>687</v>
      </c>
      <c r="G157" s="29" t="s">
        <v>639</v>
      </c>
      <c r="H157" s="15"/>
      <c r="I157" s="15" t="s">
        <v>214</v>
      </c>
      <c r="J157" s="15" t="s">
        <v>215</v>
      </c>
      <c r="K157" s="15" t="s">
        <v>688</v>
      </c>
      <c r="L157" s="15" t="s">
        <v>233</v>
      </c>
      <c r="M157" s="15" t="s">
        <v>219</v>
      </c>
      <c r="N157" s="15" t="s">
        <v>219</v>
      </c>
      <c r="O157" s="15" t="s">
        <v>219</v>
      </c>
      <c r="P157" s="15" t="s">
        <v>219</v>
      </c>
      <c r="Q157" s="15" t="s">
        <v>220</v>
      </c>
      <c r="R157" s="15" t="s">
        <v>219</v>
      </c>
      <c r="S157" s="15" t="s">
        <v>219</v>
      </c>
      <c r="T157" s="15" t="s">
        <v>219</v>
      </c>
      <c r="U157" s="15" t="s">
        <v>243</v>
      </c>
      <c r="V157" s="15" t="s">
        <v>219</v>
      </c>
      <c r="W157" s="15">
        <v>7</v>
      </c>
      <c r="X157" s="15" t="str">
        <f>_xlfn.XLOOKUP(tblMeasure[[#This Row],[id_src]],tblSource[id_src],tblSource[org])</f>
        <v>NHS Digital</v>
      </c>
      <c r="Y157" s="15" t="str">
        <f>_xlfn.XLOOKUP(tblMeasure[[#This Row],[id_src]],tblSource[id_src],tblSource[source])</f>
        <v>Learning Disability Services Statistics</v>
      </c>
      <c r="Z157" s="15" t="str">
        <f>_xlfn.XLOOKUP(tblMeasure[[#This Row],[id_src]],tblSource[id_src],tblSource[url_source])</f>
        <v>https://digital.nhs.uk/data-and-information/publications/statistical/learning-disability-services-statistics</v>
      </c>
      <c r="AA157" s="15">
        <f>_xlfn.XLOOKUP(tblMeasure[[#This Row],[id_src]],tblSource[id_src],tblSource[year_first_published])</f>
        <v>2015</v>
      </c>
      <c r="AB157" s="15">
        <f>_xlfn.XLOOKUP(tblMeasure[[#This Row],[id_src]],tblSource[id_src],tblSource[year_last_published])</f>
        <v>2020</v>
      </c>
      <c r="AC157" s="15" t="str">
        <f>_xlfn.XLOOKUP(tblMeasure[[#This Row],[id_src]],tblSource[id_src],tblSource[discontinuity])</f>
        <v>TBD</v>
      </c>
      <c r="AD157" s="15" t="str">
        <f>_xlfn.XLOOKUP(tblMeasure[[#This Row],[id_src]],tblSource[id_src],tblSource[publication_frequency])</f>
        <v>Monthly</v>
      </c>
      <c r="AE157" s="15">
        <f>_xlfn.XLOOKUP(tblMeasure[[#This Row],[id_src]],tblSource[id_src],tblSource[publication_lag_months])</f>
        <v>1</v>
      </c>
      <c r="AF157" s="25" t="str">
        <f>_xlfn.XLOOKUP(tblMeasure[[#This Row],[id_src]],tblSource[id_src],tblSource[data_providers])</f>
        <v>CCG</v>
      </c>
      <c r="AG157" s="25" t="str">
        <f>_xlfn.XLOOKUP(tblMeasure[[#This Row],[id_src]],tblSource[id_src],tblSource[statistic_class])</f>
        <v>Experimental</v>
      </c>
      <c r="AH157" s="25" t="str">
        <f>_xlfn.XLOOKUP(tblMeasure[[#This Row],[id_src]],tblSource[id_src],tblSource[methodology_link])</f>
        <v>https://files.digital.nhs.uk/37/CA1829/ldsm-jan-20-main-report.pdf</v>
      </c>
      <c r="AI157" s="25" t="str">
        <f>_xlfn.XLOOKUP(tblMeasure[[#This Row],[id_src]],tblSource[id_src],tblSource[quality_issues])</f>
        <v>https://files.digital.nhs.uk/37/CA1829/ldsm-jan-20-main-report.pdf</v>
      </c>
      <c r="AJ157" s="25">
        <f>VLOOKUP(tblMeasure[[#This Row],[msr_population_or_survey]],strlu_msr_population_or_survey,2,FALSE)</f>
        <v>1</v>
      </c>
      <c r="AK157" s="25">
        <f>VLOOKUP(tblMeasure[[#This Row],[msr_min_geo_resolution]],strlu_msr_min_geo_resolution,2,FALSE)</f>
        <v>0</v>
      </c>
      <c r="AL157" s="25">
        <f>(MAX(tblMeasure[[#This Row],[src_year_last_published]]-2010+1,0)+MIN(2010-tblMeasure[[#This Row],[src_year_first_published]],0)-MAX(tblMeasure[[#This Row],[src_year_last_published]]-2019,0))/10</f>
        <v>0.5</v>
      </c>
      <c r="AM157" s="25">
        <f>IF(OR(tblMeasure[[#This Row],[src_discontinuity]]="None",tblMeasure[[#This Row],[src_discontinuity]]=0),1,0)</f>
        <v>0</v>
      </c>
      <c r="AN157" s="25">
        <f>VLOOKUP(tblMeasure[[#This Row],[src_pub_frequency]],strlu_src_pub_frequency,2,FALSE)</f>
        <v>1</v>
      </c>
      <c r="AO157" s="25">
        <f>VLOOKUP(tblMeasure[[#This Row],[src_pub_lag_months]],strlu_src_pub_lag_months,2,FALSE)</f>
        <v>0.9</v>
      </c>
      <c r="AP157" s="25">
        <f>VLOOKUP(tblMeasure[[#This Row],[src_statistic_class]],strlu_src_statistic_class,2,FALSE)</f>
        <v>0.5</v>
      </c>
      <c r="AQ157" s="25">
        <f>IF(tblMeasure[[#This Row],[src_methodology_url]]="TBD",0,1)</f>
        <v>1</v>
      </c>
      <c r="AR157" s="25">
        <f>IF(tblMeasure[[#This Row],[src_quality_url]]="TBD",0,1)</f>
        <v>1</v>
      </c>
      <c r="AS157" s="85" cm="1">
        <f t="array" ref="AS157">SUMPRODUCT(TRANSPOSE(tblMeasure[[#This Row],[str_msr_population_or_survey]:[str_src_quality_url]]),str_weights)/str_weights_total</f>
        <v>0.60769230769230775</v>
      </c>
    </row>
    <row r="158" spans="1:45" hidden="1" x14ac:dyDescent="0.15">
      <c r="A158" s="30">
        <v>156</v>
      </c>
      <c r="B158" s="15">
        <f>COUNTIF(requirement_measure_map!$D$3:$D$1514,measure!A158)</f>
        <v>1</v>
      </c>
      <c r="C158" s="30" t="s">
        <v>656</v>
      </c>
      <c r="D158" s="15" t="s">
        <v>689</v>
      </c>
      <c r="E158" s="15" t="s">
        <v>690</v>
      </c>
      <c r="F158" s="15" t="s">
        <v>691</v>
      </c>
      <c r="G158" s="29" t="s">
        <v>639</v>
      </c>
      <c r="H158" s="15"/>
      <c r="I158" s="15" t="s">
        <v>214</v>
      </c>
      <c r="J158" s="15" t="s">
        <v>215</v>
      </c>
      <c r="K158" s="15" t="s">
        <v>692</v>
      </c>
      <c r="L158" s="15" t="s">
        <v>233</v>
      </c>
      <c r="M158" s="15" t="s">
        <v>219</v>
      </c>
      <c r="N158" s="15" t="s">
        <v>219</v>
      </c>
      <c r="O158" s="15" t="s">
        <v>219</v>
      </c>
      <c r="P158" s="15" t="s">
        <v>219</v>
      </c>
      <c r="Q158" s="15" t="s">
        <v>220</v>
      </c>
      <c r="R158" s="15" t="s">
        <v>219</v>
      </c>
      <c r="S158" s="15" t="s">
        <v>219</v>
      </c>
      <c r="T158" s="15" t="s">
        <v>219</v>
      </c>
      <c r="U158" s="15" t="s">
        <v>219</v>
      </c>
      <c r="V158" s="15" t="s">
        <v>219</v>
      </c>
      <c r="W158" s="15">
        <v>7</v>
      </c>
      <c r="X158" s="15" t="str">
        <f>_xlfn.XLOOKUP(tblMeasure[[#This Row],[id_src]],tblSource[id_src],tblSource[org])</f>
        <v>NHS Digital</v>
      </c>
      <c r="Y158" s="15" t="str">
        <f>_xlfn.XLOOKUP(tblMeasure[[#This Row],[id_src]],tblSource[id_src],tblSource[source])</f>
        <v>Learning Disability Services Statistics</v>
      </c>
      <c r="Z158" s="15" t="str">
        <f>_xlfn.XLOOKUP(tblMeasure[[#This Row],[id_src]],tblSource[id_src],tblSource[url_source])</f>
        <v>https://digital.nhs.uk/data-and-information/publications/statistical/learning-disability-services-statistics</v>
      </c>
      <c r="AA158" s="15">
        <f>_xlfn.XLOOKUP(tblMeasure[[#This Row],[id_src]],tblSource[id_src],tblSource[year_first_published])</f>
        <v>2015</v>
      </c>
      <c r="AB158" s="15">
        <f>_xlfn.XLOOKUP(tblMeasure[[#This Row],[id_src]],tblSource[id_src],tblSource[year_last_published])</f>
        <v>2020</v>
      </c>
      <c r="AC158" s="15" t="str">
        <f>_xlfn.XLOOKUP(tblMeasure[[#This Row],[id_src]],tblSource[id_src],tblSource[discontinuity])</f>
        <v>TBD</v>
      </c>
      <c r="AD158" s="15" t="str">
        <f>_xlfn.XLOOKUP(tblMeasure[[#This Row],[id_src]],tblSource[id_src],tblSource[publication_frequency])</f>
        <v>Monthly</v>
      </c>
      <c r="AE158" s="15">
        <f>_xlfn.XLOOKUP(tblMeasure[[#This Row],[id_src]],tblSource[id_src],tblSource[publication_lag_months])</f>
        <v>1</v>
      </c>
      <c r="AF158" s="25" t="str">
        <f>_xlfn.XLOOKUP(tblMeasure[[#This Row],[id_src]],tblSource[id_src],tblSource[data_providers])</f>
        <v>CCG</v>
      </c>
      <c r="AG158" s="25" t="str">
        <f>_xlfn.XLOOKUP(tblMeasure[[#This Row],[id_src]],tblSource[id_src],tblSource[statistic_class])</f>
        <v>Experimental</v>
      </c>
      <c r="AH158" s="25" t="str">
        <f>_xlfn.XLOOKUP(tblMeasure[[#This Row],[id_src]],tblSource[id_src],tblSource[methodology_link])</f>
        <v>https://files.digital.nhs.uk/37/CA1829/ldsm-jan-20-main-report.pdf</v>
      </c>
      <c r="AI158" s="25" t="str">
        <f>_xlfn.XLOOKUP(tblMeasure[[#This Row],[id_src]],tblSource[id_src],tblSource[quality_issues])</f>
        <v>https://files.digital.nhs.uk/37/CA1829/ldsm-jan-20-main-report.pdf</v>
      </c>
      <c r="AJ158" s="25">
        <f>VLOOKUP(tblMeasure[[#This Row],[msr_population_or_survey]],strlu_msr_population_or_survey,2,FALSE)</f>
        <v>1</v>
      </c>
      <c r="AK158" s="25">
        <f>VLOOKUP(tblMeasure[[#This Row],[msr_min_geo_resolution]],strlu_msr_min_geo_resolution,2,FALSE)</f>
        <v>0</v>
      </c>
      <c r="AL158" s="25">
        <f>(MAX(tblMeasure[[#This Row],[src_year_last_published]]-2010+1,0)+MIN(2010-tblMeasure[[#This Row],[src_year_first_published]],0)-MAX(tblMeasure[[#This Row],[src_year_last_published]]-2019,0))/10</f>
        <v>0.5</v>
      </c>
      <c r="AM158" s="25">
        <f>IF(OR(tblMeasure[[#This Row],[src_discontinuity]]="None",tblMeasure[[#This Row],[src_discontinuity]]=0),1,0)</f>
        <v>0</v>
      </c>
      <c r="AN158" s="25">
        <f>VLOOKUP(tblMeasure[[#This Row],[src_pub_frequency]],strlu_src_pub_frequency,2,FALSE)</f>
        <v>1</v>
      </c>
      <c r="AO158" s="25">
        <f>VLOOKUP(tblMeasure[[#This Row],[src_pub_lag_months]],strlu_src_pub_lag_months,2,FALSE)</f>
        <v>0.9</v>
      </c>
      <c r="AP158" s="25">
        <f>VLOOKUP(tblMeasure[[#This Row],[src_statistic_class]],strlu_src_statistic_class,2,FALSE)</f>
        <v>0.5</v>
      </c>
      <c r="AQ158" s="25">
        <f>IF(tblMeasure[[#This Row],[src_methodology_url]]="TBD",0,1)</f>
        <v>1</v>
      </c>
      <c r="AR158" s="25">
        <f>IF(tblMeasure[[#This Row],[src_quality_url]]="TBD",0,1)</f>
        <v>1</v>
      </c>
      <c r="AS158" s="85" cm="1">
        <f t="array" ref="AS158">SUMPRODUCT(TRANSPOSE(tblMeasure[[#This Row],[str_msr_population_or_survey]:[str_src_quality_url]]),str_weights)/str_weights_total</f>
        <v>0.60769230769230775</v>
      </c>
    </row>
    <row r="159" spans="1:45" hidden="1" x14ac:dyDescent="0.15">
      <c r="A159" s="30">
        <v>157</v>
      </c>
      <c r="B159" s="15">
        <f>COUNTIF(requirement_measure_map!$D$3:$D$1514,measure!A159)</f>
        <v>1</v>
      </c>
      <c r="C159" s="30" t="s">
        <v>656</v>
      </c>
      <c r="D159" s="15" t="s">
        <v>693</v>
      </c>
      <c r="E159" s="15" t="s">
        <v>694</v>
      </c>
      <c r="F159" s="15" t="s">
        <v>695</v>
      </c>
      <c r="G159" s="29" t="s">
        <v>639</v>
      </c>
      <c r="H159" s="15"/>
      <c r="I159" s="15" t="s">
        <v>214</v>
      </c>
      <c r="J159" s="15" t="s">
        <v>215</v>
      </c>
      <c r="K159" s="15" t="s">
        <v>696</v>
      </c>
      <c r="L159" s="15" t="s">
        <v>233</v>
      </c>
      <c r="M159" s="15" t="s">
        <v>219</v>
      </c>
      <c r="N159" s="15" t="s">
        <v>219</v>
      </c>
      <c r="O159" s="15" t="s">
        <v>219</v>
      </c>
      <c r="P159" s="15" t="s">
        <v>219</v>
      </c>
      <c r="Q159" s="15" t="s">
        <v>220</v>
      </c>
      <c r="R159" s="15" t="s">
        <v>219</v>
      </c>
      <c r="S159" s="15" t="s">
        <v>219</v>
      </c>
      <c r="T159" s="15" t="s">
        <v>219</v>
      </c>
      <c r="U159" s="15" t="s">
        <v>219</v>
      </c>
      <c r="V159" s="15" t="s">
        <v>219</v>
      </c>
      <c r="W159" s="15">
        <v>7</v>
      </c>
      <c r="X159" s="15" t="str">
        <f>_xlfn.XLOOKUP(tblMeasure[[#This Row],[id_src]],tblSource[id_src],tblSource[org])</f>
        <v>NHS Digital</v>
      </c>
      <c r="Y159" s="15" t="str">
        <f>_xlfn.XLOOKUP(tblMeasure[[#This Row],[id_src]],tblSource[id_src],tblSource[source])</f>
        <v>Learning Disability Services Statistics</v>
      </c>
      <c r="Z159" s="15" t="str">
        <f>_xlfn.XLOOKUP(tblMeasure[[#This Row],[id_src]],tblSource[id_src],tblSource[url_source])</f>
        <v>https://digital.nhs.uk/data-and-information/publications/statistical/learning-disability-services-statistics</v>
      </c>
      <c r="AA159" s="15">
        <f>_xlfn.XLOOKUP(tblMeasure[[#This Row],[id_src]],tblSource[id_src],tblSource[year_first_published])</f>
        <v>2015</v>
      </c>
      <c r="AB159" s="15">
        <f>_xlfn.XLOOKUP(tblMeasure[[#This Row],[id_src]],tblSource[id_src],tblSource[year_last_published])</f>
        <v>2020</v>
      </c>
      <c r="AC159" s="15" t="str">
        <f>_xlfn.XLOOKUP(tblMeasure[[#This Row],[id_src]],tblSource[id_src],tblSource[discontinuity])</f>
        <v>TBD</v>
      </c>
      <c r="AD159" s="15" t="str">
        <f>_xlfn.XLOOKUP(tblMeasure[[#This Row],[id_src]],tblSource[id_src],tblSource[publication_frequency])</f>
        <v>Monthly</v>
      </c>
      <c r="AE159" s="15">
        <f>_xlfn.XLOOKUP(tblMeasure[[#This Row],[id_src]],tblSource[id_src],tblSource[publication_lag_months])</f>
        <v>1</v>
      </c>
      <c r="AF159" s="25" t="str">
        <f>_xlfn.XLOOKUP(tblMeasure[[#This Row],[id_src]],tblSource[id_src],tblSource[data_providers])</f>
        <v>CCG</v>
      </c>
      <c r="AG159" s="25" t="str">
        <f>_xlfn.XLOOKUP(tblMeasure[[#This Row],[id_src]],tblSource[id_src],tblSource[statistic_class])</f>
        <v>Experimental</v>
      </c>
      <c r="AH159" s="25" t="str">
        <f>_xlfn.XLOOKUP(tblMeasure[[#This Row],[id_src]],tblSource[id_src],tblSource[methodology_link])</f>
        <v>https://files.digital.nhs.uk/37/CA1829/ldsm-jan-20-main-report.pdf</v>
      </c>
      <c r="AI159" s="25" t="str">
        <f>_xlfn.XLOOKUP(tblMeasure[[#This Row],[id_src]],tblSource[id_src],tblSource[quality_issues])</f>
        <v>https://files.digital.nhs.uk/37/CA1829/ldsm-jan-20-main-report.pdf</v>
      </c>
      <c r="AJ159" s="25">
        <f>VLOOKUP(tblMeasure[[#This Row],[msr_population_or_survey]],strlu_msr_population_or_survey,2,FALSE)</f>
        <v>1</v>
      </c>
      <c r="AK159" s="25">
        <f>VLOOKUP(tblMeasure[[#This Row],[msr_min_geo_resolution]],strlu_msr_min_geo_resolution,2,FALSE)</f>
        <v>0</v>
      </c>
      <c r="AL159" s="25">
        <f>(MAX(tblMeasure[[#This Row],[src_year_last_published]]-2010+1,0)+MIN(2010-tblMeasure[[#This Row],[src_year_first_published]],0)-MAX(tblMeasure[[#This Row],[src_year_last_published]]-2019,0))/10</f>
        <v>0.5</v>
      </c>
      <c r="AM159" s="25">
        <f>IF(OR(tblMeasure[[#This Row],[src_discontinuity]]="None",tblMeasure[[#This Row],[src_discontinuity]]=0),1,0)</f>
        <v>0</v>
      </c>
      <c r="AN159" s="25">
        <f>VLOOKUP(tblMeasure[[#This Row],[src_pub_frequency]],strlu_src_pub_frequency,2,FALSE)</f>
        <v>1</v>
      </c>
      <c r="AO159" s="25">
        <f>VLOOKUP(tblMeasure[[#This Row],[src_pub_lag_months]],strlu_src_pub_lag_months,2,FALSE)</f>
        <v>0.9</v>
      </c>
      <c r="AP159" s="25">
        <f>VLOOKUP(tblMeasure[[#This Row],[src_statistic_class]],strlu_src_statistic_class,2,FALSE)</f>
        <v>0.5</v>
      </c>
      <c r="AQ159" s="25">
        <f>IF(tblMeasure[[#This Row],[src_methodology_url]]="TBD",0,1)</f>
        <v>1</v>
      </c>
      <c r="AR159" s="25">
        <f>IF(tblMeasure[[#This Row],[src_quality_url]]="TBD",0,1)</f>
        <v>1</v>
      </c>
      <c r="AS159" s="85" cm="1">
        <f t="array" ref="AS159">SUMPRODUCT(TRANSPOSE(tblMeasure[[#This Row],[str_msr_population_or_survey]:[str_src_quality_url]]),str_weights)/str_weights_total</f>
        <v>0.60769230769230775</v>
      </c>
    </row>
    <row r="160" spans="1:45" hidden="1" x14ac:dyDescent="0.15">
      <c r="A160" s="30">
        <v>158</v>
      </c>
      <c r="B160" s="15">
        <f>COUNTIF(requirement_measure_map!$D$3:$D$1514,measure!A160)</f>
        <v>1</v>
      </c>
      <c r="C160" s="30" t="s">
        <v>656</v>
      </c>
      <c r="D160" s="15" t="s">
        <v>697</v>
      </c>
      <c r="E160" s="15" t="s">
        <v>698</v>
      </c>
      <c r="F160" s="15" t="s">
        <v>699</v>
      </c>
      <c r="G160" s="29" t="s">
        <v>639</v>
      </c>
      <c r="H160" s="15"/>
      <c r="I160" s="15" t="s">
        <v>214</v>
      </c>
      <c r="J160" s="15" t="s">
        <v>215</v>
      </c>
      <c r="K160" s="15" t="s">
        <v>700</v>
      </c>
      <c r="L160" s="15" t="s">
        <v>233</v>
      </c>
      <c r="M160" s="15" t="s">
        <v>349</v>
      </c>
      <c r="N160" s="15" t="s">
        <v>219</v>
      </c>
      <c r="O160" s="15" t="s">
        <v>219</v>
      </c>
      <c r="P160" s="15" t="s">
        <v>219</v>
      </c>
      <c r="Q160" s="15" t="s">
        <v>220</v>
      </c>
      <c r="R160" s="15" t="s">
        <v>219</v>
      </c>
      <c r="S160" s="15" t="s">
        <v>219</v>
      </c>
      <c r="T160" s="15" t="s">
        <v>219</v>
      </c>
      <c r="U160" s="15" t="s">
        <v>219</v>
      </c>
      <c r="V160" s="15" t="s">
        <v>219</v>
      </c>
      <c r="W160" s="15">
        <v>7</v>
      </c>
      <c r="X160" s="15" t="str">
        <f>_xlfn.XLOOKUP(tblMeasure[[#This Row],[id_src]],tblSource[id_src],tblSource[org])</f>
        <v>NHS Digital</v>
      </c>
      <c r="Y160" s="15" t="str">
        <f>_xlfn.XLOOKUP(tblMeasure[[#This Row],[id_src]],tblSource[id_src],tblSource[source])</f>
        <v>Learning Disability Services Statistics</v>
      </c>
      <c r="Z160" s="15" t="str">
        <f>_xlfn.XLOOKUP(tblMeasure[[#This Row],[id_src]],tblSource[id_src],tblSource[url_source])</f>
        <v>https://digital.nhs.uk/data-and-information/publications/statistical/learning-disability-services-statistics</v>
      </c>
      <c r="AA160" s="15">
        <f>_xlfn.XLOOKUP(tblMeasure[[#This Row],[id_src]],tblSource[id_src],tblSource[year_first_published])</f>
        <v>2015</v>
      </c>
      <c r="AB160" s="15">
        <f>_xlfn.XLOOKUP(tblMeasure[[#This Row],[id_src]],tblSource[id_src],tblSource[year_last_published])</f>
        <v>2020</v>
      </c>
      <c r="AC160" s="15" t="str">
        <f>_xlfn.XLOOKUP(tblMeasure[[#This Row],[id_src]],tblSource[id_src],tblSource[discontinuity])</f>
        <v>TBD</v>
      </c>
      <c r="AD160" s="15" t="str">
        <f>_xlfn.XLOOKUP(tblMeasure[[#This Row],[id_src]],tblSource[id_src],tblSource[publication_frequency])</f>
        <v>Monthly</v>
      </c>
      <c r="AE160" s="15">
        <f>_xlfn.XLOOKUP(tblMeasure[[#This Row],[id_src]],tblSource[id_src],tblSource[publication_lag_months])</f>
        <v>1</v>
      </c>
      <c r="AF160" s="25" t="str">
        <f>_xlfn.XLOOKUP(tblMeasure[[#This Row],[id_src]],tblSource[id_src],tblSource[data_providers])</f>
        <v>CCG</v>
      </c>
      <c r="AG160" s="25" t="str">
        <f>_xlfn.XLOOKUP(tblMeasure[[#This Row],[id_src]],tblSource[id_src],tblSource[statistic_class])</f>
        <v>Experimental</v>
      </c>
      <c r="AH160" s="25" t="str">
        <f>_xlfn.XLOOKUP(tblMeasure[[#This Row],[id_src]],tblSource[id_src],tblSource[methodology_link])</f>
        <v>https://files.digital.nhs.uk/37/CA1829/ldsm-jan-20-main-report.pdf</v>
      </c>
      <c r="AI160" s="25" t="str">
        <f>_xlfn.XLOOKUP(tblMeasure[[#This Row],[id_src]],tblSource[id_src],tblSource[quality_issues])</f>
        <v>https://files.digital.nhs.uk/37/CA1829/ldsm-jan-20-main-report.pdf</v>
      </c>
      <c r="AJ160" s="25">
        <f>VLOOKUP(tblMeasure[[#This Row],[msr_population_or_survey]],strlu_msr_population_or_survey,2,FALSE)</f>
        <v>1</v>
      </c>
      <c r="AK160" s="25">
        <f>VLOOKUP(tblMeasure[[#This Row],[msr_min_geo_resolution]],strlu_msr_min_geo_resolution,2,FALSE)</f>
        <v>0</v>
      </c>
      <c r="AL160" s="25">
        <f>(MAX(tblMeasure[[#This Row],[src_year_last_published]]-2010+1,0)+MIN(2010-tblMeasure[[#This Row],[src_year_first_published]],0)-MAX(tblMeasure[[#This Row],[src_year_last_published]]-2019,0))/10</f>
        <v>0.5</v>
      </c>
      <c r="AM160" s="25">
        <f>IF(OR(tblMeasure[[#This Row],[src_discontinuity]]="None",tblMeasure[[#This Row],[src_discontinuity]]=0),1,0)</f>
        <v>0</v>
      </c>
      <c r="AN160" s="25">
        <f>VLOOKUP(tblMeasure[[#This Row],[src_pub_frequency]],strlu_src_pub_frequency,2,FALSE)</f>
        <v>1</v>
      </c>
      <c r="AO160" s="25">
        <f>VLOOKUP(tblMeasure[[#This Row],[src_pub_lag_months]],strlu_src_pub_lag_months,2,FALSE)</f>
        <v>0.9</v>
      </c>
      <c r="AP160" s="25">
        <f>VLOOKUP(tblMeasure[[#This Row],[src_statistic_class]],strlu_src_statistic_class,2,FALSE)</f>
        <v>0.5</v>
      </c>
      <c r="AQ160" s="25">
        <f>IF(tblMeasure[[#This Row],[src_methodology_url]]="TBD",0,1)</f>
        <v>1</v>
      </c>
      <c r="AR160" s="25">
        <f>IF(tblMeasure[[#This Row],[src_quality_url]]="TBD",0,1)</f>
        <v>1</v>
      </c>
      <c r="AS160" s="85" cm="1">
        <f t="array" ref="AS160">SUMPRODUCT(TRANSPOSE(tblMeasure[[#This Row],[str_msr_population_or_survey]:[str_src_quality_url]]),str_weights)/str_weights_total</f>
        <v>0.60769230769230775</v>
      </c>
    </row>
    <row r="161" spans="1:45" hidden="1" x14ac:dyDescent="0.15">
      <c r="A161" s="30">
        <v>159</v>
      </c>
      <c r="B161" s="15">
        <f>COUNTIF(requirement_measure_map!$D$3:$D$1514,measure!A161)</f>
        <v>1</v>
      </c>
      <c r="C161" s="30" t="s">
        <v>656</v>
      </c>
      <c r="D161" s="15" t="s">
        <v>701</v>
      </c>
      <c r="E161" s="15" t="s">
        <v>702</v>
      </c>
      <c r="F161" s="15" t="s">
        <v>701</v>
      </c>
      <c r="G161" s="29" t="s">
        <v>639</v>
      </c>
      <c r="H161" s="15"/>
      <c r="I161" s="15" t="s">
        <v>214</v>
      </c>
      <c r="J161" s="15" t="s">
        <v>215</v>
      </c>
      <c r="K161" s="15" t="s">
        <v>703</v>
      </c>
      <c r="L161" s="15" t="s">
        <v>233</v>
      </c>
      <c r="M161" s="15" t="s">
        <v>349</v>
      </c>
      <c r="N161" s="15" t="s">
        <v>220</v>
      </c>
      <c r="O161" s="15" t="s">
        <v>219</v>
      </c>
      <c r="P161" s="15" t="s">
        <v>219</v>
      </c>
      <c r="Q161" s="15" t="s">
        <v>220</v>
      </c>
      <c r="R161" s="15" t="s">
        <v>219</v>
      </c>
      <c r="S161" s="15" t="s">
        <v>219</v>
      </c>
      <c r="T161" s="15" t="s">
        <v>219</v>
      </c>
      <c r="U161" s="15" t="s">
        <v>219</v>
      </c>
      <c r="V161" s="15" t="s">
        <v>219</v>
      </c>
      <c r="W161" s="15">
        <v>7</v>
      </c>
      <c r="X161" s="15" t="str">
        <f>_xlfn.XLOOKUP(tblMeasure[[#This Row],[id_src]],tblSource[id_src],tblSource[org])</f>
        <v>NHS Digital</v>
      </c>
      <c r="Y161" s="15" t="str">
        <f>_xlfn.XLOOKUP(tblMeasure[[#This Row],[id_src]],tblSource[id_src],tblSource[source])</f>
        <v>Learning Disability Services Statistics</v>
      </c>
      <c r="Z161" s="15" t="str">
        <f>_xlfn.XLOOKUP(tblMeasure[[#This Row],[id_src]],tblSource[id_src],tblSource[url_source])</f>
        <v>https://digital.nhs.uk/data-and-information/publications/statistical/learning-disability-services-statistics</v>
      </c>
      <c r="AA161" s="15">
        <f>_xlfn.XLOOKUP(tblMeasure[[#This Row],[id_src]],tblSource[id_src],tblSource[year_first_published])</f>
        <v>2015</v>
      </c>
      <c r="AB161" s="15">
        <f>_xlfn.XLOOKUP(tblMeasure[[#This Row],[id_src]],tblSource[id_src],tblSource[year_last_published])</f>
        <v>2020</v>
      </c>
      <c r="AC161" s="15" t="str">
        <f>_xlfn.XLOOKUP(tblMeasure[[#This Row],[id_src]],tblSource[id_src],tblSource[discontinuity])</f>
        <v>TBD</v>
      </c>
      <c r="AD161" s="15" t="str">
        <f>_xlfn.XLOOKUP(tblMeasure[[#This Row],[id_src]],tblSource[id_src],tblSource[publication_frequency])</f>
        <v>Monthly</v>
      </c>
      <c r="AE161" s="15">
        <f>_xlfn.XLOOKUP(tblMeasure[[#This Row],[id_src]],tblSource[id_src],tblSource[publication_lag_months])</f>
        <v>1</v>
      </c>
      <c r="AF161" s="25" t="str">
        <f>_xlfn.XLOOKUP(tblMeasure[[#This Row],[id_src]],tblSource[id_src],tblSource[data_providers])</f>
        <v>CCG</v>
      </c>
      <c r="AG161" s="25" t="str">
        <f>_xlfn.XLOOKUP(tblMeasure[[#This Row],[id_src]],tblSource[id_src],tblSource[statistic_class])</f>
        <v>Experimental</v>
      </c>
      <c r="AH161" s="25" t="str">
        <f>_xlfn.XLOOKUP(tblMeasure[[#This Row],[id_src]],tblSource[id_src],tblSource[methodology_link])</f>
        <v>https://files.digital.nhs.uk/37/CA1829/ldsm-jan-20-main-report.pdf</v>
      </c>
      <c r="AI161" s="25" t="str">
        <f>_xlfn.XLOOKUP(tblMeasure[[#This Row],[id_src]],tblSource[id_src],tblSource[quality_issues])</f>
        <v>https://files.digital.nhs.uk/37/CA1829/ldsm-jan-20-main-report.pdf</v>
      </c>
      <c r="AJ161" s="25">
        <f>VLOOKUP(tblMeasure[[#This Row],[msr_population_or_survey]],strlu_msr_population_or_survey,2,FALSE)</f>
        <v>1</v>
      </c>
      <c r="AK161" s="25">
        <f>VLOOKUP(tblMeasure[[#This Row],[msr_min_geo_resolution]],strlu_msr_min_geo_resolution,2,FALSE)</f>
        <v>0</v>
      </c>
      <c r="AL161" s="25">
        <f>(MAX(tblMeasure[[#This Row],[src_year_last_published]]-2010+1,0)+MIN(2010-tblMeasure[[#This Row],[src_year_first_published]],0)-MAX(tblMeasure[[#This Row],[src_year_last_published]]-2019,0))/10</f>
        <v>0.5</v>
      </c>
      <c r="AM161" s="25">
        <f>IF(OR(tblMeasure[[#This Row],[src_discontinuity]]="None",tblMeasure[[#This Row],[src_discontinuity]]=0),1,0)</f>
        <v>0</v>
      </c>
      <c r="AN161" s="25">
        <f>VLOOKUP(tblMeasure[[#This Row],[src_pub_frequency]],strlu_src_pub_frequency,2,FALSE)</f>
        <v>1</v>
      </c>
      <c r="AO161" s="25">
        <f>VLOOKUP(tblMeasure[[#This Row],[src_pub_lag_months]],strlu_src_pub_lag_months,2,FALSE)</f>
        <v>0.9</v>
      </c>
      <c r="AP161" s="25">
        <f>VLOOKUP(tblMeasure[[#This Row],[src_statistic_class]],strlu_src_statistic_class,2,FALSE)</f>
        <v>0.5</v>
      </c>
      <c r="AQ161" s="25">
        <f>IF(tblMeasure[[#This Row],[src_methodology_url]]="TBD",0,1)</f>
        <v>1</v>
      </c>
      <c r="AR161" s="25">
        <f>IF(tblMeasure[[#This Row],[src_quality_url]]="TBD",0,1)</f>
        <v>1</v>
      </c>
      <c r="AS161" s="85" cm="1">
        <f t="array" ref="AS161">SUMPRODUCT(TRANSPOSE(tblMeasure[[#This Row],[str_msr_population_or_survey]:[str_src_quality_url]]),str_weights)/str_weights_total</f>
        <v>0.60769230769230775</v>
      </c>
    </row>
    <row r="162" spans="1:45" hidden="1" x14ac:dyDescent="0.15">
      <c r="A162" s="30">
        <v>160</v>
      </c>
      <c r="B162" s="15">
        <f>COUNTIF(requirement_measure_map!$D$3:$D$1514,measure!A162)</f>
        <v>1</v>
      </c>
      <c r="C162" s="30" t="s">
        <v>656</v>
      </c>
      <c r="D162" s="15" t="s">
        <v>704</v>
      </c>
      <c r="E162" s="15" t="s">
        <v>705</v>
      </c>
      <c r="F162" s="15" t="s">
        <v>706</v>
      </c>
      <c r="G162" s="29" t="s">
        <v>639</v>
      </c>
      <c r="H162" s="15"/>
      <c r="I162" s="15" t="s">
        <v>214</v>
      </c>
      <c r="J162" s="15" t="s">
        <v>215</v>
      </c>
      <c r="K162" s="15" t="s">
        <v>707</v>
      </c>
      <c r="L162" s="15" t="s">
        <v>287</v>
      </c>
      <c r="M162" s="15" t="s">
        <v>219</v>
      </c>
      <c r="N162" s="15" t="s">
        <v>219</v>
      </c>
      <c r="O162" s="15" t="s">
        <v>219</v>
      </c>
      <c r="P162" s="15" t="s">
        <v>219</v>
      </c>
      <c r="Q162" s="15" t="s">
        <v>220</v>
      </c>
      <c r="R162" s="15" t="s">
        <v>219</v>
      </c>
      <c r="S162" s="15" t="s">
        <v>219</v>
      </c>
      <c r="T162" s="15" t="s">
        <v>219</v>
      </c>
      <c r="U162" s="15" t="s">
        <v>219</v>
      </c>
      <c r="V162" s="15" t="s">
        <v>219</v>
      </c>
      <c r="W162" s="15">
        <v>7</v>
      </c>
      <c r="X162" s="15" t="str">
        <f>_xlfn.XLOOKUP(tblMeasure[[#This Row],[id_src]],tblSource[id_src],tblSource[org])</f>
        <v>NHS Digital</v>
      </c>
      <c r="Y162" s="15" t="str">
        <f>_xlfn.XLOOKUP(tblMeasure[[#This Row],[id_src]],tblSource[id_src],tblSource[source])</f>
        <v>Learning Disability Services Statistics</v>
      </c>
      <c r="Z162" s="15" t="str">
        <f>_xlfn.XLOOKUP(tblMeasure[[#This Row],[id_src]],tblSource[id_src],tblSource[url_source])</f>
        <v>https://digital.nhs.uk/data-and-information/publications/statistical/learning-disability-services-statistics</v>
      </c>
      <c r="AA162" s="15">
        <f>_xlfn.XLOOKUP(tblMeasure[[#This Row],[id_src]],tblSource[id_src],tblSource[year_first_published])</f>
        <v>2015</v>
      </c>
      <c r="AB162" s="15">
        <f>_xlfn.XLOOKUP(tblMeasure[[#This Row],[id_src]],tblSource[id_src],tblSource[year_last_published])</f>
        <v>2020</v>
      </c>
      <c r="AC162" s="15" t="str">
        <f>_xlfn.XLOOKUP(tblMeasure[[#This Row],[id_src]],tblSource[id_src],tblSource[discontinuity])</f>
        <v>TBD</v>
      </c>
      <c r="AD162" s="15" t="str">
        <f>_xlfn.XLOOKUP(tblMeasure[[#This Row],[id_src]],tblSource[id_src],tblSource[publication_frequency])</f>
        <v>Monthly</v>
      </c>
      <c r="AE162" s="15">
        <f>_xlfn.XLOOKUP(tblMeasure[[#This Row],[id_src]],tblSource[id_src],tblSource[publication_lag_months])</f>
        <v>1</v>
      </c>
      <c r="AF162" s="25" t="str">
        <f>_xlfn.XLOOKUP(tblMeasure[[#This Row],[id_src]],tblSource[id_src],tblSource[data_providers])</f>
        <v>CCG</v>
      </c>
      <c r="AG162" s="25" t="str">
        <f>_xlfn.XLOOKUP(tblMeasure[[#This Row],[id_src]],tblSource[id_src],tblSource[statistic_class])</f>
        <v>Experimental</v>
      </c>
      <c r="AH162" s="25" t="str">
        <f>_xlfn.XLOOKUP(tblMeasure[[#This Row],[id_src]],tblSource[id_src],tblSource[methodology_link])</f>
        <v>https://files.digital.nhs.uk/37/CA1829/ldsm-jan-20-main-report.pdf</v>
      </c>
      <c r="AI162" s="25" t="str">
        <f>_xlfn.XLOOKUP(tblMeasure[[#This Row],[id_src]],tblSource[id_src],tblSource[quality_issues])</f>
        <v>https://files.digital.nhs.uk/37/CA1829/ldsm-jan-20-main-report.pdf</v>
      </c>
      <c r="AJ162" s="25">
        <f>VLOOKUP(tblMeasure[[#This Row],[msr_population_or_survey]],strlu_msr_population_or_survey,2,FALSE)</f>
        <v>1</v>
      </c>
      <c r="AK162" s="25">
        <f>VLOOKUP(tblMeasure[[#This Row],[msr_min_geo_resolution]],strlu_msr_min_geo_resolution,2,FALSE)</f>
        <v>0.5</v>
      </c>
      <c r="AL162" s="25">
        <f>(MAX(tblMeasure[[#This Row],[src_year_last_published]]-2010+1,0)+MIN(2010-tblMeasure[[#This Row],[src_year_first_published]],0)-MAX(tblMeasure[[#This Row],[src_year_last_published]]-2019,0))/10</f>
        <v>0.5</v>
      </c>
      <c r="AM162" s="25">
        <f>IF(OR(tblMeasure[[#This Row],[src_discontinuity]]="None",tblMeasure[[#This Row],[src_discontinuity]]=0),1,0)</f>
        <v>0</v>
      </c>
      <c r="AN162" s="25">
        <f>VLOOKUP(tblMeasure[[#This Row],[src_pub_frequency]],strlu_src_pub_frequency,2,FALSE)</f>
        <v>1</v>
      </c>
      <c r="AO162" s="25">
        <f>VLOOKUP(tblMeasure[[#This Row],[src_pub_lag_months]],strlu_src_pub_lag_months,2,FALSE)</f>
        <v>0.9</v>
      </c>
      <c r="AP162" s="25">
        <f>VLOOKUP(tblMeasure[[#This Row],[src_statistic_class]],strlu_src_statistic_class,2,FALSE)</f>
        <v>0.5</v>
      </c>
      <c r="AQ162" s="25">
        <f>IF(tblMeasure[[#This Row],[src_methodology_url]]="TBD",0,1)</f>
        <v>1</v>
      </c>
      <c r="AR162" s="25">
        <f>IF(tblMeasure[[#This Row],[src_quality_url]]="TBD",0,1)</f>
        <v>1</v>
      </c>
      <c r="AS162" s="85" cm="1">
        <f t="array" ref="AS162">SUMPRODUCT(TRANSPOSE(tblMeasure[[#This Row],[str_msr_population_or_survey]:[str_src_quality_url]]),str_weights)/str_weights_total</f>
        <v>0.68461538461538463</v>
      </c>
    </row>
    <row r="163" spans="1:45" hidden="1" x14ac:dyDescent="0.15">
      <c r="A163" s="30">
        <v>161</v>
      </c>
      <c r="B163" s="15">
        <f>COUNTIF(requirement_measure_map!$D$3:$D$1514,measure!A163)</f>
        <v>3</v>
      </c>
      <c r="C163" s="30" t="s">
        <v>656</v>
      </c>
      <c r="D163" s="15" t="s">
        <v>708</v>
      </c>
      <c r="E163" s="15" t="s">
        <v>709</v>
      </c>
      <c r="F163" s="15" t="s">
        <v>710</v>
      </c>
      <c r="G163" s="29" t="s">
        <v>639</v>
      </c>
      <c r="H163" s="15"/>
      <c r="I163" s="15" t="s">
        <v>214</v>
      </c>
      <c r="J163" s="15" t="s">
        <v>215</v>
      </c>
      <c r="K163" s="15" t="s">
        <v>711</v>
      </c>
      <c r="L163" s="15" t="s">
        <v>287</v>
      </c>
      <c r="M163" s="15" t="s">
        <v>219</v>
      </c>
      <c r="N163" s="15" t="s">
        <v>219</v>
      </c>
      <c r="O163" s="15" t="s">
        <v>219</v>
      </c>
      <c r="P163" s="15" t="s">
        <v>219</v>
      </c>
      <c r="Q163" s="15" t="s">
        <v>220</v>
      </c>
      <c r="R163" s="15" t="s">
        <v>219</v>
      </c>
      <c r="S163" s="15" t="s">
        <v>219</v>
      </c>
      <c r="T163" s="15" t="s">
        <v>219</v>
      </c>
      <c r="U163" s="15" t="s">
        <v>219</v>
      </c>
      <c r="V163" s="15" t="s">
        <v>219</v>
      </c>
      <c r="W163" s="15">
        <v>7</v>
      </c>
      <c r="X163" s="15" t="str">
        <f>_xlfn.XLOOKUP(tblMeasure[[#This Row],[id_src]],tblSource[id_src],tblSource[org])</f>
        <v>NHS Digital</v>
      </c>
      <c r="Y163" s="15" t="str">
        <f>_xlfn.XLOOKUP(tblMeasure[[#This Row],[id_src]],tblSource[id_src],tblSource[source])</f>
        <v>Learning Disability Services Statistics</v>
      </c>
      <c r="Z163" s="15" t="str">
        <f>_xlfn.XLOOKUP(tblMeasure[[#This Row],[id_src]],tblSource[id_src],tblSource[url_source])</f>
        <v>https://digital.nhs.uk/data-and-information/publications/statistical/learning-disability-services-statistics</v>
      </c>
      <c r="AA163" s="15">
        <f>_xlfn.XLOOKUP(tblMeasure[[#This Row],[id_src]],tblSource[id_src],tblSource[year_first_published])</f>
        <v>2015</v>
      </c>
      <c r="AB163" s="15">
        <f>_xlfn.XLOOKUP(tblMeasure[[#This Row],[id_src]],tblSource[id_src],tblSource[year_last_published])</f>
        <v>2020</v>
      </c>
      <c r="AC163" s="15" t="str">
        <f>_xlfn.XLOOKUP(tblMeasure[[#This Row],[id_src]],tblSource[id_src],tblSource[discontinuity])</f>
        <v>TBD</v>
      </c>
      <c r="AD163" s="15" t="str">
        <f>_xlfn.XLOOKUP(tblMeasure[[#This Row],[id_src]],tblSource[id_src],tblSource[publication_frequency])</f>
        <v>Monthly</v>
      </c>
      <c r="AE163" s="15">
        <f>_xlfn.XLOOKUP(tblMeasure[[#This Row],[id_src]],tblSource[id_src],tblSource[publication_lag_months])</f>
        <v>1</v>
      </c>
      <c r="AF163" s="25" t="str">
        <f>_xlfn.XLOOKUP(tblMeasure[[#This Row],[id_src]],tblSource[id_src],tblSource[data_providers])</f>
        <v>CCG</v>
      </c>
      <c r="AG163" s="25" t="str">
        <f>_xlfn.XLOOKUP(tblMeasure[[#This Row],[id_src]],tblSource[id_src],tblSource[statistic_class])</f>
        <v>Experimental</v>
      </c>
      <c r="AH163" s="25" t="str">
        <f>_xlfn.XLOOKUP(tblMeasure[[#This Row],[id_src]],tblSource[id_src],tblSource[methodology_link])</f>
        <v>https://files.digital.nhs.uk/37/CA1829/ldsm-jan-20-main-report.pdf</v>
      </c>
      <c r="AI163" s="25" t="str">
        <f>_xlfn.XLOOKUP(tblMeasure[[#This Row],[id_src]],tblSource[id_src],tblSource[quality_issues])</f>
        <v>https://files.digital.nhs.uk/37/CA1829/ldsm-jan-20-main-report.pdf</v>
      </c>
      <c r="AJ163" s="25">
        <f>VLOOKUP(tblMeasure[[#This Row],[msr_population_or_survey]],strlu_msr_population_or_survey,2,FALSE)</f>
        <v>1</v>
      </c>
      <c r="AK163" s="25">
        <f>VLOOKUP(tblMeasure[[#This Row],[msr_min_geo_resolution]],strlu_msr_min_geo_resolution,2,FALSE)</f>
        <v>0.5</v>
      </c>
      <c r="AL163" s="25">
        <f>(MAX(tblMeasure[[#This Row],[src_year_last_published]]-2010+1,0)+MIN(2010-tblMeasure[[#This Row],[src_year_first_published]],0)-MAX(tblMeasure[[#This Row],[src_year_last_published]]-2019,0))/10</f>
        <v>0.5</v>
      </c>
      <c r="AM163" s="25">
        <f>IF(OR(tblMeasure[[#This Row],[src_discontinuity]]="None",tblMeasure[[#This Row],[src_discontinuity]]=0),1,0)</f>
        <v>0</v>
      </c>
      <c r="AN163" s="25">
        <f>VLOOKUP(tblMeasure[[#This Row],[src_pub_frequency]],strlu_src_pub_frequency,2,FALSE)</f>
        <v>1</v>
      </c>
      <c r="AO163" s="25">
        <f>VLOOKUP(tblMeasure[[#This Row],[src_pub_lag_months]],strlu_src_pub_lag_months,2,FALSE)</f>
        <v>0.9</v>
      </c>
      <c r="AP163" s="25">
        <f>VLOOKUP(tblMeasure[[#This Row],[src_statistic_class]],strlu_src_statistic_class,2,FALSE)</f>
        <v>0.5</v>
      </c>
      <c r="AQ163" s="25">
        <f>IF(tblMeasure[[#This Row],[src_methodology_url]]="TBD",0,1)</f>
        <v>1</v>
      </c>
      <c r="AR163" s="25">
        <f>IF(tblMeasure[[#This Row],[src_quality_url]]="TBD",0,1)</f>
        <v>1</v>
      </c>
      <c r="AS163" s="85" cm="1">
        <f t="array" ref="AS163">SUMPRODUCT(TRANSPOSE(tblMeasure[[#This Row],[str_msr_population_or_survey]:[str_src_quality_url]]),str_weights)/str_weights_total</f>
        <v>0.68461538461538463</v>
      </c>
    </row>
    <row r="164" spans="1:45" hidden="1" x14ac:dyDescent="0.15">
      <c r="A164" s="30">
        <v>162</v>
      </c>
      <c r="B164" s="15">
        <f>COUNTIF(requirement_measure_map!$D$3:$D$1514,measure!A164)</f>
        <v>2</v>
      </c>
      <c r="C164" s="30" t="s">
        <v>656</v>
      </c>
      <c r="D164" s="15" t="s">
        <v>712</v>
      </c>
      <c r="E164" s="15" t="s">
        <v>713</v>
      </c>
      <c r="F164" s="15" t="s">
        <v>714</v>
      </c>
      <c r="G164" s="29" t="s">
        <v>639</v>
      </c>
      <c r="H164" s="15"/>
      <c r="I164" s="15" t="s">
        <v>214</v>
      </c>
      <c r="J164" s="15" t="s">
        <v>215</v>
      </c>
      <c r="K164" s="15" t="s">
        <v>715</v>
      </c>
      <c r="L164" s="15" t="s">
        <v>233</v>
      </c>
      <c r="M164" s="15" t="s">
        <v>219</v>
      </c>
      <c r="N164" s="15" t="s">
        <v>219</v>
      </c>
      <c r="O164" s="15" t="s">
        <v>219</v>
      </c>
      <c r="P164" s="15" t="s">
        <v>219</v>
      </c>
      <c r="Q164" s="15" t="s">
        <v>220</v>
      </c>
      <c r="R164" s="15" t="s">
        <v>219</v>
      </c>
      <c r="S164" s="15" t="s">
        <v>219</v>
      </c>
      <c r="T164" s="15" t="s">
        <v>219</v>
      </c>
      <c r="U164" s="15" t="s">
        <v>219</v>
      </c>
      <c r="V164" s="15" t="s">
        <v>219</v>
      </c>
      <c r="W164" s="15">
        <v>7</v>
      </c>
      <c r="X164" s="15" t="str">
        <f>_xlfn.XLOOKUP(tblMeasure[[#This Row],[id_src]],tblSource[id_src],tblSource[org])</f>
        <v>NHS Digital</v>
      </c>
      <c r="Y164" s="15" t="str">
        <f>_xlfn.XLOOKUP(tblMeasure[[#This Row],[id_src]],tblSource[id_src],tblSource[source])</f>
        <v>Learning Disability Services Statistics</v>
      </c>
      <c r="Z164" s="15" t="str">
        <f>_xlfn.XLOOKUP(tblMeasure[[#This Row],[id_src]],tblSource[id_src],tblSource[url_source])</f>
        <v>https://digital.nhs.uk/data-and-information/publications/statistical/learning-disability-services-statistics</v>
      </c>
      <c r="AA164" s="15">
        <f>_xlfn.XLOOKUP(tblMeasure[[#This Row],[id_src]],tblSource[id_src],tblSource[year_first_published])</f>
        <v>2015</v>
      </c>
      <c r="AB164" s="15">
        <f>_xlfn.XLOOKUP(tblMeasure[[#This Row],[id_src]],tblSource[id_src],tblSource[year_last_published])</f>
        <v>2020</v>
      </c>
      <c r="AC164" s="15" t="str">
        <f>_xlfn.XLOOKUP(tblMeasure[[#This Row],[id_src]],tblSource[id_src],tblSource[discontinuity])</f>
        <v>TBD</v>
      </c>
      <c r="AD164" s="15" t="str">
        <f>_xlfn.XLOOKUP(tblMeasure[[#This Row],[id_src]],tblSource[id_src],tblSource[publication_frequency])</f>
        <v>Monthly</v>
      </c>
      <c r="AE164" s="15">
        <f>_xlfn.XLOOKUP(tblMeasure[[#This Row],[id_src]],tblSource[id_src],tblSource[publication_lag_months])</f>
        <v>1</v>
      </c>
      <c r="AF164" s="25" t="str">
        <f>_xlfn.XLOOKUP(tblMeasure[[#This Row],[id_src]],tblSource[id_src],tblSource[data_providers])</f>
        <v>CCG</v>
      </c>
      <c r="AG164" s="25" t="str">
        <f>_xlfn.XLOOKUP(tblMeasure[[#This Row],[id_src]],tblSource[id_src],tblSource[statistic_class])</f>
        <v>Experimental</v>
      </c>
      <c r="AH164" s="25" t="str">
        <f>_xlfn.XLOOKUP(tblMeasure[[#This Row],[id_src]],tblSource[id_src],tblSource[methodology_link])</f>
        <v>https://files.digital.nhs.uk/37/CA1829/ldsm-jan-20-main-report.pdf</v>
      </c>
      <c r="AI164" s="25" t="str">
        <f>_xlfn.XLOOKUP(tblMeasure[[#This Row],[id_src]],tblSource[id_src],tblSource[quality_issues])</f>
        <v>https://files.digital.nhs.uk/37/CA1829/ldsm-jan-20-main-report.pdf</v>
      </c>
      <c r="AJ164" s="25">
        <f>VLOOKUP(tblMeasure[[#This Row],[msr_population_or_survey]],strlu_msr_population_or_survey,2,FALSE)</f>
        <v>1</v>
      </c>
      <c r="AK164" s="25">
        <f>VLOOKUP(tblMeasure[[#This Row],[msr_min_geo_resolution]],strlu_msr_min_geo_resolution,2,FALSE)</f>
        <v>0</v>
      </c>
      <c r="AL164" s="25">
        <f>(MAX(tblMeasure[[#This Row],[src_year_last_published]]-2010+1,0)+MIN(2010-tblMeasure[[#This Row],[src_year_first_published]],0)-MAX(tblMeasure[[#This Row],[src_year_last_published]]-2019,0))/10</f>
        <v>0.5</v>
      </c>
      <c r="AM164" s="25">
        <f>IF(OR(tblMeasure[[#This Row],[src_discontinuity]]="None",tblMeasure[[#This Row],[src_discontinuity]]=0),1,0)</f>
        <v>0</v>
      </c>
      <c r="AN164" s="25">
        <f>VLOOKUP(tblMeasure[[#This Row],[src_pub_frequency]],strlu_src_pub_frequency,2,FALSE)</f>
        <v>1</v>
      </c>
      <c r="AO164" s="25">
        <f>VLOOKUP(tblMeasure[[#This Row],[src_pub_lag_months]],strlu_src_pub_lag_months,2,FALSE)</f>
        <v>0.9</v>
      </c>
      <c r="AP164" s="25">
        <f>VLOOKUP(tblMeasure[[#This Row],[src_statistic_class]],strlu_src_statistic_class,2,FALSE)</f>
        <v>0.5</v>
      </c>
      <c r="AQ164" s="25">
        <f>IF(tblMeasure[[#This Row],[src_methodology_url]]="TBD",0,1)</f>
        <v>1</v>
      </c>
      <c r="AR164" s="25">
        <f>IF(tblMeasure[[#This Row],[src_quality_url]]="TBD",0,1)</f>
        <v>1</v>
      </c>
      <c r="AS164" s="85" cm="1">
        <f t="array" ref="AS164">SUMPRODUCT(TRANSPOSE(tblMeasure[[#This Row],[str_msr_population_or_survey]:[str_src_quality_url]]),str_weights)/str_weights_total</f>
        <v>0.60769230769230775</v>
      </c>
    </row>
    <row r="165" spans="1:45" hidden="1" x14ac:dyDescent="0.15">
      <c r="A165" s="30">
        <v>163</v>
      </c>
      <c r="B165" s="15">
        <f>COUNTIF(requirement_measure_map!$D$3:$D$1514,measure!A165)</f>
        <v>1</v>
      </c>
      <c r="C165" s="30" t="s">
        <v>656</v>
      </c>
      <c r="D165" s="15" t="s">
        <v>716</v>
      </c>
      <c r="E165" s="15" t="s">
        <v>717</v>
      </c>
      <c r="F165" s="15" t="s">
        <v>718</v>
      </c>
      <c r="G165" s="29" t="s">
        <v>639</v>
      </c>
      <c r="H165" s="15"/>
      <c r="I165" s="15" t="s">
        <v>214</v>
      </c>
      <c r="J165" s="15" t="s">
        <v>215</v>
      </c>
      <c r="K165" s="15" t="s">
        <v>719</v>
      </c>
      <c r="L165" s="15" t="s">
        <v>676</v>
      </c>
      <c r="M165" s="15" t="s">
        <v>219</v>
      </c>
      <c r="N165" s="15" t="s">
        <v>219</v>
      </c>
      <c r="O165" s="15" t="s">
        <v>219</v>
      </c>
      <c r="P165" s="15" t="s">
        <v>219</v>
      </c>
      <c r="Q165" s="15" t="s">
        <v>220</v>
      </c>
      <c r="R165" s="15" t="s">
        <v>219</v>
      </c>
      <c r="S165" s="15" t="s">
        <v>219</v>
      </c>
      <c r="T165" s="15" t="s">
        <v>219</v>
      </c>
      <c r="U165" s="15" t="s">
        <v>219</v>
      </c>
      <c r="V165" s="15" t="s">
        <v>219</v>
      </c>
      <c r="W165" s="15">
        <v>7</v>
      </c>
      <c r="X165" s="15" t="str">
        <f>_xlfn.XLOOKUP(tblMeasure[[#This Row],[id_src]],tblSource[id_src],tblSource[org])</f>
        <v>NHS Digital</v>
      </c>
      <c r="Y165" s="15" t="str">
        <f>_xlfn.XLOOKUP(tblMeasure[[#This Row],[id_src]],tblSource[id_src],tblSource[source])</f>
        <v>Learning Disability Services Statistics</v>
      </c>
      <c r="Z165" s="15" t="str">
        <f>_xlfn.XLOOKUP(tblMeasure[[#This Row],[id_src]],tblSource[id_src],tblSource[url_source])</f>
        <v>https://digital.nhs.uk/data-and-information/publications/statistical/learning-disability-services-statistics</v>
      </c>
      <c r="AA165" s="15">
        <f>_xlfn.XLOOKUP(tblMeasure[[#This Row],[id_src]],tblSource[id_src],tblSource[year_first_published])</f>
        <v>2015</v>
      </c>
      <c r="AB165" s="15">
        <f>_xlfn.XLOOKUP(tblMeasure[[#This Row],[id_src]],tblSource[id_src],tblSource[year_last_published])</f>
        <v>2020</v>
      </c>
      <c r="AC165" s="15" t="str">
        <f>_xlfn.XLOOKUP(tblMeasure[[#This Row],[id_src]],tblSource[id_src],tblSource[discontinuity])</f>
        <v>TBD</v>
      </c>
      <c r="AD165" s="15" t="str">
        <f>_xlfn.XLOOKUP(tblMeasure[[#This Row],[id_src]],tblSource[id_src],tblSource[publication_frequency])</f>
        <v>Monthly</v>
      </c>
      <c r="AE165" s="15">
        <f>_xlfn.XLOOKUP(tblMeasure[[#This Row],[id_src]],tblSource[id_src],tblSource[publication_lag_months])</f>
        <v>1</v>
      </c>
      <c r="AF165" s="25" t="str">
        <f>_xlfn.XLOOKUP(tblMeasure[[#This Row],[id_src]],tblSource[id_src],tblSource[data_providers])</f>
        <v>CCG</v>
      </c>
      <c r="AG165" s="25" t="str">
        <f>_xlfn.XLOOKUP(tblMeasure[[#This Row],[id_src]],tblSource[id_src],tblSource[statistic_class])</f>
        <v>Experimental</v>
      </c>
      <c r="AH165" s="25" t="str">
        <f>_xlfn.XLOOKUP(tblMeasure[[#This Row],[id_src]],tblSource[id_src],tblSource[methodology_link])</f>
        <v>https://files.digital.nhs.uk/37/CA1829/ldsm-jan-20-main-report.pdf</v>
      </c>
      <c r="AI165" s="25" t="str">
        <f>_xlfn.XLOOKUP(tblMeasure[[#This Row],[id_src]],tblSource[id_src],tblSource[quality_issues])</f>
        <v>https://files.digital.nhs.uk/37/CA1829/ldsm-jan-20-main-report.pdf</v>
      </c>
      <c r="AJ165" s="25">
        <f>VLOOKUP(tblMeasure[[#This Row],[msr_population_or_survey]],strlu_msr_population_or_survey,2,FALSE)</f>
        <v>1</v>
      </c>
      <c r="AK165" s="25">
        <f>VLOOKUP(tblMeasure[[#This Row],[msr_min_geo_resolution]],strlu_msr_min_geo_resolution,2,FALSE)</f>
        <v>0.8</v>
      </c>
      <c r="AL165" s="25">
        <f>(MAX(tblMeasure[[#This Row],[src_year_last_published]]-2010+1,0)+MIN(2010-tblMeasure[[#This Row],[src_year_first_published]],0)-MAX(tblMeasure[[#This Row],[src_year_last_published]]-2019,0))/10</f>
        <v>0.5</v>
      </c>
      <c r="AM165" s="25">
        <f>IF(OR(tblMeasure[[#This Row],[src_discontinuity]]="None",tblMeasure[[#This Row],[src_discontinuity]]=0),1,0)</f>
        <v>0</v>
      </c>
      <c r="AN165" s="25">
        <f>VLOOKUP(tblMeasure[[#This Row],[src_pub_frequency]],strlu_src_pub_frequency,2,FALSE)</f>
        <v>1</v>
      </c>
      <c r="AO165" s="25">
        <f>VLOOKUP(tblMeasure[[#This Row],[src_pub_lag_months]],strlu_src_pub_lag_months,2,FALSE)</f>
        <v>0.9</v>
      </c>
      <c r="AP165" s="25">
        <f>VLOOKUP(tblMeasure[[#This Row],[src_statistic_class]],strlu_src_statistic_class,2,FALSE)</f>
        <v>0.5</v>
      </c>
      <c r="AQ165" s="25">
        <f>IF(tblMeasure[[#This Row],[src_methodology_url]]="TBD",0,1)</f>
        <v>1</v>
      </c>
      <c r="AR165" s="25">
        <f>IF(tblMeasure[[#This Row],[src_quality_url]]="TBD",0,1)</f>
        <v>1</v>
      </c>
      <c r="AS165" s="85" cm="1">
        <f t="array" ref="AS165">SUMPRODUCT(TRANSPOSE(tblMeasure[[#This Row],[str_msr_population_or_survey]:[str_src_quality_url]]),str_weights)/str_weights_total</f>
        <v>0.73076923076923073</v>
      </c>
    </row>
    <row r="166" spans="1:45" hidden="1" x14ac:dyDescent="0.15">
      <c r="A166" s="30">
        <v>164</v>
      </c>
      <c r="B166" s="15">
        <f>COUNTIF(requirement_measure_map!$D$3:$D$1514,measure!A166)</f>
        <v>4</v>
      </c>
      <c r="C166" s="30" t="s">
        <v>656</v>
      </c>
      <c r="D166" s="15" t="s">
        <v>720</v>
      </c>
      <c r="E166" s="15" t="s">
        <v>721</v>
      </c>
      <c r="F166" s="15" t="s">
        <v>722</v>
      </c>
      <c r="G166" s="29" t="s">
        <v>639</v>
      </c>
      <c r="H166" s="15"/>
      <c r="I166" s="15" t="s">
        <v>214</v>
      </c>
      <c r="J166" s="15" t="s">
        <v>215</v>
      </c>
      <c r="K166" s="15" t="s">
        <v>723</v>
      </c>
      <c r="L166" s="15" t="s">
        <v>233</v>
      </c>
      <c r="M166" s="15" t="s">
        <v>349</v>
      </c>
      <c r="N166" s="15" t="s">
        <v>219</v>
      </c>
      <c r="O166" s="15" t="s">
        <v>219</v>
      </c>
      <c r="P166" s="15" t="s">
        <v>219</v>
      </c>
      <c r="Q166" s="15" t="s">
        <v>220</v>
      </c>
      <c r="R166" s="15" t="s">
        <v>219</v>
      </c>
      <c r="S166" s="15" t="s">
        <v>219</v>
      </c>
      <c r="T166" s="15" t="s">
        <v>219</v>
      </c>
      <c r="U166" s="15" t="s">
        <v>219</v>
      </c>
      <c r="V166" s="15" t="s">
        <v>219</v>
      </c>
      <c r="W166" s="15">
        <v>7</v>
      </c>
      <c r="X166" s="15" t="str">
        <f>_xlfn.XLOOKUP(tblMeasure[[#This Row],[id_src]],tblSource[id_src],tblSource[org])</f>
        <v>NHS Digital</v>
      </c>
      <c r="Y166" s="15" t="str">
        <f>_xlfn.XLOOKUP(tblMeasure[[#This Row],[id_src]],tblSource[id_src],tblSource[source])</f>
        <v>Learning Disability Services Statistics</v>
      </c>
      <c r="Z166" s="15" t="str">
        <f>_xlfn.XLOOKUP(tblMeasure[[#This Row],[id_src]],tblSource[id_src],tblSource[url_source])</f>
        <v>https://digital.nhs.uk/data-and-information/publications/statistical/learning-disability-services-statistics</v>
      </c>
      <c r="AA166" s="15">
        <f>_xlfn.XLOOKUP(tblMeasure[[#This Row],[id_src]],tblSource[id_src],tblSource[year_first_published])</f>
        <v>2015</v>
      </c>
      <c r="AB166" s="15">
        <f>_xlfn.XLOOKUP(tblMeasure[[#This Row],[id_src]],tblSource[id_src],tblSource[year_last_published])</f>
        <v>2020</v>
      </c>
      <c r="AC166" s="15" t="str">
        <f>_xlfn.XLOOKUP(tblMeasure[[#This Row],[id_src]],tblSource[id_src],tblSource[discontinuity])</f>
        <v>TBD</v>
      </c>
      <c r="AD166" s="15" t="str">
        <f>_xlfn.XLOOKUP(tblMeasure[[#This Row],[id_src]],tblSource[id_src],tblSource[publication_frequency])</f>
        <v>Monthly</v>
      </c>
      <c r="AE166" s="15">
        <f>_xlfn.XLOOKUP(tblMeasure[[#This Row],[id_src]],tblSource[id_src],tblSource[publication_lag_months])</f>
        <v>1</v>
      </c>
      <c r="AF166" s="25" t="str">
        <f>_xlfn.XLOOKUP(tblMeasure[[#This Row],[id_src]],tblSource[id_src],tblSource[data_providers])</f>
        <v>CCG</v>
      </c>
      <c r="AG166" s="25" t="str">
        <f>_xlfn.XLOOKUP(tblMeasure[[#This Row],[id_src]],tblSource[id_src],tblSource[statistic_class])</f>
        <v>Experimental</v>
      </c>
      <c r="AH166" s="25" t="str">
        <f>_xlfn.XLOOKUP(tblMeasure[[#This Row],[id_src]],tblSource[id_src],tblSource[methodology_link])</f>
        <v>https://files.digital.nhs.uk/37/CA1829/ldsm-jan-20-main-report.pdf</v>
      </c>
      <c r="AI166" s="25" t="str">
        <f>_xlfn.XLOOKUP(tblMeasure[[#This Row],[id_src]],tblSource[id_src],tblSource[quality_issues])</f>
        <v>https://files.digital.nhs.uk/37/CA1829/ldsm-jan-20-main-report.pdf</v>
      </c>
      <c r="AJ166" s="25">
        <f>VLOOKUP(tblMeasure[[#This Row],[msr_population_or_survey]],strlu_msr_population_or_survey,2,FALSE)</f>
        <v>1</v>
      </c>
      <c r="AK166" s="25">
        <f>VLOOKUP(tblMeasure[[#This Row],[msr_min_geo_resolution]],strlu_msr_min_geo_resolution,2,FALSE)</f>
        <v>0</v>
      </c>
      <c r="AL166" s="25">
        <f>(MAX(tblMeasure[[#This Row],[src_year_last_published]]-2010+1,0)+MIN(2010-tblMeasure[[#This Row],[src_year_first_published]],0)-MAX(tblMeasure[[#This Row],[src_year_last_published]]-2019,0))/10</f>
        <v>0.5</v>
      </c>
      <c r="AM166" s="25">
        <f>IF(OR(tblMeasure[[#This Row],[src_discontinuity]]="None",tblMeasure[[#This Row],[src_discontinuity]]=0),1,0)</f>
        <v>0</v>
      </c>
      <c r="AN166" s="25">
        <f>VLOOKUP(tblMeasure[[#This Row],[src_pub_frequency]],strlu_src_pub_frequency,2,FALSE)</f>
        <v>1</v>
      </c>
      <c r="AO166" s="25">
        <f>VLOOKUP(tblMeasure[[#This Row],[src_pub_lag_months]],strlu_src_pub_lag_months,2,FALSE)</f>
        <v>0.9</v>
      </c>
      <c r="AP166" s="25">
        <f>VLOOKUP(tblMeasure[[#This Row],[src_statistic_class]],strlu_src_statistic_class,2,FALSE)</f>
        <v>0.5</v>
      </c>
      <c r="AQ166" s="25">
        <f>IF(tblMeasure[[#This Row],[src_methodology_url]]="TBD",0,1)</f>
        <v>1</v>
      </c>
      <c r="AR166" s="25">
        <f>IF(tblMeasure[[#This Row],[src_quality_url]]="TBD",0,1)</f>
        <v>1</v>
      </c>
      <c r="AS166" s="85" cm="1">
        <f t="array" ref="AS166">SUMPRODUCT(TRANSPOSE(tblMeasure[[#This Row],[str_msr_population_or_survey]:[str_src_quality_url]]),str_weights)/str_weights_total</f>
        <v>0.60769230769230775</v>
      </c>
    </row>
    <row r="167" spans="1:45" hidden="1" x14ac:dyDescent="0.15">
      <c r="A167" s="30">
        <v>165</v>
      </c>
      <c r="B167" s="15">
        <f>COUNTIF(requirement_measure_map!$D$3:$D$1514,measure!A167)</f>
        <v>1</v>
      </c>
      <c r="C167" s="30" t="s">
        <v>656</v>
      </c>
      <c r="D167" s="15" t="s">
        <v>724</v>
      </c>
      <c r="E167" s="15" t="s">
        <v>725</v>
      </c>
      <c r="F167" s="15" t="s">
        <v>726</v>
      </c>
      <c r="G167" s="29" t="s">
        <v>639</v>
      </c>
      <c r="H167" s="15"/>
      <c r="I167" s="15" t="s">
        <v>214</v>
      </c>
      <c r="J167" s="15" t="s">
        <v>215</v>
      </c>
      <c r="K167" s="15" t="s">
        <v>727</v>
      </c>
      <c r="L167" s="15" t="s">
        <v>233</v>
      </c>
      <c r="M167" s="15" t="s">
        <v>349</v>
      </c>
      <c r="N167" s="15" t="s">
        <v>219</v>
      </c>
      <c r="O167" s="15" t="s">
        <v>219</v>
      </c>
      <c r="P167" s="15" t="s">
        <v>219</v>
      </c>
      <c r="Q167" s="15" t="s">
        <v>220</v>
      </c>
      <c r="R167" s="15" t="s">
        <v>219</v>
      </c>
      <c r="S167" s="15" t="s">
        <v>219</v>
      </c>
      <c r="T167" s="15" t="s">
        <v>219</v>
      </c>
      <c r="U167" s="15" t="s">
        <v>219</v>
      </c>
      <c r="V167" s="15" t="s">
        <v>219</v>
      </c>
      <c r="W167" s="15">
        <v>7</v>
      </c>
      <c r="X167" s="15" t="str">
        <f>_xlfn.XLOOKUP(tblMeasure[[#This Row],[id_src]],tblSource[id_src],tblSource[org])</f>
        <v>NHS Digital</v>
      </c>
      <c r="Y167" s="15" t="str">
        <f>_xlfn.XLOOKUP(tblMeasure[[#This Row],[id_src]],tblSource[id_src],tblSource[source])</f>
        <v>Learning Disability Services Statistics</v>
      </c>
      <c r="Z167" s="15" t="str">
        <f>_xlfn.XLOOKUP(tblMeasure[[#This Row],[id_src]],tblSource[id_src],tblSource[url_source])</f>
        <v>https://digital.nhs.uk/data-and-information/publications/statistical/learning-disability-services-statistics</v>
      </c>
      <c r="AA167" s="15">
        <f>_xlfn.XLOOKUP(tblMeasure[[#This Row],[id_src]],tblSource[id_src],tblSource[year_first_published])</f>
        <v>2015</v>
      </c>
      <c r="AB167" s="15">
        <f>_xlfn.XLOOKUP(tblMeasure[[#This Row],[id_src]],tblSource[id_src],tblSource[year_last_published])</f>
        <v>2020</v>
      </c>
      <c r="AC167" s="15" t="str">
        <f>_xlfn.XLOOKUP(tblMeasure[[#This Row],[id_src]],tblSource[id_src],tblSource[discontinuity])</f>
        <v>TBD</v>
      </c>
      <c r="AD167" s="15" t="str">
        <f>_xlfn.XLOOKUP(tblMeasure[[#This Row],[id_src]],tblSource[id_src],tblSource[publication_frequency])</f>
        <v>Monthly</v>
      </c>
      <c r="AE167" s="15">
        <f>_xlfn.XLOOKUP(tblMeasure[[#This Row],[id_src]],tblSource[id_src],tblSource[publication_lag_months])</f>
        <v>1</v>
      </c>
      <c r="AF167" s="25" t="str">
        <f>_xlfn.XLOOKUP(tblMeasure[[#This Row],[id_src]],tblSource[id_src],tblSource[data_providers])</f>
        <v>CCG</v>
      </c>
      <c r="AG167" s="25" t="str">
        <f>_xlfn.XLOOKUP(tblMeasure[[#This Row],[id_src]],tblSource[id_src],tblSource[statistic_class])</f>
        <v>Experimental</v>
      </c>
      <c r="AH167" s="25" t="str">
        <f>_xlfn.XLOOKUP(tblMeasure[[#This Row],[id_src]],tblSource[id_src],tblSource[methodology_link])</f>
        <v>https://files.digital.nhs.uk/37/CA1829/ldsm-jan-20-main-report.pdf</v>
      </c>
      <c r="AI167" s="25" t="str">
        <f>_xlfn.XLOOKUP(tblMeasure[[#This Row],[id_src]],tblSource[id_src],tblSource[quality_issues])</f>
        <v>https://files.digital.nhs.uk/37/CA1829/ldsm-jan-20-main-report.pdf</v>
      </c>
      <c r="AJ167" s="25">
        <f>VLOOKUP(tblMeasure[[#This Row],[msr_population_or_survey]],strlu_msr_population_or_survey,2,FALSE)</f>
        <v>1</v>
      </c>
      <c r="AK167" s="25">
        <f>VLOOKUP(tblMeasure[[#This Row],[msr_min_geo_resolution]],strlu_msr_min_geo_resolution,2,FALSE)</f>
        <v>0</v>
      </c>
      <c r="AL167" s="25">
        <f>(MAX(tblMeasure[[#This Row],[src_year_last_published]]-2010+1,0)+MIN(2010-tblMeasure[[#This Row],[src_year_first_published]],0)-MAX(tblMeasure[[#This Row],[src_year_last_published]]-2019,0))/10</f>
        <v>0.5</v>
      </c>
      <c r="AM167" s="25">
        <f>IF(OR(tblMeasure[[#This Row],[src_discontinuity]]="None",tblMeasure[[#This Row],[src_discontinuity]]=0),1,0)</f>
        <v>0</v>
      </c>
      <c r="AN167" s="25">
        <f>VLOOKUP(tblMeasure[[#This Row],[src_pub_frequency]],strlu_src_pub_frequency,2,FALSE)</f>
        <v>1</v>
      </c>
      <c r="AO167" s="25">
        <f>VLOOKUP(tblMeasure[[#This Row],[src_pub_lag_months]],strlu_src_pub_lag_months,2,FALSE)</f>
        <v>0.9</v>
      </c>
      <c r="AP167" s="25">
        <f>VLOOKUP(tblMeasure[[#This Row],[src_statistic_class]],strlu_src_statistic_class,2,FALSE)</f>
        <v>0.5</v>
      </c>
      <c r="AQ167" s="25">
        <f>IF(tblMeasure[[#This Row],[src_methodology_url]]="TBD",0,1)</f>
        <v>1</v>
      </c>
      <c r="AR167" s="25">
        <f>IF(tblMeasure[[#This Row],[src_quality_url]]="TBD",0,1)</f>
        <v>1</v>
      </c>
      <c r="AS167" s="85" cm="1">
        <f t="array" ref="AS167">SUMPRODUCT(TRANSPOSE(tblMeasure[[#This Row],[str_msr_population_or_survey]:[str_src_quality_url]]),str_weights)/str_weights_total</f>
        <v>0.60769230769230775</v>
      </c>
    </row>
    <row r="168" spans="1:45" hidden="1" x14ac:dyDescent="0.15">
      <c r="A168" s="30">
        <v>166</v>
      </c>
      <c r="B168" s="15">
        <f>COUNTIF(requirement_measure_map!$D$3:$D$1514,measure!A168)</f>
        <v>1</v>
      </c>
      <c r="C168" s="30" t="s">
        <v>656</v>
      </c>
      <c r="D168" s="15" t="s">
        <v>728</v>
      </c>
      <c r="E168" s="15" t="s">
        <v>729</v>
      </c>
      <c r="F168" s="15" t="s">
        <v>730</v>
      </c>
      <c r="G168" s="29" t="s">
        <v>639</v>
      </c>
      <c r="H168" s="15"/>
      <c r="I168" s="15" t="s">
        <v>214</v>
      </c>
      <c r="J168" s="15" t="s">
        <v>215</v>
      </c>
      <c r="K168" s="15" t="s">
        <v>731</v>
      </c>
      <c r="L168" s="15" t="s">
        <v>233</v>
      </c>
      <c r="M168" s="15" t="s">
        <v>219</v>
      </c>
      <c r="N168" s="15" t="s">
        <v>219</v>
      </c>
      <c r="O168" s="15" t="s">
        <v>219</v>
      </c>
      <c r="P168" s="15" t="s">
        <v>219</v>
      </c>
      <c r="Q168" s="15" t="s">
        <v>220</v>
      </c>
      <c r="R168" s="15" t="s">
        <v>219</v>
      </c>
      <c r="S168" s="15" t="s">
        <v>219</v>
      </c>
      <c r="T168" s="15" t="s">
        <v>219</v>
      </c>
      <c r="U168" s="15" t="s">
        <v>219</v>
      </c>
      <c r="V168" s="15" t="s">
        <v>219</v>
      </c>
      <c r="W168" s="15">
        <v>7</v>
      </c>
      <c r="X168" s="15" t="str">
        <f>_xlfn.XLOOKUP(tblMeasure[[#This Row],[id_src]],tblSource[id_src],tblSource[org])</f>
        <v>NHS Digital</v>
      </c>
      <c r="Y168" s="15" t="str">
        <f>_xlfn.XLOOKUP(tblMeasure[[#This Row],[id_src]],tblSource[id_src],tblSource[source])</f>
        <v>Learning Disability Services Statistics</v>
      </c>
      <c r="Z168" s="15" t="str">
        <f>_xlfn.XLOOKUP(tblMeasure[[#This Row],[id_src]],tblSource[id_src],tblSource[url_source])</f>
        <v>https://digital.nhs.uk/data-and-information/publications/statistical/learning-disability-services-statistics</v>
      </c>
      <c r="AA168" s="15">
        <f>_xlfn.XLOOKUP(tblMeasure[[#This Row],[id_src]],tblSource[id_src],tblSource[year_first_published])</f>
        <v>2015</v>
      </c>
      <c r="AB168" s="15">
        <f>_xlfn.XLOOKUP(tblMeasure[[#This Row],[id_src]],tblSource[id_src],tblSource[year_last_published])</f>
        <v>2020</v>
      </c>
      <c r="AC168" s="15" t="str">
        <f>_xlfn.XLOOKUP(tblMeasure[[#This Row],[id_src]],tblSource[id_src],tblSource[discontinuity])</f>
        <v>TBD</v>
      </c>
      <c r="AD168" s="15" t="str">
        <f>_xlfn.XLOOKUP(tblMeasure[[#This Row],[id_src]],tblSource[id_src],tblSource[publication_frequency])</f>
        <v>Monthly</v>
      </c>
      <c r="AE168" s="15">
        <f>_xlfn.XLOOKUP(tblMeasure[[#This Row],[id_src]],tblSource[id_src],tblSource[publication_lag_months])</f>
        <v>1</v>
      </c>
      <c r="AF168" s="25" t="str">
        <f>_xlfn.XLOOKUP(tblMeasure[[#This Row],[id_src]],tblSource[id_src],tblSource[data_providers])</f>
        <v>CCG</v>
      </c>
      <c r="AG168" s="25" t="str">
        <f>_xlfn.XLOOKUP(tblMeasure[[#This Row],[id_src]],tblSource[id_src],tblSource[statistic_class])</f>
        <v>Experimental</v>
      </c>
      <c r="AH168" s="25" t="str">
        <f>_xlfn.XLOOKUP(tblMeasure[[#This Row],[id_src]],tblSource[id_src],tblSource[methodology_link])</f>
        <v>https://files.digital.nhs.uk/37/CA1829/ldsm-jan-20-main-report.pdf</v>
      </c>
      <c r="AI168" s="25" t="str">
        <f>_xlfn.XLOOKUP(tblMeasure[[#This Row],[id_src]],tblSource[id_src],tblSource[quality_issues])</f>
        <v>https://files.digital.nhs.uk/37/CA1829/ldsm-jan-20-main-report.pdf</v>
      </c>
      <c r="AJ168" s="25">
        <f>VLOOKUP(tblMeasure[[#This Row],[msr_population_or_survey]],strlu_msr_population_or_survey,2,FALSE)</f>
        <v>1</v>
      </c>
      <c r="AK168" s="25">
        <f>VLOOKUP(tblMeasure[[#This Row],[msr_min_geo_resolution]],strlu_msr_min_geo_resolution,2,FALSE)</f>
        <v>0</v>
      </c>
      <c r="AL168" s="25">
        <f>(MAX(tblMeasure[[#This Row],[src_year_last_published]]-2010+1,0)+MIN(2010-tblMeasure[[#This Row],[src_year_first_published]],0)-MAX(tblMeasure[[#This Row],[src_year_last_published]]-2019,0))/10</f>
        <v>0.5</v>
      </c>
      <c r="AM168" s="25">
        <f>IF(OR(tblMeasure[[#This Row],[src_discontinuity]]="None",tblMeasure[[#This Row],[src_discontinuity]]=0),1,0)</f>
        <v>0</v>
      </c>
      <c r="AN168" s="25">
        <f>VLOOKUP(tblMeasure[[#This Row],[src_pub_frequency]],strlu_src_pub_frequency,2,FALSE)</f>
        <v>1</v>
      </c>
      <c r="AO168" s="25">
        <f>VLOOKUP(tblMeasure[[#This Row],[src_pub_lag_months]],strlu_src_pub_lag_months,2,FALSE)</f>
        <v>0.9</v>
      </c>
      <c r="AP168" s="25">
        <f>VLOOKUP(tblMeasure[[#This Row],[src_statistic_class]],strlu_src_statistic_class,2,FALSE)</f>
        <v>0.5</v>
      </c>
      <c r="AQ168" s="25">
        <f>IF(tblMeasure[[#This Row],[src_methodology_url]]="TBD",0,1)</f>
        <v>1</v>
      </c>
      <c r="AR168" s="25">
        <f>IF(tblMeasure[[#This Row],[src_quality_url]]="TBD",0,1)</f>
        <v>1</v>
      </c>
      <c r="AS168" s="85" cm="1">
        <f t="array" ref="AS168">SUMPRODUCT(TRANSPOSE(tblMeasure[[#This Row],[str_msr_population_or_survey]:[str_src_quality_url]]),str_weights)/str_weights_total</f>
        <v>0.60769230769230775</v>
      </c>
    </row>
    <row r="169" spans="1:45" hidden="1" x14ac:dyDescent="0.15">
      <c r="A169" s="30">
        <v>167</v>
      </c>
      <c r="B169" s="15">
        <f>COUNTIF(requirement_measure_map!$D$3:$D$1514,measure!A169)</f>
        <v>1</v>
      </c>
      <c r="C169" s="30" t="s">
        <v>656</v>
      </c>
      <c r="D169" s="15" t="s">
        <v>732</v>
      </c>
      <c r="E169" s="15" t="s">
        <v>733</v>
      </c>
      <c r="F169" s="15" t="s">
        <v>734</v>
      </c>
      <c r="G169" s="29" t="s">
        <v>639</v>
      </c>
      <c r="H169" s="15"/>
      <c r="I169" s="15" t="s">
        <v>214</v>
      </c>
      <c r="J169" s="15" t="s">
        <v>215</v>
      </c>
      <c r="K169" s="15" t="s">
        <v>735</v>
      </c>
      <c r="L169" s="15" t="s">
        <v>233</v>
      </c>
      <c r="M169" s="15" t="s">
        <v>219</v>
      </c>
      <c r="N169" s="15" t="s">
        <v>219</v>
      </c>
      <c r="O169" s="15" t="s">
        <v>219</v>
      </c>
      <c r="P169" s="15" t="s">
        <v>219</v>
      </c>
      <c r="Q169" s="15" t="s">
        <v>220</v>
      </c>
      <c r="R169" s="15" t="s">
        <v>219</v>
      </c>
      <c r="S169" s="15" t="s">
        <v>219</v>
      </c>
      <c r="T169" s="15" t="s">
        <v>219</v>
      </c>
      <c r="U169" s="15" t="s">
        <v>219</v>
      </c>
      <c r="V169" s="15" t="s">
        <v>219</v>
      </c>
      <c r="W169" s="15">
        <v>7</v>
      </c>
      <c r="X169" s="15" t="str">
        <f>_xlfn.XLOOKUP(tblMeasure[[#This Row],[id_src]],tblSource[id_src],tblSource[org])</f>
        <v>NHS Digital</v>
      </c>
      <c r="Y169" s="15" t="str">
        <f>_xlfn.XLOOKUP(tblMeasure[[#This Row],[id_src]],tblSource[id_src],tblSource[source])</f>
        <v>Learning Disability Services Statistics</v>
      </c>
      <c r="Z169" s="15" t="str">
        <f>_xlfn.XLOOKUP(tblMeasure[[#This Row],[id_src]],tblSource[id_src],tblSource[url_source])</f>
        <v>https://digital.nhs.uk/data-and-information/publications/statistical/learning-disability-services-statistics</v>
      </c>
      <c r="AA169" s="15">
        <f>_xlfn.XLOOKUP(tblMeasure[[#This Row],[id_src]],tblSource[id_src],tblSource[year_first_published])</f>
        <v>2015</v>
      </c>
      <c r="AB169" s="15">
        <f>_xlfn.XLOOKUP(tblMeasure[[#This Row],[id_src]],tblSource[id_src],tblSource[year_last_published])</f>
        <v>2020</v>
      </c>
      <c r="AC169" s="15" t="str">
        <f>_xlfn.XLOOKUP(tblMeasure[[#This Row],[id_src]],tblSource[id_src],tblSource[discontinuity])</f>
        <v>TBD</v>
      </c>
      <c r="AD169" s="15" t="str">
        <f>_xlfn.XLOOKUP(tblMeasure[[#This Row],[id_src]],tblSource[id_src],tblSource[publication_frequency])</f>
        <v>Monthly</v>
      </c>
      <c r="AE169" s="15">
        <f>_xlfn.XLOOKUP(tblMeasure[[#This Row],[id_src]],tblSource[id_src],tblSource[publication_lag_months])</f>
        <v>1</v>
      </c>
      <c r="AF169" s="25" t="str">
        <f>_xlfn.XLOOKUP(tblMeasure[[#This Row],[id_src]],tblSource[id_src],tblSource[data_providers])</f>
        <v>CCG</v>
      </c>
      <c r="AG169" s="25" t="str">
        <f>_xlfn.XLOOKUP(tblMeasure[[#This Row],[id_src]],tblSource[id_src],tblSource[statistic_class])</f>
        <v>Experimental</v>
      </c>
      <c r="AH169" s="25" t="str">
        <f>_xlfn.XLOOKUP(tblMeasure[[#This Row],[id_src]],tblSource[id_src],tblSource[methodology_link])</f>
        <v>https://files.digital.nhs.uk/37/CA1829/ldsm-jan-20-main-report.pdf</v>
      </c>
      <c r="AI169" s="25" t="str">
        <f>_xlfn.XLOOKUP(tblMeasure[[#This Row],[id_src]],tblSource[id_src],tblSource[quality_issues])</f>
        <v>https://files.digital.nhs.uk/37/CA1829/ldsm-jan-20-main-report.pdf</v>
      </c>
      <c r="AJ169" s="25">
        <f>VLOOKUP(tblMeasure[[#This Row],[msr_population_or_survey]],strlu_msr_population_or_survey,2,FALSE)</f>
        <v>1</v>
      </c>
      <c r="AK169" s="25">
        <f>VLOOKUP(tblMeasure[[#This Row],[msr_min_geo_resolution]],strlu_msr_min_geo_resolution,2,FALSE)</f>
        <v>0</v>
      </c>
      <c r="AL169" s="25">
        <f>(MAX(tblMeasure[[#This Row],[src_year_last_published]]-2010+1,0)+MIN(2010-tblMeasure[[#This Row],[src_year_first_published]],0)-MAX(tblMeasure[[#This Row],[src_year_last_published]]-2019,0))/10</f>
        <v>0.5</v>
      </c>
      <c r="AM169" s="25">
        <f>IF(OR(tblMeasure[[#This Row],[src_discontinuity]]="None",tblMeasure[[#This Row],[src_discontinuity]]=0),1,0)</f>
        <v>0</v>
      </c>
      <c r="AN169" s="25">
        <f>VLOOKUP(tblMeasure[[#This Row],[src_pub_frequency]],strlu_src_pub_frequency,2,FALSE)</f>
        <v>1</v>
      </c>
      <c r="AO169" s="25">
        <f>VLOOKUP(tblMeasure[[#This Row],[src_pub_lag_months]],strlu_src_pub_lag_months,2,FALSE)</f>
        <v>0.9</v>
      </c>
      <c r="AP169" s="25">
        <f>VLOOKUP(tblMeasure[[#This Row],[src_statistic_class]],strlu_src_statistic_class,2,FALSE)</f>
        <v>0.5</v>
      </c>
      <c r="AQ169" s="25">
        <f>IF(tblMeasure[[#This Row],[src_methodology_url]]="TBD",0,1)</f>
        <v>1</v>
      </c>
      <c r="AR169" s="25">
        <f>IF(tblMeasure[[#This Row],[src_quality_url]]="TBD",0,1)</f>
        <v>1</v>
      </c>
      <c r="AS169" s="85" cm="1">
        <f t="array" ref="AS169">SUMPRODUCT(TRANSPOSE(tblMeasure[[#This Row],[str_msr_population_or_survey]:[str_src_quality_url]]),str_weights)/str_weights_total</f>
        <v>0.60769230769230775</v>
      </c>
    </row>
    <row r="170" spans="1:45" hidden="1" x14ac:dyDescent="0.15">
      <c r="A170" s="30">
        <v>168</v>
      </c>
      <c r="B170" s="15">
        <f>COUNTIF(requirement_measure_map!$D$3:$D$1514,measure!A170)</f>
        <v>17</v>
      </c>
      <c r="C170" s="30" t="s">
        <v>656</v>
      </c>
      <c r="D170" s="15" t="s">
        <v>736</v>
      </c>
      <c r="E170" s="15" t="s">
        <v>737</v>
      </c>
      <c r="F170" s="15" t="s">
        <v>738</v>
      </c>
      <c r="G170" s="29" t="s">
        <v>739</v>
      </c>
      <c r="H170" s="15"/>
      <c r="I170" s="15" t="s">
        <v>429</v>
      </c>
      <c r="J170" s="15" t="s">
        <v>450</v>
      </c>
      <c r="K170" s="15" t="s">
        <v>740</v>
      </c>
      <c r="L170" s="15" t="s">
        <v>217</v>
      </c>
      <c r="M170" s="15" t="s">
        <v>330</v>
      </c>
      <c r="N170" s="15" t="s">
        <v>219</v>
      </c>
      <c r="O170" s="15" t="s">
        <v>219</v>
      </c>
      <c r="P170" s="15" t="s">
        <v>741</v>
      </c>
      <c r="Q170" s="15" t="s">
        <v>219</v>
      </c>
      <c r="R170" s="15" t="s">
        <v>220</v>
      </c>
      <c r="S170" s="15" t="s">
        <v>220</v>
      </c>
      <c r="T170" s="15" t="s">
        <v>243</v>
      </c>
      <c r="U170" s="15" t="s">
        <v>219</v>
      </c>
      <c r="V170" s="15" t="s">
        <v>330</v>
      </c>
      <c r="W170" s="15">
        <v>8</v>
      </c>
      <c r="X170" s="15" t="str">
        <f>_xlfn.XLOOKUP(tblMeasure[[#This Row],[id_src]],tblSource[id_src],tblSource[org])</f>
        <v>NHS Digital</v>
      </c>
      <c r="Y170" s="15" t="str">
        <f>_xlfn.XLOOKUP(tblMeasure[[#This Row],[id_src]],tblSource[id_src],tblSource[source])</f>
        <v>Personal Social Services (SACE) Survey of Adult Carers in England</v>
      </c>
      <c r="Z170" s="15" t="str">
        <f>_xlfn.XLOOKUP(tblMeasure[[#This Row],[id_src]],tblSource[id_src],tblSource[url_source])</f>
        <v>https://digital.nhs.uk/data-and-information/publications/statistical/personal-social-services-survey-of-adult-carers/england-2018-19</v>
      </c>
      <c r="AA170" s="15">
        <f>_xlfn.XLOOKUP(tblMeasure[[#This Row],[id_src]],tblSource[id_src],tblSource[year_first_published])</f>
        <v>2010</v>
      </c>
      <c r="AB170" s="15">
        <f>_xlfn.XLOOKUP(tblMeasure[[#This Row],[id_src]],tblSource[id_src],tblSource[year_last_published])</f>
        <v>2019</v>
      </c>
      <c r="AC170" s="15">
        <f>_xlfn.XLOOKUP(tblMeasure[[#This Row],[id_src]],tblSource[id_src],tblSource[discontinuity])</f>
        <v>0</v>
      </c>
      <c r="AD170" s="15" t="str">
        <f>_xlfn.XLOOKUP(tblMeasure[[#This Row],[id_src]],tblSource[id_src],tblSource[publication_frequency])</f>
        <v>Biennial</v>
      </c>
      <c r="AE170" s="15">
        <f>_xlfn.XLOOKUP(tblMeasure[[#This Row],[id_src]],tblSource[id_src],tblSource[publication_lag_months])</f>
        <v>3</v>
      </c>
      <c r="AF170" s="25" t="str">
        <f>_xlfn.XLOOKUP(tblMeasure[[#This Row],[id_src]],tblSource[id_src],tblSource[data_providers])</f>
        <v>LA</v>
      </c>
      <c r="AG170" s="25" t="str">
        <f>_xlfn.XLOOKUP(tblMeasure[[#This Row],[id_src]],tblSource[id_src],tblSource[statistic_class])</f>
        <v>Official</v>
      </c>
      <c r="AH170" s="25" t="str">
        <f>_xlfn.XLOOKUP(tblMeasure[[#This Row],[id_src]],tblSource[id_src],tblSource[methodology_link])</f>
        <v>https://files.digital.nhs.uk/2C/7E21D3/PSS_SACE_Methodology_and_Further_Information_2018-19.pdf</v>
      </c>
      <c r="AI170" s="25" t="str">
        <f>_xlfn.XLOOKUP(tblMeasure[[#This Row],[id_src]],tblSource[id_src],tblSource[quality_issues])</f>
        <v>https://files.digital.nhs.uk/C2/BA9328/PSS_SACE_Data_Quality_Statement_2018-19.pdf</v>
      </c>
      <c r="AJ170" s="25">
        <f>VLOOKUP(tblMeasure[[#This Row],[msr_population_or_survey]],strlu_msr_population_or_survey,2,FALSE)</f>
        <v>0</v>
      </c>
      <c r="AK170" s="25">
        <f>VLOOKUP(tblMeasure[[#This Row],[msr_min_geo_resolution]],strlu_msr_min_geo_resolution,2,FALSE)</f>
        <v>1</v>
      </c>
      <c r="AL170" s="25">
        <f>(MAX(tblMeasure[[#This Row],[src_year_last_published]]-2010+1,0)+MIN(2010-tblMeasure[[#This Row],[src_year_first_published]],0)-MAX(tblMeasure[[#This Row],[src_year_last_published]]-2019,0))/10</f>
        <v>1</v>
      </c>
      <c r="AM170" s="25">
        <f>IF(OR(tblMeasure[[#This Row],[src_discontinuity]]="None",tblMeasure[[#This Row],[src_discontinuity]]=0),1,0)</f>
        <v>1</v>
      </c>
      <c r="AN170" s="25">
        <f>VLOOKUP(tblMeasure[[#This Row],[src_pub_frequency]],strlu_src_pub_frequency,2,FALSE)</f>
        <v>0.5</v>
      </c>
      <c r="AO170" s="25">
        <f>VLOOKUP(tblMeasure[[#This Row],[src_pub_lag_months]],strlu_src_pub_lag_months,2,FALSE)</f>
        <v>0.7</v>
      </c>
      <c r="AP170" s="25">
        <f>VLOOKUP(tblMeasure[[#This Row],[src_statistic_class]],strlu_src_statistic_class,2,FALSE)</f>
        <v>1</v>
      </c>
      <c r="AQ170" s="25">
        <f>IF(tblMeasure[[#This Row],[src_methodology_url]]="TBD",0,1)</f>
        <v>1</v>
      </c>
      <c r="AR170" s="25">
        <f>IF(tblMeasure[[#This Row],[src_quality_url]]="TBD",0,1)</f>
        <v>1</v>
      </c>
      <c r="AS170" s="85" cm="1">
        <f t="array" ref="AS170">SUMPRODUCT(TRANSPOSE(tblMeasure[[#This Row],[str_msr_population_or_survey]:[str_src_quality_url]]),str_weights)/str_weights_total</f>
        <v>0.74615384615384606</v>
      </c>
    </row>
    <row r="171" spans="1:45" hidden="1" x14ac:dyDescent="0.15">
      <c r="A171" s="30">
        <v>169</v>
      </c>
      <c r="B171" s="15">
        <f>COUNTIF(requirement_measure_map!$D$3:$D$1514,measure!A171)</f>
        <v>30</v>
      </c>
      <c r="C171" s="30" t="s">
        <v>656</v>
      </c>
      <c r="D171" s="15" t="s">
        <v>742</v>
      </c>
      <c r="E171" s="15" t="s">
        <v>743</v>
      </c>
      <c r="F171" s="15" t="s">
        <v>744</v>
      </c>
      <c r="G171" s="29" t="s">
        <v>739</v>
      </c>
      <c r="H171" s="15"/>
      <c r="I171" s="15" t="s">
        <v>429</v>
      </c>
      <c r="J171" s="15" t="s">
        <v>450</v>
      </c>
      <c r="K171" s="15" t="s">
        <v>745</v>
      </c>
      <c r="L171" s="15" t="s">
        <v>233</v>
      </c>
      <c r="M171" s="15" t="s">
        <v>330</v>
      </c>
      <c r="N171" s="15" t="s">
        <v>219</v>
      </c>
      <c r="O171" s="15" t="s">
        <v>219</v>
      </c>
      <c r="P171" s="15" t="s">
        <v>746</v>
      </c>
      <c r="Q171" s="15" t="s">
        <v>240</v>
      </c>
      <c r="R171" s="15" t="s">
        <v>220</v>
      </c>
      <c r="S171" s="15" t="s">
        <v>220</v>
      </c>
      <c r="T171" s="15" t="s">
        <v>243</v>
      </c>
      <c r="U171" s="15" t="s">
        <v>219</v>
      </c>
      <c r="V171" s="15" t="s">
        <v>330</v>
      </c>
      <c r="W171" s="15">
        <v>8</v>
      </c>
      <c r="X171" s="15" t="str">
        <f>_xlfn.XLOOKUP(tblMeasure[[#This Row],[id_src]],tblSource[id_src],tblSource[org])</f>
        <v>NHS Digital</v>
      </c>
      <c r="Y171" s="15" t="str">
        <f>_xlfn.XLOOKUP(tblMeasure[[#This Row],[id_src]],tblSource[id_src],tblSource[source])</f>
        <v>Personal Social Services (SACE) Survey of Adult Carers in England</v>
      </c>
      <c r="Z171" s="15" t="str">
        <f>_xlfn.XLOOKUP(tblMeasure[[#This Row],[id_src]],tblSource[id_src],tblSource[url_source])</f>
        <v>https://digital.nhs.uk/data-and-information/publications/statistical/personal-social-services-survey-of-adult-carers/england-2018-19</v>
      </c>
      <c r="AA171" s="15">
        <f>_xlfn.XLOOKUP(tblMeasure[[#This Row],[id_src]],tblSource[id_src],tblSource[year_first_published])</f>
        <v>2010</v>
      </c>
      <c r="AB171" s="15">
        <f>_xlfn.XLOOKUP(tblMeasure[[#This Row],[id_src]],tblSource[id_src],tblSource[year_last_published])</f>
        <v>2019</v>
      </c>
      <c r="AC171" s="15">
        <f>_xlfn.XLOOKUP(tblMeasure[[#This Row],[id_src]],tblSource[id_src],tblSource[discontinuity])</f>
        <v>0</v>
      </c>
      <c r="AD171" s="15" t="str">
        <f>_xlfn.XLOOKUP(tblMeasure[[#This Row],[id_src]],tblSource[id_src],tblSource[publication_frequency])</f>
        <v>Biennial</v>
      </c>
      <c r="AE171" s="15">
        <f>_xlfn.XLOOKUP(tblMeasure[[#This Row],[id_src]],tblSource[id_src],tblSource[publication_lag_months])</f>
        <v>3</v>
      </c>
      <c r="AF171" s="25" t="str">
        <f>_xlfn.XLOOKUP(tblMeasure[[#This Row],[id_src]],tblSource[id_src],tblSource[data_providers])</f>
        <v>LA</v>
      </c>
      <c r="AG171" s="25" t="str">
        <f>_xlfn.XLOOKUP(tblMeasure[[#This Row],[id_src]],tblSource[id_src],tblSource[statistic_class])</f>
        <v>Official</v>
      </c>
      <c r="AH171" s="25" t="str">
        <f>_xlfn.XLOOKUP(tblMeasure[[#This Row],[id_src]],tblSource[id_src],tblSource[methodology_link])</f>
        <v>https://files.digital.nhs.uk/2C/7E21D3/PSS_SACE_Methodology_and_Further_Information_2018-19.pdf</v>
      </c>
      <c r="AI171" s="25" t="str">
        <f>_xlfn.XLOOKUP(tblMeasure[[#This Row],[id_src]],tblSource[id_src],tblSource[quality_issues])</f>
        <v>https://files.digital.nhs.uk/C2/BA9328/PSS_SACE_Data_Quality_Statement_2018-19.pdf</v>
      </c>
      <c r="AJ171" s="25">
        <f>VLOOKUP(tblMeasure[[#This Row],[msr_population_or_survey]],strlu_msr_population_or_survey,2,FALSE)</f>
        <v>0</v>
      </c>
      <c r="AK171" s="25">
        <f>VLOOKUP(tblMeasure[[#This Row],[msr_min_geo_resolution]],strlu_msr_min_geo_resolution,2,FALSE)</f>
        <v>0</v>
      </c>
      <c r="AL171" s="25">
        <f>(MAX(tblMeasure[[#This Row],[src_year_last_published]]-2010+1,0)+MIN(2010-tblMeasure[[#This Row],[src_year_first_published]],0)-MAX(tblMeasure[[#This Row],[src_year_last_published]]-2019,0))/10</f>
        <v>1</v>
      </c>
      <c r="AM171" s="25">
        <f>IF(OR(tblMeasure[[#This Row],[src_discontinuity]]="None",tblMeasure[[#This Row],[src_discontinuity]]=0),1,0)</f>
        <v>1</v>
      </c>
      <c r="AN171" s="25">
        <f>VLOOKUP(tblMeasure[[#This Row],[src_pub_frequency]],strlu_src_pub_frequency,2,FALSE)</f>
        <v>0.5</v>
      </c>
      <c r="AO171" s="25">
        <f>VLOOKUP(tblMeasure[[#This Row],[src_pub_lag_months]],strlu_src_pub_lag_months,2,FALSE)</f>
        <v>0.7</v>
      </c>
      <c r="AP171" s="25">
        <f>VLOOKUP(tblMeasure[[#This Row],[src_statistic_class]],strlu_src_statistic_class,2,FALSE)</f>
        <v>1</v>
      </c>
      <c r="AQ171" s="25">
        <f>IF(tblMeasure[[#This Row],[src_methodology_url]]="TBD",0,1)</f>
        <v>1</v>
      </c>
      <c r="AR171" s="25">
        <f>IF(tblMeasure[[#This Row],[src_quality_url]]="TBD",0,1)</f>
        <v>1</v>
      </c>
      <c r="AS171" s="85" cm="1">
        <f t="array" ref="AS171">SUMPRODUCT(TRANSPOSE(tblMeasure[[#This Row],[str_msr_population_or_survey]:[str_src_quality_url]]),str_weights)/str_weights_total</f>
        <v>0.59230769230769231</v>
      </c>
    </row>
    <row r="172" spans="1:45" hidden="1" x14ac:dyDescent="0.15">
      <c r="A172" s="30">
        <v>170</v>
      </c>
      <c r="B172" s="15">
        <f>COUNTIF(requirement_measure_map!$D$3:$D$1514,measure!A172)</f>
        <v>0</v>
      </c>
      <c r="C172" s="30" t="s">
        <v>747</v>
      </c>
      <c r="D172" s="15" t="s">
        <v>748</v>
      </c>
      <c r="E172" s="15" t="s">
        <v>749</v>
      </c>
      <c r="F172" s="15" t="s">
        <v>750</v>
      </c>
      <c r="G172" s="29" t="s">
        <v>739</v>
      </c>
      <c r="H172" s="15"/>
      <c r="I172" s="15" t="s">
        <v>429</v>
      </c>
      <c r="J172" s="15" t="s">
        <v>450</v>
      </c>
      <c r="K172" s="15" t="s">
        <v>740</v>
      </c>
      <c r="L172" s="15" t="s">
        <v>233</v>
      </c>
      <c r="M172" s="15" t="s">
        <v>330</v>
      </c>
      <c r="N172" s="15" t="s">
        <v>219</v>
      </c>
      <c r="O172" s="15" t="s">
        <v>219</v>
      </c>
      <c r="P172" s="15" t="s">
        <v>741</v>
      </c>
      <c r="Q172" s="15" t="s">
        <v>219</v>
      </c>
      <c r="R172" s="15" t="s">
        <v>220</v>
      </c>
      <c r="S172" s="15" t="s">
        <v>220</v>
      </c>
      <c r="T172" s="15" t="s">
        <v>243</v>
      </c>
      <c r="U172" s="15" t="s">
        <v>219</v>
      </c>
      <c r="V172" s="15" t="s">
        <v>330</v>
      </c>
      <c r="W172" s="15">
        <v>8</v>
      </c>
      <c r="X172" s="15" t="str">
        <f>_xlfn.XLOOKUP(tblMeasure[[#This Row],[id_src]],tblSource[id_src],tblSource[org])</f>
        <v>NHS Digital</v>
      </c>
      <c r="Y172" s="15" t="str">
        <f>_xlfn.XLOOKUP(tblMeasure[[#This Row],[id_src]],tblSource[id_src],tblSource[source])</f>
        <v>Personal Social Services (SACE) Survey of Adult Carers in England</v>
      </c>
      <c r="Z172" s="15" t="str">
        <f>_xlfn.XLOOKUP(tblMeasure[[#This Row],[id_src]],tblSource[id_src],tblSource[url_source])</f>
        <v>https://digital.nhs.uk/data-and-information/publications/statistical/personal-social-services-survey-of-adult-carers/england-2018-19</v>
      </c>
      <c r="AA172" s="15">
        <f>_xlfn.XLOOKUP(tblMeasure[[#This Row],[id_src]],tblSource[id_src],tblSource[year_first_published])</f>
        <v>2010</v>
      </c>
      <c r="AB172" s="15">
        <f>_xlfn.XLOOKUP(tblMeasure[[#This Row],[id_src]],tblSource[id_src],tblSource[year_last_published])</f>
        <v>2019</v>
      </c>
      <c r="AC172" s="15">
        <f>_xlfn.XLOOKUP(tblMeasure[[#This Row],[id_src]],tblSource[id_src],tblSource[discontinuity])</f>
        <v>0</v>
      </c>
      <c r="AD172" s="15" t="str">
        <f>_xlfn.XLOOKUP(tblMeasure[[#This Row],[id_src]],tblSource[id_src],tblSource[publication_frequency])</f>
        <v>Biennial</v>
      </c>
      <c r="AE172" s="15">
        <f>_xlfn.XLOOKUP(tblMeasure[[#This Row],[id_src]],tblSource[id_src],tblSource[publication_lag_months])</f>
        <v>3</v>
      </c>
      <c r="AF172" s="25" t="str">
        <f>_xlfn.XLOOKUP(tblMeasure[[#This Row],[id_src]],tblSource[id_src],tblSource[data_providers])</f>
        <v>LA</v>
      </c>
      <c r="AG172" s="25" t="str">
        <f>_xlfn.XLOOKUP(tblMeasure[[#This Row],[id_src]],tblSource[id_src],tblSource[statistic_class])</f>
        <v>Official</v>
      </c>
      <c r="AH172" s="25" t="str">
        <f>_xlfn.XLOOKUP(tblMeasure[[#This Row],[id_src]],tblSource[id_src],tblSource[methodology_link])</f>
        <v>https://files.digital.nhs.uk/2C/7E21D3/PSS_SACE_Methodology_and_Further_Information_2018-19.pdf</v>
      </c>
      <c r="AI172" s="25" t="str">
        <f>_xlfn.XLOOKUP(tblMeasure[[#This Row],[id_src]],tblSource[id_src],tblSource[quality_issues])</f>
        <v>https://files.digital.nhs.uk/C2/BA9328/PSS_SACE_Data_Quality_Statement_2018-19.pdf</v>
      </c>
      <c r="AJ172" s="25">
        <f>VLOOKUP(tblMeasure[[#This Row],[msr_population_or_survey]],strlu_msr_population_or_survey,2,FALSE)</f>
        <v>0</v>
      </c>
      <c r="AK172" s="25">
        <f>VLOOKUP(tblMeasure[[#This Row],[msr_min_geo_resolution]],strlu_msr_min_geo_resolution,2,FALSE)</f>
        <v>0</v>
      </c>
      <c r="AL172" s="25">
        <f>(MAX(tblMeasure[[#This Row],[src_year_last_published]]-2010+1,0)+MIN(2010-tblMeasure[[#This Row],[src_year_first_published]],0)-MAX(tblMeasure[[#This Row],[src_year_last_published]]-2019,0))/10</f>
        <v>1</v>
      </c>
      <c r="AM172" s="25">
        <f>IF(OR(tblMeasure[[#This Row],[src_discontinuity]]="None",tblMeasure[[#This Row],[src_discontinuity]]=0),1,0)</f>
        <v>1</v>
      </c>
      <c r="AN172" s="25">
        <f>VLOOKUP(tblMeasure[[#This Row],[src_pub_frequency]],strlu_src_pub_frequency,2,FALSE)</f>
        <v>0.5</v>
      </c>
      <c r="AO172" s="25">
        <f>VLOOKUP(tblMeasure[[#This Row],[src_pub_lag_months]],strlu_src_pub_lag_months,2,FALSE)</f>
        <v>0.7</v>
      </c>
      <c r="AP172" s="25">
        <f>VLOOKUP(tblMeasure[[#This Row],[src_statistic_class]],strlu_src_statistic_class,2,FALSE)</f>
        <v>1</v>
      </c>
      <c r="AQ172" s="25">
        <f>IF(tblMeasure[[#This Row],[src_methodology_url]]="TBD",0,1)</f>
        <v>1</v>
      </c>
      <c r="AR172" s="25">
        <f>IF(tblMeasure[[#This Row],[src_quality_url]]="TBD",0,1)</f>
        <v>1</v>
      </c>
      <c r="AS172" s="85" cm="1">
        <f t="array" ref="AS172">SUMPRODUCT(TRANSPOSE(tblMeasure[[#This Row],[str_msr_population_or_survey]:[str_src_quality_url]]),str_weights)/str_weights_total</f>
        <v>0.59230769230769231</v>
      </c>
    </row>
    <row r="173" spans="1:45" hidden="1" x14ac:dyDescent="0.15">
      <c r="A173" s="30">
        <v>171</v>
      </c>
      <c r="B173" s="15">
        <f>COUNTIF(requirement_measure_map!$D$3:$D$1514,measure!A173)</f>
        <v>0</v>
      </c>
      <c r="C173" s="30" t="s">
        <v>751</v>
      </c>
      <c r="D173" s="15" t="s">
        <v>752</v>
      </c>
      <c r="E173" s="15" t="s">
        <v>753</v>
      </c>
      <c r="F173" s="15" t="s">
        <v>754</v>
      </c>
      <c r="G173" s="29" t="s">
        <v>739</v>
      </c>
      <c r="H173" s="15"/>
      <c r="I173" s="15" t="s">
        <v>429</v>
      </c>
      <c r="J173" s="15" t="s">
        <v>450</v>
      </c>
      <c r="K173" s="15" t="s">
        <v>740</v>
      </c>
      <c r="L173" s="15" t="s">
        <v>217</v>
      </c>
      <c r="M173" s="15" t="s">
        <v>330</v>
      </c>
      <c r="N173" s="15" t="s">
        <v>219</v>
      </c>
      <c r="O173" s="15" t="s">
        <v>219</v>
      </c>
      <c r="P173" s="15" t="s">
        <v>741</v>
      </c>
      <c r="Q173" s="15" t="s">
        <v>219</v>
      </c>
      <c r="R173" s="15" t="s">
        <v>220</v>
      </c>
      <c r="S173" s="15" t="s">
        <v>220</v>
      </c>
      <c r="T173" s="15" t="s">
        <v>243</v>
      </c>
      <c r="U173" s="15" t="s">
        <v>219</v>
      </c>
      <c r="V173" s="15" t="s">
        <v>330</v>
      </c>
      <c r="W173" s="15">
        <v>8</v>
      </c>
      <c r="X173" s="15" t="str">
        <f>_xlfn.XLOOKUP(tblMeasure[[#This Row],[id_src]],tblSource[id_src],tblSource[org])</f>
        <v>NHS Digital</v>
      </c>
      <c r="Y173" s="15" t="str">
        <f>_xlfn.XLOOKUP(tblMeasure[[#This Row],[id_src]],tblSource[id_src],tblSource[source])</f>
        <v>Personal Social Services (SACE) Survey of Adult Carers in England</v>
      </c>
      <c r="Z173" s="15" t="str">
        <f>_xlfn.XLOOKUP(tblMeasure[[#This Row],[id_src]],tblSource[id_src],tblSource[url_source])</f>
        <v>https://digital.nhs.uk/data-and-information/publications/statistical/personal-social-services-survey-of-adult-carers/england-2018-19</v>
      </c>
      <c r="AA173" s="15">
        <f>_xlfn.XLOOKUP(tblMeasure[[#This Row],[id_src]],tblSource[id_src],tblSource[year_first_published])</f>
        <v>2010</v>
      </c>
      <c r="AB173" s="15">
        <f>_xlfn.XLOOKUP(tblMeasure[[#This Row],[id_src]],tblSource[id_src],tblSource[year_last_published])</f>
        <v>2019</v>
      </c>
      <c r="AC173" s="15">
        <f>_xlfn.XLOOKUP(tblMeasure[[#This Row],[id_src]],tblSource[id_src],tblSource[discontinuity])</f>
        <v>0</v>
      </c>
      <c r="AD173" s="15" t="str">
        <f>_xlfn.XLOOKUP(tblMeasure[[#This Row],[id_src]],tblSource[id_src],tblSource[publication_frequency])</f>
        <v>Biennial</v>
      </c>
      <c r="AE173" s="15">
        <f>_xlfn.XLOOKUP(tblMeasure[[#This Row],[id_src]],tblSource[id_src],tblSource[publication_lag_months])</f>
        <v>3</v>
      </c>
      <c r="AF173" s="25" t="str">
        <f>_xlfn.XLOOKUP(tblMeasure[[#This Row],[id_src]],tblSource[id_src],tblSource[data_providers])</f>
        <v>LA</v>
      </c>
      <c r="AG173" s="25" t="str">
        <f>_xlfn.XLOOKUP(tblMeasure[[#This Row],[id_src]],tblSource[id_src],tblSource[statistic_class])</f>
        <v>Official</v>
      </c>
      <c r="AH173" s="25" t="str">
        <f>_xlfn.XLOOKUP(tblMeasure[[#This Row],[id_src]],tblSource[id_src],tblSource[methodology_link])</f>
        <v>https://files.digital.nhs.uk/2C/7E21D3/PSS_SACE_Methodology_and_Further_Information_2018-19.pdf</v>
      </c>
      <c r="AI173" s="25" t="str">
        <f>_xlfn.XLOOKUP(tblMeasure[[#This Row],[id_src]],tblSource[id_src],tblSource[quality_issues])</f>
        <v>https://files.digital.nhs.uk/C2/BA9328/PSS_SACE_Data_Quality_Statement_2018-19.pdf</v>
      </c>
      <c r="AJ173" s="25">
        <f>VLOOKUP(tblMeasure[[#This Row],[msr_population_or_survey]],strlu_msr_population_or_survey,2,FALSE)</f>
        <v>0</v>
      </c>
      <c r="AK173" s="25">
        <f>VLOOKUP(tblMeasure[[#This Row],[msr_min_geo_resolution]],strlu_msr_min_geo_resolution,2,FALSE)</f>
        <v>1</v>
      </c>
      <c r="AL173" s="25">
        <f>(MAX(tblMeasure[[#This Row],[src_year_last_published]]-2010+1,0)+MIN(2010-tblMeasure[[#This Row],[src_year_first_published]],0)-MAX(tblMeasure[[#This Row],[src_year_last_published]]-2019,0))/10</f>
        <v>1</v>
      </c>
      <c r="AM173" s="25">
        <f>IF(OR(tblMeasure[[#This Row],[src_discontinuity]]="None",tblMeasure[[#This Row],[src_discontinuity]]=0),1,0)</f>
        <v>1</v>
      </c>
      <c r="AN173" s="25">
        <f>VLOOKUP(tblMeasure[[#This Row],[src_pub_frequency]],strlu_src_pub_frequency,2,FALSE)</f>
        <v>0.5</v>
      </c>
      <c r="AO173" s="25">
        <f>VLOOKUP(tblMeasure[[#This Row],[src_pub_lag_months]],strlu_src_pub_lag_months,2,FALSE)</f>
        <v>0.7</v>
      </c>
      <c r="AP173" s="25">
        <f>VLOOKUP(tblMeasure[[#This Row],[src_statistic_class]],strlu_src_statistic_class,2,FALSE)</f>
        <v>1</v>
      </c>
      <c r="AQ173" s="25">
        <f>IF(tblMeasure[[#This Row],[src_methodology_url]]="TBD",0,1)</f>
        <v>1</v>
      </c>
      <c r="AR173" s="25">
        <f>IF(tblMeasure[[#This Row],[src_quality_url]]="TBD",0,1)</f>
        <v>1</v>
      </c>
      <c r="AS173" s="85" cm="1">
        <f t="array" ref="AS173">SUMPRODUCT(TRANSPOSE(tblMeasure[[#This Row],[str_msr_population_or_survey]:[str_src_quality_url]]),str_weights)/str_weights_total</f>
        <v>0.74615384615384606</v>
      </c>
    </row>
    <row r="174" spans="1:45" hidden="1" x14ac:dyDescent="0.15">
      <c r="A174" s="30">
        <v>172</v>
      </c>
      <c r="B174" s="15">
        <f>COUNTIF(requirement_measure_map!$D$3:$D$1514,measure!A174)</f>
        <v>0</v>
      </c>
      <c r="C174" s="30" t="s">
        <v>751</v>
      </c>
      <c r="D174" s="15" t="s">
        <v>752</v>
      </c>
      <c r="E174" s="15" t="s">
        <v>755</v>
      </c>
      <c r="F174" s="15" t="s">
        <v>756</v>
      </c>
      <c r="G174" s="29" t="s">
        <v>739</v>
      </c>
      <c r="H174" s="15"/>
      <c r="I174" s="15" t="s">
        <v>429</v>
      </c>
      <c r="J174" s="15" t="s">
        <v>450</v>
      </c>
      <c r="K174" s="15" t="s">
        <v>745</v>
      </c>
      <c r="L174" s="15" t="s">
        <v>233</v>
      </c>
      <c r="M174" s="15" t="s">
        <v>330</v>
      </c>
      <c r="N174" s="15" t="s">
        <v>219</v>
      </c>
      <c r="O174" s="15" t="s">
        <v>219</v>
      </c>
      <c r="P174" s="15" t="s">
        <v>746</v>
      </c>
      <c r="Q174" s="15" t="s">
        <v>240</v>
      </c>
      <c r="R174" s="15" t="s">
        <v>220</v>
      </c>
      <c r="S174" s="15" t="s">
        <v>220</v>
      </c>
      <c r="T174" s="15" t="s">
        <v>243</v>
      </c>
      <c r="U174" s="15" t="s">
        <v>219</v>
      </c>
      <c r="V174" s="15" t="s">
        <v>330</v>
      </c>
      <c r="W174" s="15">
        <v>8</v>
      </c>
      <c r="X174" s="15" t="str">
        <f>_xlfn.XLOOKUP(tblMeasure[[#This Row],[id_src]],tblSource[id_src],tblSource[org])</f>
        <v>NHS Digital</v>
      </c>
      <c r="Y174" s="15" t="str">
        <f>_xlfn.XLOOKUP(tblMeasure[[#This Row],[id_src]],tblSource[id_src],tblSource[source])</f>
        <v>Personal Social Services (SACE) Survey of Adult Carers in England</v>
      </c>
      <c r="Z174" s="15" t="str">
        <f>_xlfn.XLOOKUP(tblMeasure[[#This Row],[id_src]],tblSource[id_src],tblSource[url_source])</f>
        <v>https://digital.nhs.uk/data-and-information/publications/statistical/personal-social-services-survey-of-adult-carers/england-2018-19</v>
      </c>
      <c r="AA174" s="15">
        <f>_xlfn.XLOOKUP(tblMeasure[[#This Row],[id_src]],tblSource[id_src],tblSource[year_first_published])</f>
        <v>2010</v>
      </c>
      <c r="AB174" s="15">
        <f>_xlfn.XLOOKUP(tblMeasure[[#This Row],[id_src]],tblSource[id_src],tblSource[year_last_published])</f>
        <v>2019</v>
      </c>
      <c r="AC174" s="15">
        <f>_xlfn.XLOOKUP(tblMeasure[[#This Row],[id_src]],tblSource[id_src],tblSource[discontinuity])</f>
        <v>0</v>
      </c>
      <c r="AD174" s="15" t="str">
        <f>_xlfn.XLOOKUP(tblMeasure[[#This Row],[id_src]],tblSource[id_src],tblSource[publication_frequency])</f>
        <v>Biennial</v>
      </c>
      <c r="AE174" s="15">
        <f>_xlfn.XLOOKUP(tblMeasure[[#This Row],[id_src]],tblSource[id_src],tblSource[publication_lag_months])</f>
        <v>3</v>
      </c>
      <c r="AF174" s="25" t="str">
        <f>_xlfn.XLOOKUP(tblMeasure[[#This Row],[id_src]],tblSource[id_src],tblSource[data_providers])</f>
        <v>LA</v>
      </c>
      <c r="AG174" s="25" t="str">
        <f>_xlfn.XLOOKUP(tblMeasure[[#This Row],[id_src]],tblSource[id_src],tblSource[statistic_class])</f>
        <v>Official</v>
      </c>
      <c r="AH174" s="25" t="str">
        <f>_xlfn.XLOOKUP(tblMeasure[[#This Row],[id_src]],tblSource[id_src],tblSource[methodology_link])</f>
        <v>https://files.digital.nhs.uk/2C/7E21D3/PSS_SACE_Methodology_and_Further_Information_2018-19.pdf</v>
      </c>
      <c r="AI174" s="25" t="str">
        <f>_xlfn.XLOOKUP(tblMeasure[[#This Row],[id_src]],tblSource[id_src],tblSource[quality_issues])</f>
        <v>https://files.digital.nhs.uk/C2/BA9328/PSS_SACE_Data_Quality_Statement_2018-19.pdf</v>
      </c>
      <c r="AJ174" s="25">
        <f>VLOOKUP(tblMeasure[[#This Row],[msr_population_or_survey]],strlu_msr_population_or_survey,2,FALSE)</f>
        <v>0</v>
      </c>
      <c r="AK174" s="25">
        <f>VLOOKUP(tblMeasure[[#This Row],[msr_min_geo_resolution]],strlu_msr_min_geo_resolution,2,FALSE)</f>
        <v>0</v>
      </c>
      <c r="AL174" s="25">
        <f>(MAX(tblMeasure[[#This Row],[src_year_last_published]]-2010+1,0)+MIN(2010-tblMeasure[[#This Row],[src_year_first_published]],0)-MAX(tblMeasure[[#This Row],[src_year_last_published]]-2019,0))/10</f>
        <v>1</v>
      </c>
      <c r="AM174" s="25">
        <f>IF(OR(tblMeasure[[#This Row],[src_discontinuity]]="None",tblMeasure[[#This Row],[src_discontinuity]]=0),1,0)</f>
        <v>1</v>
      </c>
      <c r="AN174" s="25">
        <f>VLOOKUP(tblMeasure[[#This Row],[src_pub_frequency]],strlu_src_pub_frequency,2,FALSE)</f>
        <v>0.5</v>
      </c>
      <c r="AO174" s="25">
        <f>VLOOKUP(tblMeasure[[#This Row],[src_pub_lag_months]],strlu_src_pub_lag_months,2,FALSE)</f>
        <v>0.7</v>
      </c>
      <c r="AP174" s="25">
        <f>VLOOKUP(tblMeasure[[#This Row],[src_statistic_class]],strlu_src_statistic_class,2,FALSE)</f>
        <v>1</v>
      </c>
      <c r="AQ174" s="25">
        <f>IF(tblMeasure[[#This Row],[src_methodology_url]]="TBD",0,1)</f>
        <v>1</v>
      </c>
      <c r="AR174" s="25">
        <f>IF(tblMeasure[[#This Row],[src_quality_url]]="TBD",0,1)</f>
        <v>1</v>
      </c>
      <c r="AS174" s="85" cm="1">
        <f t="array" ref="AS174">SUMPRODUCT(TRANSPOSE(tblMeasure[[#This Row],[str_msr_population_or_survey]:[str_src_quality_url]]),str_weights)/str_weights_total</f>
        <v>0.59230769230769231</v>
      </c>
    </row>
    <row r="175" spans="1:45" hidden="1" x14ac:dyDescent="0.15">
      <c r="A175" s="30">
        <v>173</v>
      </c>
      <c r="B175" s="15">
        <f>COUNTIF(requirement_measure_map!$D$3:$D$1514,measure!A175)</f>
        <v>0</v>
      </c>
      <c r="C175" s="30" t="s">
        <v>751</v>
      </c>
      <c r="D175" s="15" t="s">
        <v>752</v>
      </c>
      <c r="E175" s="15" t="s">
        <v>757</v>
      </c>
      <c r="F175" s="15" t="s">
        <v>758</v>
      </c>
      <c r="G175" s="29" t="s">
        <v>739</v>
      </c>
      <c r="H175" s="15"/>
      <c r="I175" s="15" t="s">
        <v>429</v>
      </c>
      <c r="J175" s="15" t="s">
        <v>450</v>
      </c>
      <c r="K175" s="15" t="s">
        <v>740</v>
      </c>
      <c r="L175" s="15" t="s">
        <v>233</v>
      </c>
      <c r="M175" s="15" t="s">
        <v>330</v>
      </c>
      <c r="N175" s="15" t="s">
        <v>219</v>
      </c>
      <c r="O175" s="15" t="s">
        <v>219</v>
      </c>
      <c r="P175" s="15" t="s">
        <v>741</v>
      </c>
      <c r="Q175" s="15" t="s">
        <v>219</v>
      </c>
      <c r="R175" s="15" t="s">
        <v>220</v>
      </c>
      <c r="S175" s="15" t="s">
        <v>220</v>
      </c>
      <c r="T175" s="15" t="s">
        <v>243</v>
      </c>
      <c r="U175" s="15" t="s">
        <v>219</v>
      </c>
      <c r="V175" s="15" t="s">
        <v>330</v>
      </c>
      <c r="W175" s="15">
        <v>8</v>
      </c>
      <c r="X175" s="15" t="str">
        <f>_xlfn.XLOOKUP(tblMeasure[[#This Row],[id_src]],tblSource[id_src],tblSource[org])</f>
        <v>NHS Digital</v>
      </c>
      <c r="Y175" s="15" t="str">
        <f>_xlfn.XLOOKUP(tblMeasure[[#This Row],[id_src]],tblSource[id_src],tblSource[source])</f>
        <v>Personal Social Services (SACE) Survey of Adult Carers in England</v>
      </c>
      <c r="Z175" s="15" t="str">
        <f>_xlfn.XLOOKUP(tblMeasure[[#This Row],[id_src]],tblSource[id_src],tblSource[url_source])</f>
        <v>https://digital.nhs.uk/data-and-information/publications/statistical/personal-social-services-survey-of-adult-carers/england-2018-19</v>
      </c>
      <c r="AA175" s="15">
        <f>_xlfn.XLOOKUP(tblMeasure[[#This Row],[id_src]],tblSource[id_src],tblSource[year_first_published])</f>
        <v>2010</v>
      </c>
      <c r="AB175" s="15">
        <f>_xlfn.XLOOKUP(tblMeasure[[#This Row],[id_src]],tblSource[id_src],tblSource[year_last_published])</f>
        <v>2019</v>
      </c>
      <c r="AC175" s="15">
        <f>_xlfn.XLOOKUP(tblMeasure[[#This Row],[id_src]],tblSource[id_src],tblSource[discontinuity])</f>
        <v>0</v>
      </c>
      <c r="AD175" s="15" t="str">
        <f>_xlfn.XLOOKUP(tblMeasure[[#This Row],[id_src]],tblSource[id_src],tblSource[publication_frequency])</f>
        <v>Biennial</v>
      </c>
      <c r="AE175" s="15">
        <f>_xlfn.XLOOKUP(tblMeasure[[#This Row],[id_src]],tblSource[id_src],tblSource[publication_lag_months])</f>
        <v>3</v>
      </c>
      <c r="AF175" s="25" t="str">
        <f>_xlfn.XLOOKUP(tblMeasure[[#This Row],[id_src]],tblSource[id_src],tblSource[data_providers])</f>
        <v>LA</v>
      </c>
      <c r="AG175" s="25" t="str">
        <f>_xlfn.XLOOKUP(tblMeasure[[#This Row],[id_src]],tblSource[id_src],tblSource[statistic_class])</f>
        <v>Official</v>
      </c>
      <c r="AH175" s="25" t="str">
        <f>_xlfn.XLOOKUP(tblMeasure[[#This Row],[id_src]],tblSource[id_src],tblSource[methodology_link])</f>
        <v>https://files.digital.nhs.uk/2C/7E21D3/PSS_SACE_Methodology_and_Further_Information_2018-19.pdf</v>
      </c>
      <c r="AI175" s="25" t="str">
        <f>_xlfn.XLOOKUP(tblMeasure[[#This Row],[id_src]],tblSource[id_src],tblSource[quality_issues])</f>
        <v>https://files.digital.nhs.uk/C2/BA9328/PSS_SACE_Data_Quality_Statement_2018-19.pdf</v>
      </c>
      <c r="AJ175" s="25">
        <f>VLOOKUP(tblMeasure[[#This Row],[msr_population_or_survey]],strlu_msr_population_or_survey,2,FALSE)</f>
        <v>0</v>
      </c>
      <c r="AK175" s="25">
        <f>VLOOKUP(tblMeasure[[#This Row],[msr_min_geo_resolution]],strlu_msr_min_geo_resolution,2,FALSE)</f>
        <v>0</v>
      </c>
      <c r="AL175" s="25">
        <f>(MAX(tblMeasure[[#This Row],[src_year_last_published]]-2010+1,0)+MIN(2010-tblMeasure[[#This Row],[src_year_first_published]],0)-MAX(tblMeasure[[#This Row],[src_year_last_published]]-2019,0))/10</f>
        <v>1</v>
      </c>
      <c r="AM175" s="25">
        <f>IF(OR(tblMeasure[[#This Row],[src_discontinuity]]="None",tblMeasure[[#This Row],[src_discontinuity]]=0),1,0)</f>
        <v>1</v>
      </c>
      <c r="AN175" s="25">
        <f>VLOOKUP(tblMeasure[[#This Row],[src_pub_frequency]],strlu_src_pub_frequency,2,FALSE)</f>
        <v>0.5</v>
      </c>
      <c r="AO175" s="25">
        <f>VLOOKUP(tblMeasure[[#This Row],[src_pub_lag_months]],strlu_src_pub_lag_months,2,FALSE)</f>
        <v>0.7</v>
      </c>
      <c r="AP175" s="25">
        <f>VLOOKUP(tblMeasure[[#This Row],[src_statistic_class]],strlu_src_statistic_class,2,FALSE)</f>
        <v>1</v>
      </c>
      <c r="AQ175" s="25">
        <f>IF(tblMeasure[[#This Row],[src_methodology_url]]="TBD",0,1)</f>
        <v>1</v>
      </c>
      <c r="AR175" s="25">
        <f>IF(tblMeasure[[#This Row],[src_quality_url]]="TBD",0,1)</f>
        <v>1</v>
      </c>
      <c r="AS175" s="85" cm="1">
        <f t="array" ref="AS175">SUMPRODUCT(TRANSPOSE(tblMeasure[[#This Row],[str_msr_population_or_survey]:[str_src_quality_url]]),str_weights)/str_weights_total</f>
        <v>0.59230769230769231</v>
      </c>
    </row>
    <row r="176" spans="1:45" hidden="1" x14ac:dyDescent="0.15">
      <c r="A176" s="30">
        <v>174</v>
      </c>
      <c r="B176" s="15">
        <f>COUNTIF(requirement_measure_map!$D$3:$D$1514,measure!A176)</f>
        <v>0</v>
      </c>
      <c r="C176" s="30" t="s">
        <v>759</v>
      </c>
      <c r="D176" s="15" t="s">
        <v>74</v>
      </c>
      <c r="E176" s="15" t="s">
        <v>230</v>
      </c>
      <c r="F176" s="15" t="s">
        <v>760</v>
      </c>
      <c r="G176" s="29" t="s">
        <v>739</v>
      </c>
      <c r="H176" s="15"/>
      <c r="I176" s="15" t="s">
        <v>429</v>
      </c>
      <c r="J176" s="15" t="s">
        <v>450</v>
      </c>
      <c r="K176" s="15" t="s">
        <v>761</v>
      </c>
      <c r="L176" s="15" t="s">
        <v>233</v>
      </c>
      <c r="M176" s="15" t="s">
        <v>219</v>
      </c>
      <c r="N176" s="15" t="s">
        <v>219</v>
      </c>
      <c r="O176" s="15" t="s">
        <v>219</v>
      </c>
      <c r="P176" s="15" t="s">
        <v>746</v>
      </c>
      <c r="Q176" s="15" t="s">
        <v>240</v>
      </c>
      <c r="R176" s="15" t="s">
        <v>220</v>
      </c>
      <c r="S176" s="15" t="s">
        <v>220</v>
      </c>
      <c r="T176" s="15" t="s">
        <v>219</v>
      </c>
      <c r="U176" s="15" t="s">
        <v>219</v>
      </c>
      <c r="V176" s="15" t="s">
        <v>219</v>
      </c>
      <c r="W176" s="15">
        <v>8</v>
      </c>
      <c r="X176" s="15" t="str">
        <f>_xlfn.XLOOKUP(tblMeasure[[#This Row],[id_src]],tblSource[id_src],tblSource[org])</f>
        <v>NHS Digital</v>
      </c>
      <c r="Y176" s="15" t="str">
        <f>_xlfn.XLOOKUP(tblMeasure[[#This Row],[id_src]],tblSource[id_src],tblSource[source])</f>
        <v>Personal Social Services (SACE) Survey of Adult Carers in England</v>
      </c>
      <c r="Z176" s="15" t="str">
        <f>_xlfn.XLOOKUP(tblMeasure[[#This Row],[id_src]],tblSource[id_src],tblSource[url_source])</f>
        <v>https://digital.nhs.uk/data-and-information/publications/statistical/personal-social-services-survey-of-adult-carers/england-2018-19</v>
      </c>
      <c r="AA176" s="15">
        <f>_xlfn.XLOOKUP(tblMeasure[[#This Row],[id_src]],tblSource[id_src],tblSource[year_first_published])</f>
        <v>2010</v>
      </c>
      <c r="AB176" s="15">
        <f>_xlfn.XLOOKUP(tblMeasure[[#This Row],[id_src]],tblSource[id_src],tblSource[year_last_published])</f>
        <v>2019</v>
      </c>
      <c r="AC176" s="15">
        <f>_xlfn.XLOOKUP(tblMeasure[[#This Row],[id_src]],tblSource[id_src],tblSource[discontinuity])</f>
        <v>0</v>
      </c>
      <c r="AD176" s="15" t="str">
        <f>_xlfn.XLOOKUP(tblMeasure[[#This Row],[id_src]],tblSource[id_src],tblSource[publication_frequency])</f>
        <v>Biennial</v>
      </c>
      <c r="AE176" s="15">
        <f>_xlfn.XLOOKUP(tblMeasure[[#This Row],[id_src]],tblSource[id_src],tblSource[publication_lag_months])</f>
        <v>3</v>
      </c>
      <c r="AF176" s="25" t="str">
        <f>_xlfn.XLOOKUP(tblMeasure[[#This Row],[id_src]],tblSource[id_src],tblSource[data_providers])</f>
        <v>LA</v>
      </c>
      <c r="AG176" s="25" t="str">
        <f>_xlfn.XLOOKUP(tblMeasure[[#This Row],[id_src]],tblSource[id_src],tblSource[statistic_class])</f>
        <v>Official</v>
      </c>
      <c r="AH176" s="25" t="str">
        <f>_xlfn.XLOOKUP(tblMeasure[[#This Row],[id_src]],tblSource[id_src],tblSource[methodology_link])</f>
        <v>https://files.digital.nhs.uk/2C/7E21D3/PSS_SACE_Methodology_and_Further_Information_2018-19.pdf</v>
      </c>
      <c r="AI176" s="25" t="str">
        <f>_xlfn.XLOOKUP(tblMeasure[[#This Row],[id_src]],tblSource[id_src],tblSource[quality_issues])</f>
        <v>https://files.digital.nhs.uk/C2/BA9328/PSS_SACE_Data_Quality_Statement_2018-19.pdf</v>
      </c>
      <c r="AJ176" s="25">
        <f>VLOOKUP(tblMeasure[[#This Row],[msr_population_or_survey]],strlu_msr_population_or_survey,2,FALSE)</f>
        <v>0</v>
      </c>
      <c r="AK176" s="25">
        <f>VLOOKUP(tblMeasure[[#This Row],[msr_min_geo_resolution]],strlu_msr_min_geo_resolution,2,FALSE)</f>
        <v>0</v>
      </c>
      <c r="AL176" s="25">
        <f>(MAX(tblMeasure[[#This Row],[src_year_last_published]]-2010+1,0)+MIN(2010-tblMeasure[[#This Row],[src_year_first_published]],0)-MAX(tblMeasure[[#This Row],[src_year_last_published]]-2019,0))/10</f>
        <v>1</v>
      </c>
      <c r="AM176" s="25">
        <f>IF(OR(tblMeasure[[#This Row],[src_discontinuity]]="None",tblMeasure[[#This Row],[src_discontinuity]]=0),1,0)</f>
        <v>1</v>
      </c>
      <c r="AN176" s="25">
        <f>VLOOKUP(tblMeasure[[#This Row],[src_pub_frequency]],strlu_src_pub_frequency,2,FALSE)</f>
        <v>0.5</v>
      </c>
      <c r="AO176" s="25">
        <f>VLOOKUP(tblMeasure[[#This Row],[src_pub_lag_months]],strlu_src_pub_lag_months,2,FALSE)</f>
        <v>0.7</v>
      </c>
      <c r="AP176" s="25">
        <f>VLOOKUP(tblMeasure[[#This Row],[src_statistic_class]],strlu_src_statistic_class,2,FALSE)</f>
        <v>1</v>
      </c>
      <c r="AQ176" s="25">
        <f>IF(tblMeasure[[#This Row],[src_methodology_url]]="TBD",0,1)</f>
        <v>1</v>
      </c>
      <c r="AR176" s="25">
        <f>IF(tblMeasure[[#This Row],[src_quality_url]]="TBD",0,1)</f>
        <v>1</v>
      </c>
      <c r="AS176" s="85" cm="1">
        <f t="array" ref="AS176">SUMPRODUCT(TRANSPOSE(tblMeasure[[#This Row],[str_msr_population_or_survey]:[str_src_quality_url]]),str_weights)/str_weights_total</f>
        <v>0.59230769230769231</v>
      </c>
    </row>
    <row r="177" spans="1:45" hidden="1" x14ac:dyDescent="0.15">
      <c r="A177" s="30">
        <v>175</v>
      </c>
      <c r="B177" s="15">
        <f>COUNTIF(requirement_measure_map!$D$3:$D$1514,measure!A177)</f>
        <v>2</v>
      </c>
      <c r="C177" s="30" t="s">
        <v>656</v>
      </c>
      <c r="D177" s="15" t="s">
        <v>762</v>
      </c>
      <c r="E177" s="15" t="s">
        <v>579</v>
      </c>
      <c r="F177" s="15" t="s">
        <v>763</v>
      </c>
      <c r="G177" s="29" t="s">
        <v>764</v>
      </c>
      <c r="H177" s="15"/>
      <c r="I177" s="15" t="s">
        <v>429</v>
      </c>
      <c r="J177" s="15" t="s">
        <v>450</v>
      </c>
      <c r="K177" s="15" t="s">
        <v>765</v>
      </c>
      <c r="L177" s="15" t="s">
        <v>217</v>
      </c>
      <c r="M177" s="15" t="s">
        <v>219</v>
      </c>
      <c r="N177" s="15" t="s">
        <v>219</v>
      </c>
      <c r="O177" s="15" t="s">
        <v>219</v>
      </c>
      <c r="P177" s="15" t="s">
        <v>741</v>
      </c>
      <c r="Q177" s="15" t="s">
        <v>219</v>
      </c>
      <c r="R177" s="15" t="s">
        <v>219</v>
      </c>
      <c r="S177" s="15" t="s">
        <v>219</v>
      </c>
      <c r="T177" s="15" t="s">
        <v>219</v>
      </c>
      <c r="U177" s="15" t="s">
        <v>219</v>
      </c>
      <c r="V177" s="15" t="s">
        <v>219</v>
      </c>
      <c r="W177" s="15">
        <v>8</v>
      </c>
      <c r="X177" s="15" t="str">
        <f>_xlfn.XLOOKUP(tblMeasure[[#This Row],[id_src]],tblSource[id_src],tblSource[org])</f>
        <v>NHS Digital</v>
      </c>
      <c r="Y177" s="25" t="str">
        <f>_xlfn.XLOOKUP(tblMeasure[[#This Row],[id_src]],tblSource[id_src],tblSource[source])</f>
        <v>Personal Social Services (SACE) Survey of Adult Carers in England</v>
      </c>
      <c r="Z177" s="25" t="str">
        <f>_xlfn.XLOOKUP(tblMeasure[[#This Row],[id_src]],tblSource[id_src],tblSource[url_source])</f>
        <v>https://digital.nhs.uk/data-and-information/publications/statistical/personal-social-services-survey-of-adult-carers/england-2018-19</v>
      </c>
      <c r="AA177" s="25">
        <f>_xlfn.XLOOKUP(tblMeasure[[#This Row],[id_src]],tblSource[id_src],tblSource[year_first_published])</f>
        <v>2010</v>
      </c>
      <c r="AB177" s="25">
        <f>_xlfn.XLOOKUP(tblMeasure[[#This Row],[id_src]],tblSource[id_src],tblSource[year_last_published])</f>
        <v>2019</v>
      </c>
      <c r="AC177" s="25">
        <f>_xlfn.XLOOKUP(tblMeasure[[#This Row],[id_src]],tblSource[id_src],tblSource[discontinuity])</f>
        <v>0</v>
      </c>
      <c r="AD177" s="25" t="str">
        <f>_xlfn.XLOOKUP(tblMeasure[[#This Row],[id_src]],tblSource[id_src],tblSource[publication_frequency])</f>
        <v>Biennial</v>
      </c>
      <c r="AE177" s="15">
        <f>_xlfn.XLOOKUP(tblMeasure[[#This Row],[id_src]],tblSource[id_src],tblSource[publication_lag_months])</f>
        <v>3</v>
      </c>
      <c r="AF177" s="25" t="str">
        <f>_xlfn.XLOOKUP(tblMeasure[[#This Row],[id_src]],tblSource[id_src],tblSource[data_providers])</f>
        <v>LA</v>
      </c>
      <c r="AG177" s="25" t="str">
        <f>_xlfn.XLOOKUP(tblMeasure[[#This Row],[id_src]],tblSource[id_src],tblSource[statistic_class])</f>
        <v>Official</v>
      </c>
      <c r="AH177" s="25" t="str">
        <f>_xlfn.XLOOKUP(tblMeasure[[#This Row],[id_src]],tblSource[id_src],tblSource[methodology_link])</f>
        <v>https://files.digital.nhs.uk/2C/7E21D3/PSS_SACE_Methodology_and_Further_Information_2018-19.pdf</v>
      </c>
      <c r="AI177" s="25" t="str">
        <f>_xlfn.XLOOKUP(tblMeasure[[#This Row],[id_src]],tblSource[id_src],tblSource[quality_issues])</f>
        <v>https://files.digital.nhs.uk/C2/BA9328/PSS_SACE_Data_Quality_Statement_2018-19.pdf</v>
      </c>
      <c r="AJ177" s="25">
        <f>VLOOKUP(tblMeasure[[#This Row],[msr_population_or_survey]],strlu_msr_population_or_survey,2,FALSE)</f>
        <v>0</v>
      </c>
      <c r="AK177" s="25">
        <f>VLOOKUP(tblMeasure[[#This Row],[msr_min_geo_resolution]],strlu_msr_min_geo_resolution,2,FALSE)</f>
        <v>1</v>
      </c>
      <c r="AL177" s="25">
        <f>(MAX(tblMeasure[[#This Row],[src_year_last_published]]-2010+1,0)+MIN(2010-tblMeasure[[#This Row],[src_year_first_published]],0)-MAX(tblMeasure[[#This Row],[src_year_last_published]]-2019,0))/10</f>
        <v>1</v>
      </c>
      <c r="AM177" s="25">
        <f>IF(OR(tblMeasure[[#This Row],[src_discontinuity]]="None",tblMeasure[[#This Row],[src_discontinuity]]=0),1,0)</f>
        <v>1</v>
      </c>
      <c r="AN177" s="25">
        <f>VLOOKUP(tblMeasure[[#This Row],[src_pub_frequency]],strlu_src_pub_frequency,2,FALSE)</f>
        <v>0.5</v>
      </c>
      <c r="AO177" s="25">
        <f>VLOOKUP(tblMeasure[[#This Row],[src_pub_lag_months]],strlu_src_pub_lag_months,2,FALSE)</f>
        <v>0.7</v>
      </c>
      <c r="AP177" s="25">
        <f>VLOOKUP(tblMeasure[[#This Row],[src_statistic_class]],strlu_src_statistic_class,2,FALSE)</f>
        <v>1</v>
      </c>
      <c r="AQ177" s="25">
        <f>IF(tblMeasure[[#This Row],[src_methodology_url]]="TBD",0,1)</f>
        <v>1</v>
      </c>
      <c r="AR177" s="25">
        <f>IF(tblMeasure[[#This Row],[src_quality_url]]="TBD",0,1)</f>
        <v>1</v>
      </c>
      <c r="AS177" s="85" cm="1">
        <f t="array" ref="AS177">SUMPRODUCT(TRANSPOSE(tblMeasure[[#This Row],[str_msr_population_or_survey]:[str_src_quality_url]]),str_weights)/str_weights_total</f>
        <v>0.74615384615384606</v>
      </c>
    </row>
    <row r="178" spans="1:45" hidden="1" x14ac:dyDescent="0.15">
      <c r="A178" s="30">
        <v>176</v>
      </c>
      <c r="B178" s="15">
        <f>COUNTIF(requirement_measure_map!$D$3:$D$1514,measure!A178)</f>
        <v>6</v>
      </c>
      <c r="C178" s="30" t="s">
        <v>656</v>
      </c>
      <c r="D178" s="15" t="s">
        <v>766</v>
      </c>
      <c r="E178" s="15" t="s">
        <v>737</v>
      </c>
      <c r="F178" s="15" t="s">
        <v>738</v>
      </c>
      <c r="G178" s="29" t="s">
        <v>767</v>
      </c>
      <c r="H178" s="15"/>
      <c r="I178" s="15" t="s">
        <v>429</v>
      </c>
      <c r="J178" s="15" t="s">
        <v>430</v>
      </c>
      <c r="K178" s="15" t="s">
        <v>768</v>
      </c>
      <c r="L178" s="15" t="s">
        <v>217</v>
      </c>
      <c r="M178" s="15" t="s">
        <v>219</v>
      </c>
      <c r="N178" s="15" t="s">
        <v>219</v>
      </c>
      <c r="O178" s="15" t="s">
        <v>219</v>
      </c>
      <c r="P178" s="15" t="s">
        <v>219</v>
      </c>
      <c r="Q178" s="15" t="s">
        <v>220</v>
      </c>
      <c r="R178" s="15" t="s">
        <v>219</v>
      </c>
      <c r="S178" s="15" t="s">
        <v>220</v>
      </c>
      <c r="T178" s="15" t="s">
        <v>219</v>
      </c>
      <c r="U178" s="15" t="s">
        <v>219</v>
      </c>
      <c r="V178" s="15" t="s">
        <v>219</v>
      </c>
      <c r="W178" s="15">
        <v>9</v>
      </c>
      <c r="X178" s="15" t="str">
        <f>_xlfn.XLOOKUP(tblMeasure[[#This Row],[id_src]],tblSource[id_src],tblSource[org])</f>
        <v>NHS Digital</v>
      </c>
      <c r="Y178" s="15" t="str">
        <f>_xlfn.XLOOKUP(tblMeasure[[#This Row],[id_src]],tblSource[id_src],tblSource[source])</f>
        <v xml:space="preserve">Personal Social Services: (ASCS) Adult Social Care Survey, England </v>
      </c>
      <c r="Z178" s="15" t="str">
        <f>_xlfn.XLOOKUP(tblMeasure[[#This Row],[id_src]],tblSource[id_src],tblSource[url_source])</f>
        <v>https://digital.nhs.uk/data-and-information/publications/statistical/personal-social-services-adult-social-care-survey</v>
      </c>
      <c r="AA178" s="15">
        <f>_xlfn.XLOOKUP(tblMeasure[[#This Row],[id_src]],tblSource[id_src],tblSource[year_first_published])</f>
        <v>2011</v>
      </c>
      <c r="AB178" s="15">
        <f>_xlfn.XLOOKUP(tblMeasure[[#This Row],[id_src]],tblSource[id_src],tblSource[year_last_published])</f>
        <v>2019</v>
      </c>
      <c r="AC178" s="15">
        <f>_xlfn.XLOOKUP(tblMeasure[[#This Row],[id_src]],tblSource[id_src],tblSource[discontinuity])</f>
        <v>0</v>
      </c>
      <c r="AD178" s="15" t="str">
        <f>_xlfn.XLOOKUP(tblMeasure[[#This Row],[id_src]],tblSource[id_src],tblSource[publication_frequency])</f>
        <v>Biennial</v>
      </c>
      <c r="AE178" s="15">
        <f>_xlfn.XLOOKUP(tblMeasure[[#This Row],[id_src]],tblSource[id_src],tblSource[publication_lag_months])</f>
        <v>7</v>
      </c>
      <c r="AF178" s="25" t="str">
        <f>_xlfn.XLOOKUP(tblMeasure[[#This Row],[id_src]],tblSource[id_src],tblSource[data_providers])</f>
        <v>LA</v>
      </c>
      <c r="AG178" s="25" t="str">
        <f>_xlfn.XLOOKUP(tblMeasure[[#This Row],[id_src]],tblSource[id_src],tblSource[statistic_class])</f>
        <v>Official</v>
      </c>
      <c r="AH178" s="25" t="str">
        <f>_xlfn.XLOOKUP(tblMeasure[[#This Row],[id_src]],tblSource[id_src],tblSource[methodology_link])</f>
        <v>https://files.digital.nhs.uk/BD/6D7209/pss-ascs-eng-1819-Methodology_report.pdf</v>
      </c>
      <c r="AI178" s="25" t="str">
        <f>_xlfn.XLOOKUP(tblMeasure[[#This Row],[id_src]],tblSource[id_src],tblSource[quality_issues])</f>
        <v>https://files.digital.nhs.uk/0E/5F058D/pss-ascs-eng-1819_Data_Quality_report.pdf</v>
      </c>
      <c r="AJ178" s="25">
        <f>VLOOKUP(tblMeasure[[#This Row],[msr_population_or_survey]],strlu_msr_population_or_survey,2,FALSE)</f>
        <v>0</v>
      </c>
      <c r="AK178" s="25">
        <f>VLOOKUP(tblMeasure[[#This Row],[msr_min_geo_resolution]],strlu_msr_min_geo_resolution,2,FALSE)</f>
        <v>1</v>
      </c>
      <c r="AL178" s="25">
        <f>(MAX(tblMeasure[[#This Row],[src_year_last_published]]-2010+1,0)+MIN(2010-tblMeasure[[#This Row],[src_year_first_published]],0)-MAX(tblMeasure[[#This Row],[src_year_last_published]]-2019,0))/10</f>
        <v>0.9</v>
      </c>
      <c r="AM178" s="25">
        <f>IF(OR(tblMeasure[[#This Row],[src_discontinuity]]="None",tblMeasure[[#This Row],[src_discontinuity]]=0),1,0)</f>
        <v>1</v>
      </c>
      <c r="AN178" s="25">
        <f>VLOOKUP(tblMeasure[[#This Row],[src_pub_frequency]],strlu_src_pub_frequency,2,FALSE)</f>
        <v>0.5</v>
      </c>
      <c r="AO178" s="25">
        <f>VLOOKUP(tblMeasure[[#This Row],[src_pub_lag_months]],strlu_src_pub_lag_months,2,FALSE)</f>
        <v>0.3</v>
      </c>
      <c r="AP178" s="25">
        <f>VLOOKUP(tblMeasure[[#This Row],[src_statistic_class]],strlu_src_statistic_class,2,FALSE)</f>
        <v>1</v>
      </c>
      <c r="AQ178" s="25">
        <f>IF(tblMeasure[[#This Row],[src_methodology_url]]="TBD",0,1)</f>
        <v>1</v>
      </c>
      <c r="AR178" s="25">
        <f>IF(tblMeasure[[#This Row],[src_quality_url]]="TBD",0,1)</f>
        <v>1</v>
      </c>
      <c r="AS178" s="85" cm="1">
        <f t="array" ref="AS178">SUMPRODUCT(TRANSPOSE(tblMeasure[[#This Row],[str_msr_population_or_survey]:[str_src_quality_url]]),str_weights)/str_weights_total</f>
        <v>0.7</v>
      </c>
    </row>
    <row r="179" spans="1:45" hidden="1" x14ac:dyDescent="0.15">
      <c r="A179" s="30">
        <v>177</v>
      </c>
      <c r="B179" s="15">
        <f>COUNTIF(requirement_measure_map!$D$3:$D$1514,measure!A179)</f>
        <v>0</v>
      </c>
      <c r="C179" s="30" t="s">
        <v>751</v>
      </c>
      <c r="D179" s="15" t="s">
        <v>769</v>
      </c>
      <c r="E179" s="15" t="s">
        <v>753</v>
      </c>
      <c r="F179" s="15" t="s">
        <v>754</v>
      </c>
      <c r="G179" s="29" t="s">
        <v>767</v>
      </c>
      <c r="H179" s="15"/>
      <c r="I179" s="15" t="s">
        <v>429</v>
      </c>
      <c r="J179" s="15" t="s">
        <v>430</v>
      </c>
      <c r="K179" s="15" t="s">
        <v>768</v>
      </c>
      <c r="L179" s="15" t="s">
        <v>217</v>
      </c>
      <c r="M179" s="15" t="s">
        <v>219</v>
      </c>
      <c r="N179" s="15" t="s">
        <v>219</v>
      </c>
      <c r="O179" s="15" t="s">
        <v>219</v>
      </c>
      <c r="P179" s="15" t="s">
        <v>219</v>
      </c>
      <c r="Q179" s="15" t="s">
        <v>220</v>
      </c>
      <c r="R179" s="15" t="s">
        <v>219</v>
      </c>
      <c r="S179" s="15" t="s">
        <v>220</v>
      </c>
      <c r="T179" s="15" t="s">
        <v>219</v>
      </c>
      <c r="U179" s="15" t="s">
        <v>219</v>
      </c>
      <c r="V179" s="15" t="s">
        <v>219</v>
      </c>
      <c r="W179" s="15">
        <v>9</v>
      </c>
      <c r="X179" s="15" t="str">
        <f>_xlfn.XLOOKUP(tblMeasure[[#This Row],[id_src]],tblSource[id_src],tblSource[org])</f>
        <v>NHS Digital</v>
      </c>
      <c r="Y179" s="15" t="str">
        <f>_xlfn.XLOOKUP(tblMeasure[[#This Row],[id_src]],tblSource[id_src],tblSource[source])</f>
        <v xml:space="preserve">Personal Social Services: (ASCS) Adult Social Care Survey, England </v>
      </c>
      <c r="Z179" s="15" t="str">
        <f>_xlfn.XLOOKUP(tblMeasure[[#This Row],[id_src]],tblSource[id_src],tblSource[url_source])</f>
        <v>https://digital.nhs.uk/data-and-information/publications/statistical/personal-social-services-adult-social-care-survey</v>
      </c>
      <c r="AA179" s="15">
        <f>_xlfn.XLOOKUP(tblMeasure[[#This Row],[id_src]],tblSource[id_src],tblSource[year_first_published])</f>
        <v>2011</v>
      </c>
      <c r="AB179" s="15">
        <f>_xlfn.XLOOKUP(tblMeasure[[#This Row],[id_src]],tblSource[id_src],tblSource[year_last_published])</f>
        <v>2019</v>
      </c>
      <c r="AC179" s="15">
        <f>_xlfn.XLOOKUP(tblMeasure[[#This Row],[id_src]],tblSource[id_src],tblSource[discontinuity])</f>
        <v>0</v>
      </c>
      <c r="AD179" s="15" t="str">
        <f>_xlfn.XLOOKUP(tblMeasure[[#This Row],[id_src]],tblSource[id_src],tblSource[publication_frequency])</f>
        <v>Biennial</v>
      </c>
      <c r="AE179" s="15">
        <f>_xlfn.XLOOKUP(tblMeasure[[#This Row],[id_src]],tblSource[id_src],tblSource[publication_lag_months])</f>
        <v>7</v>
      </c>
      <c r="AF179" s="25" t="str">
        <f>_xlfn.XLOOKUP(tblMeasure[[#This Row],[id_src]],tblSource[id_src],tblSource[data_providers])</f>
        <v>LA</v>
      </c>
      <c r="AG179" s="25" t="str">
        <f>_xlfn.XLOOKUP(tblMeasure[[#This Row],[id_src]],tblSource[id_src],tblSource[statistic_class])</f>
        <v>Official</v>
      </c>
      <c r="AH179" s="25" t="str">
        <f>_xlfn.XLOOKUP(tblMeasure[[#This Row],[id_src]],tblSource[id_src],tblSource[methodology_link])</f>
        <v>https://files.digital.nhs.uk/BD/6D7209/pss-ascs-eng-1819-Methodology_report.pdf</v>
      </c>
      <c r="AI179" s="25" t="str">
        <f>_xlfn.XLOOKUP(tblMeasure[[#This Row],[id_src]],tblSource[id_src],tblSource[quality_issues])</f>
        <v>https://files.digital.nhs.uk/0E/5F058D/pss-ascs-eng-1819_Data_Quality_report.pdf</v>
      </c>
      <c r="AJ179" s="25">
        <f>VLOOKUP(tblMeasure[[#This Row],[msr_population_or_survey]],strlu_msr_population_or_survey,2,FALSE)</f>
        <v>0</v>
      </c>
      <c r="AK179" s="25">
        <f>VLOOKUP(tblMeasure[[#This Row],[msr_min_geo_resolution]],strlu_msr_min_geo_resolution,2,FALSE)</f>
        <v>1</v>
      </c>
      <c r="AL179" s="25">
        <f>(MAX(tblMeasure[[#This Row],[src_year_last_published]]-2010+1,0)+MIN(2010-tblMeasure[[#This Row],[src_year_first_published]],0)-MAX(tblMeasure[[#This Row],[src_year_last_published]]-2019,0))/10</f>
        <v>0.9</v>
      </c>
      <c r="AM179" s="25">
        <f>IF(OR(tblMeasure[[#This Row],[src_discontinuity]]="None",tblMeasure[[#This Row],[src_discontinuity]]=0),1,0)</f>
        <v>1</v>
      </c>
      <c r="AN179" s="25">
        <f>VLOOKUP(tblMeasure[[#This Row],[src_pub_frequency]],strlu_src_pub_frequency,2,FALSE)</f>
        <v>0.5</v>
      </c>
      <c r="AO179" s="25">
        <f>VLOOKUP(tblMeasure[[#This Row],[src_pub_lag_months]],strlu_src_pub_lag_months,2,FALSE)</f>
        <v>0.3</v>
      </c>
      <c r="AP179" s="25">
        <f>VLOOKUP(tblMeasure[[#This Row],[src_statistic_class]],strlu_src_statistic_class,2,FALSE)</f>
        <v>1</v>
      </c>
      <c r="AQ179" s="25">
        <f>IF(tblMeasure[[#This Row],[src_methodology_url]]="TBD",0,1)</f>
        <v>1</v>
      </c>
      <c r="AR179" s="25">
        <f>IF(tblMeasure[[#This Row],[src_quality_url]]="TBD",0,1)</f>
        <v>1</v>
      </c>
      <c r="AS179" s="85" cm="1">
        <f t="array" ref="AS179">SUMPRODUCT(TRANSPOSE(tblMeasure[[#This Row],[str_msr_population_or_survey]:[str_src_quality_url]]),str_weights)/str_weights_total</f>
        <v>0.7</v>
      </c>
    </row>
    <row r="180" spans="1:45" hidden="1" x14ac:dyDescent="0.15">
      <c r="A180" s="30">
        <v>178</v>
      </c>
      <c r="B180" s="15">
        <f>COUNTIF(requirement_measure_map!$D$3:$D$1514,measure!A180)</f>
        <v>21</v>
      </c>
      <c r="C180" s="30" t="s">
        <v>656</v>
      </c>
      <c r="D180" s="15" t="s">
        <v>742</v>
      </c>
      <c r="E180" s="15" t="s">
        <v>743</v>
      </c>
      <c r="F180" s="15" t="s">
        <v>744</v>
      </c>
      <c r="G180" s="29" t="s">
        <v>767</v>
      </c>
      <c r="H180" s="15"/>
      <c r="I180" s="15" t="s">
        <v>429</v>
      </c>
      <c r="J180" s="15" t="s">
        <v>430</v>
      </c>
      <c r="K180" s="15" t="s">
        <v>768</v>
      </c>
      <c r="L180" s="15" t="s">
        <v>233</v>
      </c>
      <c r="M180" s="15" t="s">
        <v>330</v>
      </c>
      <c r="N180" s="15" t="s">
        <v>240</v>
      </c>
      <c r="O180" s="15" t="s">
        <v>219</v>
      </c>
      <c r="P180" s="15" t="s">
        <v>746</v>
      </c>
      <c r="Q180" s="15" t="s">
        <v>243</v>
      </c>
      <c r="R180" s="15" t="s">
        <v>219</v>
      </c>
      <c r="S180" s="15" t="s">
        <v>219</v>
      </c>
      <c r="T180" s="15" t="s">
        <v>219</v>
      </c>
      <c r="U180" s="15" t="s">
        <v>267</v>
      </c>
      <c r="V180" s="15" t="s">
        <v>219</v>
      </c>
      <c r="W180" s="15">
        <v>9</v>
      </c>
      <c r="X180" s="15" t="str">
        <f>_xlfn.XLOOKUP(tblMeasure[[#This Row],[id_src]],tblSource[id_src],tblSource[org])</f>
        <v>NHS Digital</v>
      </c>
      <c r="Y180" s="15" t="str">
        <f>_xlfn.XLOOKUP(tblMeasure[[#This Row],[id_src]],tblSource[id_src],tblSource[source])</f>
        <v xml:space="preserve">Personal Social Services: (ASCS) Adult Social Care Survey, England </v>
      </c>
      <c r="Z180" s="15" t="str">
        <f>_xlfn.XLOOKUP(tblMeasure[[#This Row],[id_src]],tblSource[id_src],tblSource[url_source])</f>
        <v>https://digital.nhs.uk/data-and-information/publications/statistical/personal-social-services-adult-social-care-survey</v>
      </c>
      <c r="AA180" s="15">
        <f>_xlfn.XLOOKUP(tblMeasure[[#This Row],[id_src]],tblSource[id_src],tblSource[year_first_published])</f>
        <v>2011</v>
      </c>
      <c r="AB180" s="15">
        <f>_xlfn.XLOOKUP(tblMeasure[[#This Row],[id_src]],tblSource[id_src],tblSource[year_last_published])</f>
        <v>2019</v>
      </c>
      <c r="AC180" s="15">
        <f>_xlfn.XLOOKUP(tblMeasure[[#This Row],[id_src]],tblSource[id_src],tblSource[discontinuity])</f>
        <v>0</v>
      </c>
      <c r="AD180" s="15" t="str">
        <f>_xlfn.XLOOKUP(tblMeasure[[#This Row],[id_src]],tblSource[id_src],tblSource[publication_frequency])</f>
        <v>Biennial</v>
      </c>
      <c r="AE180" s="15">
        <f>_xlfn.XLOOKUP(tblMeasure[[#This Row],[id_src]],tblSource[id_src],tblSource[publication_lag_months])</f>
        <v>7</v>
      </c>
      <c r="AF180" s="25" t="str">
        <f>_xlfn.XLOOKUP(tblMeasure[[#This Row],[id_src]],tblSource[id_src],tblSource[data_providers])</f>
        <v>LA</v>
      </c>
      <c r="AG180" s="25" t="str">
        <f>_xlfn.XLOOKUP(tblMeasure[[#This Row],[id_src]],tblSource[id_src],tblSource[statistic_class])</f>
        <v>Official</v>
      </c>
      <c r="AH180" s="25" t="str">
        <f>_xlfn.XLOOKUP(tblMeasure[[#This Row],[id_src]],tblSource[id_src],tblSource[methodology_link])</f>
        <v>https://files.digital.nhs.uk/BD/6D7209/pss-ascs-eng-1819-Methodology_report.pdf</v>
      </c>
      <c r="AI180" s="25" t="str">
        <f>_xlfn.XLOOKUP(tblMeasure[[#This Row],[id_src]],tblSource[id_src],tblSource[quality_issues])</f>
        <v>https://files.digital.nhs.uk/0E/5F058D/pss-ascs-eng-1819_Data_Quality_report.pdf</v>
      </c>
      <c r="AJ180" s="25">
        <f>VLOOKUP(tblMeasure[[#This Row],[msr_population_or_survey]],strlu_msr_population_or_survey,2,FALSE)</f>
        <v>0</v>
      </c>
      <c r="AK180" s="25">
        <f>VLOOKUP(tblMeasure[[#This Row],[msr_min_geo_resolution]],strlu_msr_min_geo_resolution,2,FALSE)</f>
        <v>0</v>
      </c>
      <c r="AL180" s="25">
        <f>(MAX(tblMeasure[[#This Row],[src_year_last_published]]-2010+1,0)+MIN(2010-tblMeasure[[#This Row],[src_year_first_published]],0)-MAX(tblMeasure[[#This Row],[src_year_last_published]]-2019,0))/10</f>
        <v>0.9</v>
      </c>
      <c r="AM180" s="25">
        <f>IF(OR(tblMeasure[[#This Row],[src_discontinuity]]="None",tblMeasure[[#This Row],[src_discontinuity]]=0),1,0)</f>
        <v>1</v>
      </c>
      <c r="AN180" s="25">
        <f>VLOOKUP(tblMeasure[[#This Row],[src_pub_frequency]],strlu_src_pub_frequency,2,FALSE)</f>
        <v>0.5</v>
      </c>
      <c r="AO180" s="25">
        <f>VLOOKUP(tblMeasure[[#This Row],[src_pub_lag_months]],strlu_src_pub_lag_months,2,FALSE)</f>
        <v>0.3</v>
      </c>
      <c r="AP180" s="25">
        <f>VLOOKUP(tblMeasure[[#This Row],[src_statistic_class]],strlu_src_statistic_class,2,FALSE)</f>
        <v>1</v>
      </c>
      <c r="AQ180" s="25">
        <f>IF(tblMeasure[[#This Row],[src_methodology_url]]="TBD",0,1)</f>
        <v>1</v>
      </c>
      <c r="AR180" s="25">
        <f>IF(tblMeasure[[#This Row],[src_quality_url]]="TBD",0,1)</f>
        <v>1</v>
      </c>
      <c r="AS180" s="85" cm="1">
        <f t="array" ref="AS180">SUMPRODUCT(TRANSPOSE(tblMeasure[[#This Row],[str_msr_population_or_survey]:[str_src_quality_url]]),str_weights)/str_weights_total</f>
        <v>0.5461538461538461</v>
      </c>
    </row>
    <row r="181" spans="1:45" hidden="1" x14ac:dyDescent="0.15">
      <c r="A181" s="30">
        <v>179</v>
      </c>
      <c r="B181" s="15">
        <f>COUNTIF(requirement_measure_map!$D$3:$D$1514,measure!A181)</f>
        <v>0</v>
      </c>
      <c r="C181" s="30" t="s">
        <v>751</v>
      </c>
      <c r="D181" s="15" t="s">
        <v>770</v>
      </c>
      <c r="E181" s="15" t="s">
        <v>755</v>
      </c>
      <c r="F181" s="15" t="s">
        <v>756</v>
      </c>
      <c r="G181" s="29" t="s">
        <v>767</v>
      </c>
      <c r="H181" s="15"/>
      <c r="I181" s="15" t="s">
        <v>429</v>
      </c>
      <c r="J181" s="15" t="s">
        <v>430</v>
      </c>
      <c r="K181" s="15" t="s">
        <v>768</v>
      </c>
      <c r="L181" s="15" t="s">
        <v>233</v>
      </c>
      <c r="M181" s="15" t="s">
        <v>330</v>
      </c>
      <c r="N181" s="15" t="s">
        <v>240</v>
      </c>
      <c r="O181" s="15" t="s">
        <v>219</v>
      </c>
      <c r="P181" s="15" t="s">
        <v>746</v>
      </c>
      <c r="Q181" s="15" t="s">
        <v>243</v>
      </c>
      <c r="R181" s="15" t="s">
        <v>219</v>
      </c>
      <c r="S181" s="15" t="s">
        <v>219</v>
      </c>
      <c r="T181" s="15" t="s">
        <v>219</v>
      </c>
      <c r="U181" s="15" t="s">
        <v>267</v>
      </c>
      <c r="V181" s="15" t="s">
        <v>219</v>
      </c>
      <c r="W181" s="15">
        <v>9</v>
      </c>
      <c r="X181" s="15" t="str">
        <f>_xlfn.XLOOKUP(tblMeasure[[#This Row],[id_src]],tblSource[id_src],tblSource[org])</f>
        <v>NHS Digital</v>
      </c>
      <c r="Y181" s="15" t="str">
        <f>_xlfn.XLOOKUP(tblMeasure[[#This Row],[id_src]],tblSource[id_src],tblSource[source])</f>
        <v xml:space="preserve">Personal Social Services: (ASCS) Adult Social Care Survey, England </v>
      </c>
      <c r="Z181" s="15" t="str">
        <f>_xlfn.XLOOKUP(tblMeasure[[#This Row],[id_src]],tblSource[id_src],tblSource[url_source])</f>
        <v>https://digital.nhs.uk/data-and-information/publications/statistical/personal-social-services-adult-social-care-survey</v>
      </c>
      <c r="AA181" s="15">
        <f>_xlfn.XLOOKUP(tblMeasure[[#This Row],[id_src]],tblSource[id_src],tblSource[year_first_published])</f>
        <v>2011</v>
      </c>
      <c r="AB181" s="15">
        <f>_xlfn.XLOOKUP(tblMeasure[[#This Row],[id_src]],tblSource[id_src],tblSource[year_last_published])</f>
        <v>2019</v>
      </c>
      <c r="AC181" s="15">
        <f>_xlfn.XLOOKUP(tblMeasure[[#This Row],[id_src]],tblSource[id_src],tblSource[discontinuity])</f>
        <v>0</v>
      </c>
      <c r="AD181" s="15" t="str">
        <f>_xlfn.XLOOKUP(tblMeasure[[#This Row],[id_src]],tblSource[id_src],tblSource[publication_frequency])</f>
        <v>Biennial</v>
      </c>
      <c r="AE181" s="15">
        <f>_xlfn.XLOOKUP(tblMeasure[[#This Row],[id_src]],tblSource[id_src],tblSource[publication_lag_months])</f>
        <v>7</v>
      </c>
      <c r="AF181" s="25" t="str">
        <f>_xlfn.XLOOKUP(tblMeasure[[#This Row],[id_src]],tblSource[id_src],tblSource[data_providers])</f>
        <v>LA</v>
      </c>
      <c r="AG181" s="25" t="str">
        <f>_xlfn.XLOOKUP(tblMeasure[[#This Row],[id_src]],tblSource[id_src],tblSource[statistic_class])</f>
        <v>Official</v>
      </c>
      <c r="AH181" s="25" t="str">
        <f>_xlfn.XLOOKUP(tblMeasure[[#This Row],[id_src]],tblSource[id_src],tblSource[methodology_link])</f>
        <v>https://files.digital.nhs.uk/BD/6D7209/pss-ascs-eng-1819-Methodology_report.pdf</v>
      </c>
      <c r="AI181" s="25" t="str">
        <f>_xlfn.XLOOKUP(tblMeasure[[#This Row],[id_src]],tblSource[id_src],tblSource[quality_issues])</f>
        <v>https://files.digital.nhs.uk/0E/5F058D/pss-ascs-eng-1819_Data_Quality_report.pdf</v>
      </c>
      <c r="AJ181" s="25">
        <f>VLOOKUP(tblMeasure[[#This Row],[msr_population_or_survey]],strlu_msr_population_or_survey,2,FALSE)</f>
        <v>0</v>
      </c>
      <c r="AK181" s="25">
        <f>VLOOKUP(tblMeasure[[#This Row],[msr_min_geo_resolution]],strlu_msr_min_geo_resolution,2,FALSE)</f>
        <v>0</v>
      </c>
      <c r="AL181" s="25">
        <f>(MAX(tblMeasure[[#This Row],[src_year_last_published]]-2010+1,0)+MIN(2010-tblMeasure[[#This Row],[src_year_first_published]],0)-MAX(tblMeasure[[#This Row],[src_year_last_published]]-2019,0))/10</f>
        <v>0.9</v>
      </c>
      <c r="AM181" s="25">
        <f>IF(OR(tblMeasure[[#This Row],[src_discontinuity]]="None",tblMeasure[[#This Row],[src_discontinuity]]=0),1,0)</f>
        <v>1</v>
      </c>
      <c r="AN181" s="25">
        <f>VLOOKUP(tblMeasure[[#This Row],[src_pub_frequency]],strlu_src_pub_frequency,2,FALSE)</f>
        <v>0.5</v>
      </c>
      <c r="AO181" s="25">
        <f>VLOOKUP(tblMeasure[[#This Row],[src_pub_lag_months]],strlu_src_pub_lag_months,2,FALSE)</f>
        <v>0.3</v>
      </c>
      <c r="AP181" s="25">
        <f>VLOOKUP(tblMeasure[[#This Row],[src_statistic_class]],strlu_src_statistic_class,2,FALSE)</f>
        <v>1</v>
      </c>
      <c r="AQ181" s="25">
        <f>IF(tblMeasure[[#This Row],[src_methodology_url]]="TBD",0,1)</f>
        <v>1</v>
      </c>
      <c r="AR181" s="25">
        <f>IF(tblMeasure[[#This Row],[src_quality_url]]="TBD",0,1)</f>
        <v>1</v>
      </c>
      <c r="AS181" s="85" cm="1">
        <f t="array" ref="AS181">SUMPRODUCT(TRANSPOSE(tblMeasure[[#This Row],[str_msr_population_or_survey]:[str_src_quality_url]]),str_weights)/str_weights_total</f>
        <v>0.5461538461538461</v>
      </c>
    </row>
    <row r="182" spans="1:45" hidden="1" x14ac:dyDescent="0.15">
      <c r="A182" s="30">
        <v>180</v>
      </c>
      <c r="B182" s="15">
        <f>COUNTIF(requirement_measure_map!$D$3:$D$1514,measure!A182)</f>
        <v>0</v>
      </c>
      <c r="C182" s="30" t="s">
        <v>747</v>
      </c>
      <c r="D182" s="15" t="s">
        <v>748</v>
      </c>
      <c r="E182" s="15" t="s">
        <v>749</v>
      </c>
      <c r="F182" s="15" t="s">
        <v>750</v>
      </c>
      <c r="G182" s="29" t="s">
        <v>767</v>
      </c>
      <c r="H182" s="15"/>
      <c r="I182" s="15" t="s">
        <v>429</v>
      </c>
      <c r="J182" s="15" t="s">
        <v>430</v>
      </c>
      <c r="K182" s="15" t="s">
        <v>768</v>
      </c>
      <c r="L182" s="15" t="s">
        <v>233</v>
      </c>
      <c r="M182" s="15" t="s">
        <v>219</v>
      </c>
      <c r="N182" s="15" t="s">
        <v>219</v>
      </c>
      <c r="O182" s="15" t="s">
        <v>219</v>
      </c>
      <c r="P182" s="15" t="s">
        <v>219</v>
      </c>
      <c r="Q182" s="15" t="s">
        <v>220</v>
      </c>
      <c r="R182" s="15" t="s">
        <v>219</v>
      </c>
      <c r="S182" s="15" t="s">
        <v>220</v>
      </c>
      <c r="T182" s="15" t="s">
        <v>219</v>
      </c>
      <c r="U182" s="15" t="s">
        <v>219</v>
      </c>
      <c r="V182" s="15" t="s">
        <v>219</v>
      </c>
      <c r="W182" s="15">
        <v>9</v>
      </c>
      <c r="X182" s="15" t="str">
        <f>_xlfn.XLOOKUP(tblMeasure[[#This Row],[id_src]],tblSource[id_src],tblSource[org])</f>
        <v>NHS Digital</v>
      </c>
      <c r="Y182" s="15" t="str">
        <f>_xlfn.XLOOKUP(tblMeasure[[#This Row],[id_src]],tblSource[id_src],tblSource[source])</f>
        <v xml:space="preserve">Personal Social Services: (ASCS) Adult Social Care Survey, England </v>
      </c>
      <c r="Z182" s="15" t="str">
        <f>_xlfn.XLOOKUP(tblMeasure[[#This Row],[id_src]],tblSource[id_src],tblSource[url_source])</f>
        <v>https://digital.nhs.uk/data-and-information/publications/statistical/personal-social-services-adult-social-care-survey</v>
      </c>
      <c r="AA182" s="15">
        <f>_xlfn.XLOOKUP(tblMeasure[[#This Row],[id_src]],tblSource[id_src],tblSource[year_first_published])</f>
        <v>2011</v>
      </c>
      <c r="AB182" s="15">
        <f>_xlfn.XLOOKUP(tblMeasure[[#This Row],[id_src]],tblSource[id_src],tblSource[year_last_published])</f>
        <v>2019</v>
      </c>
      <c r="AC182" s="15">
        <f>_xlfn.XLOOKUP(tblMeasure[[#This Row],[id_src]],tblSource[id_src],tblSource[discontinuity])</f>
        <v>0</v>
      </c>
      <c r="AD182" s="15" t="str">
        <f>_xlfn.XLOOKUP(tblMeasure[[#This Row],[id_src]],tblSource[id_src],tblSource[publication_frequency])</f>
        <v>Biennial</v>
      </c>
      <c r="AE182" s="15">
        <f>_xlfn.XLOOKUP(tblMeasure[[#This Row],[id_src]],tblSource[id_src],tblSource[publication_lag_months])</f>
        <v>7</v>
      </c>
      <c r="AF182" s="25" t="str">
        <f>_xlfn.XLOOKUP(tblMeasure[[#This Row],[id_src]],tblSource[id_src],tblSource[data_providers])</f>
        <v>LA</v>
      </c>
      <c r="AG182" s="25" t="str">
        <f>_xlfn.XLOOKUP(tblMeasure[[#This Row],[id_src]],tblSource[id_src],tblSource[statistic_class])</f>
        <v>Official</v>
      </c>
      <c r="AH182" s="25" t="str">
        <f>_xlfn.XLOOKUP(tblMeasure[[#This Row],[id_src]],tblSource[id_src],tblSource[methodology_link])</f>
        <v>https://files.digital.nhs.uk/BD/6D7209/pss-ascs-eng-1819-Methodology_report.pdf</v>
      </c>
      <c r="AI182" s="25" t="str">
        <f>_xlfn.XLOOKUP(tblMeasure[[#This Row],[id_src]],tblSource[id_src],tblSource[quality_issues])</f>
        <v>https://files.digital.nhs.uk/0E/5F058D/pss-ascs-eng-1819_Data_Quality_report.pdf</v>
      </c>
      <c r="AJ182" s="25">
        <f>VLOOKUP(tblMeasure[[#This Row],[msr_population_or_survey]],strlu_msr_population_or_survey,2,FALSE)</f>
        <v>0</v>
      </c>
      <c r="AK182" s="25">
        <f>VLOOKUP(tblMeasure[[#This Row],[msr_min_geo_resolution]],strlu_msr_min_geo_resolution,2,FALSE)</f>
        <v>0</v>
      </c>
      <c r="AL182" s="25">
        <f>(MAX(tblMeasure[[#This Row],[src_year_last_published]]-2010+1,0)+MIN(2010-tblMeasure[[#This Row],[src_year_first_published]],0)-MAX(tblMeasure[[#This Row],[src_year_last_published]]-2019,0))/10</f>
        <v>0.9</v>
      </c>
      <c r="AM182" s="25">
        <f>IF(OR(tblMeasure[[#This Row],[src_discontinuity]]="None",tblMeasure[[#This Row],[src_discontinuity]]=0),1,0)</f>
        <v>1</v>
      </c>
      <c r="AN182" s="25">
        <f>VLOOKUP(tblMeasure[[#This Row],[src_pub_frequency]],strlu_src_pub_frequency,2,FALSE)</f>
        <v>0.5</v>
      </c>
      <c r="AO182" s="25">
        <f>VLOOKUP(tblMeasure[[#This Row],[src_pub_lag_months]],strlu_src_pub_lag_months,2,FALSE)</f>
        <v>0.3</v>
      </c>
      <c r="AP182" s="25">
        <f>VLOOKUP(tblMeasure[[#This Row],[src_statistic_class]],strlu_src_statistic_class,2,FALSE)</f>
        <v>1</v>
      </c>
      <c r="AQ182" s="25">
        <f>IF(tblMeasure[[#This Row],[src_methodology_url]]="TBD",0,1)</f>
        <v>1</v>
      </c>
      <c r="AR182" s="25">
        <f>IF(tblMeasure[[#This Row],[src_quality_url]]="TBD",0,1)</f>
        <v>1</v>
      </c>
      <c r="AS182" s="85" cm="1">
        <f t="array" ref="AS182">SUMPRODUCT(TRANSPOSE(tblMeasure[[#This Row],[str_msr_population_or_survey]:[str_src_quality_url]]),str_weights)/str_weights_total</f>
        <v>0.5461538461538461</v>
      </c>
    </row>
    <row r="183" spans="1:45" hidden="1" x14ac:dyDescent="0.15">
      <c r="A183" s="30">
        <v>181</v>
      </c>
      <c r="B183" s="15">
        <f>COUNTIF(requirement_measure_map!$D$3:$D$1514,measure!A183)</f>
        <v>0</v>
      </c>
      <c r="C183" s="30" t="s">
        <v>751</v>
      </c>
      <c r="D183" s="15" t="s">
        <v>770</v>
      </c>
      <c r="E183" s="15" t="s">
        <v>757</v>
      </c>
      <c r="F183" s="15" t="s">
        <v>758</v>
      </c>
      <c r="G183" s="29" t="s">
        <v>767</v>
      </c>
      <c r="H183" s="15"/>
      <c r="I183" s="15" t="s">
        <v>429</v>
      </c>
      <c r="J183" s="15" t="s">
        <v>430</v>
      </c>
      <c r="K183" s="15" t="s">
        <v>768</v>
      </c>
      <c r="L183" s="15" t="s">
        <v>233</v>
      </c>
      <c r="M183" s="15" t="s">
        <v>219</v>
      </c>
      <c r="N183" s="15" t="s">
        <v>219</v>
      </c>
      <c r="O183" s="15" t="s">
        <v>219</v>
      </c>
      <c r="P183" s="15" t="s">
        <v>219</v>
      </c>
      <c r="Q183" s="15" t="s">
        <v>220</v>
      </c>
      <c r="R183" s="15" t="s">
        <v>219</v>
      </c>
      <c r="S183" s="15" t="s">
        <v>220</v>
      </c>
      <c r="T183" s="15" t="s">
        <v>219</v>
      </c>
      <c r="U183" s="15" t="s">
        <v>219</v>
      </c>
      <c r="V183" s="15" t="s">
        <v>219</v>
      </c>
      <c r="W183" s="15">
        <v>9</v>
      </c>
      <c r="X183" s="15" t="str">
        <f>_xlfn.XLOOKUP(tblMeasure[[#This Row],[id_src]],tblSource[id_src],tblSource[org])</f>
        <v>NHS Digital</v>
      </c>
      <c r="Y183" s="15" t="str">
        <f>_xlfn.XLOOKUP(tblMeasure[[#This Row],[id_src]],tblSource[id_src],tblSource[source])</f>
        <v xml:space="preserve">Personal Social Services: (ASCS) Adult Social Care Survey, England </v>
      </c>
      <c r="Z183" s="15" t="str">
        <f>_xlfn.XLOOKUP(tblMeasure[[#This Row],[id_src]],tblSource[id_src],tblSource[url_source])</f>
        <v>https://digital.nhs.uk/data-and-information/publications/statistical/personal-social-services-adult-social-care-survey</v>
      </c>
      <c r="AA183" s="15">
        <f>_xlfn.XLOOKUP(tblMeasure[[#This Row],[id_src]],tblSource[id_src],tblSource[year_first_published])</f>
        <v>2011</v>
      </c>
      <c r="AB183" s="15">
        <f>_xlfn.XLOOKUP(tblMeasure[[#This Row],[id_src]],tblSource[id_src],tblSource[year_last_published])</f>
        <v>2019</v>
      </c>
      <c r="AC183" s="15">
        <f>_xlfn.XLOOKUP(tblMeasure[[#This Row],[id_src]],tblSource[id_src],tblSource[discontinuity])</f>
        <v>0</v>
      </c>
      <c r="AD183" s="15" t="str">
        <f>_xlfn.XLOOKUP(tblMeasure[[#This Row],[id_src]],tblSource[id_src],tblSource[publication_frequency])</f>
        <v>Biennial</v>
      </c>
      <c r="AE183" s="15">
        <f>_xlfn.XLOOKUP(tblMeasure[[#This Row],[id_src]],tblSource[id_src],tblSource[publication_lag_months])</f>
        <v>7</v>
      </c>
      <c r="AF183" s="25" t="str">
        <f>_xlfn.XLOOKUP(tblMeasure[[#This Row],[id_src]],tblSource[id_src],tblSource[data_providers])</f>
        <v>LA</v>
      </c>
      <c r="AG183" s="25" t="str">
        <f>_xlfn.XLOOKUP(tblMeasure[[#This Row],[id_src]],tblSource[id_src],tblSource[statistic_class])</f>
        <v>Official</v>
      </c>
      <c r="AH183" s="25" t="str">
        <f>_xlfn.XLOOKUP(tblMeasure[[#This Row],[id_src]],tblSource[id_src],tblSource[methodology_link])</f>
        <v>https://files.digital.nhs.uk/BD/6D7209/pss-ascs-eng-1819-Methodology_report.pdf</v>
      </c>
      <c r="AI183" s="25" t="str">
        <f>_xlfn.XLOOKUP(tblMeasure[[#This Row],[id_src]],tblSource[id_src],tblSource[quality_issues])</f>
        <v>https://files.digital.nhs.uk/0E/5F058D/pss-ascs-eng-1819_Data_Quality_report.pdf</v>
      </c>
      <c r="AJ183" s="25">
        <f>VLOOKUP(tblMeasure[[#This Row],[msr_population_or_survey]],strlu_msr_population_or_survey,2,FALSE)</f>
        <v>0</v>
      </c>
      <c r="AK183" s="25">
        <f>VLOOKUP(tblMeasure[[#This Row],[msr_min_geo_resolution]],strlu_msr_min_geo_resolution,2,FALSE)</f>
        <v>0</v>
      </c>
      <c r="AL183" s="25">
        <f>(MAX(tblMeasure[[#This Row],[src_year_last_published]]-2010+1,0)+MIN(2010-tblMeasure[[#This Row],[src_year_first_published]],0)-MAX(tblMeasure[[#This Row],[src_year_last_published]]-2019,0))/10</f>
        <v>0.9</v>
      </c>
      <c r="AM183" s="25">
        <f>IF(OR(tblMeasure[[#This Row],[src_discontinuity]]="None",tblMeasure[[#This Row],[src_discontinuity]]=0),1,0)</f>
        <v>1</v>
      </c>
      <c r="AN183" s="25">
        <f>VLOOKUP(tblMeasure[[#This Row],[src_pub_frequency]],strlu_src_pub_frequency,2,FALSE)</f>
        <v>0.5</v>
      </c>
      <c r="AO183" s="25">
        <f>VLOOKUP(tblMeasure[[#This Row],[src_pub_lag_months]],strlu_src_pub_lag_months,2,FALSE)</f>
        <v>0.3</v>
      </c>
      <c r="AP183" s="25">
        <f>VLOOKUP(tblMeasure[[#This Row],[src_statistic_class]],strlu_src_statistic_class,2,FALSE)</f>
        <v>1</v>
      </c>
      <c r="AQ183" s="25">
        <f>IF(tblMeasure[[#This Row],[src_methodology_url]]="TBD",0,1)</f>
        <v>1</v>
      </c>
      <c r="AR183" s="25">
        <f>IF(tblMeasure[[#This Row],[src_quality_url]]="TBD",0,1)</f>
        <v>1</v>
      </c>
      <c r="AS183" s="85" cm="1">
        <f t="array" ref="AS183">SUMPRODUCT(TRANSPOSE(tblMeasure[[#This Row],[str_msr_population_or_survey]:[str_src_quality_url]]),str_weights)/str_weights_total</f>
        <v>0.5461538461538461</v>
      </c>
    </row>
    <row r="184" spans="1:45" hidden="1" x14ac:dyDescent="0.15">
      <c r="A184" s="30">
        <v>182</v>
      </c>
      <c r="B184" s="15">
        <f>COUNTIF(requirement_measure_map!$D$3:$D$1514,measure!A184)</f>
        <v>0</v>
      </c>
      <c r="C184" s="30" t="s">
        <v>759</v>
      </c>
      <c r="D184" s="15" t="s">
        <v>771</v>
      </c>
      <c r="E184" s="15" t="s">
        <v>230</v>
      </c>
      <c r="F184" s="15" t="s">
        <v>772</v>
      </c>
      <c r="G184" s="29" t="s">
        <v>767</v>
      </c>
      <c r="H184" s="15"/>
      <c r="I184" s="15" t="s">
        <v>429</v>
      </c>
      <c r="J184" s="15" t="s">
        <v>430</v>
      </c>
      <c r="K184" s="15" t="s">
        <v>773</v>
      </c>
      <c r="L184" s="15" t="s">
        <v>217</v>
      </c>
      <c r="M184" s="15" t="s">
        <v>219</v>
      </c>
      <c r="N184" s="15" t="s">
        <v>219</v>
      </c>
      <c r="O184" s="15" t="s">
        <v>219</v>
      </c>
      <c r="P184" s="15" t="s">
        <v>219</v>
      </c>
      <c r="Q184" s="15" t="s">
        <v>220</v>
      </c>
      <c r="R184" s="15" t="s">
        <v>219</v>
      </c>
      <c r="S184" s="15" t="s">
        <v>220</v>
      </c>
      <c r="T184" s="15" t="s">
        <v>219</v>
      </c>
      <c r="U184" s="15" t="s">
        <v>219</v>
      </c>
      <c r="V184" s="15" t="s">
        <v>219</v>
      </c>
      <c r="W184" s="15">
        <v>9</v>
      </c>
      <c r="X184" s="15" t="str">
        <f>_xlfn.XLOOKUP(tblMeasure[[#This Row],[id_src]],tblSource[id_src],tblSource[org])</f>
        <v>NHS Digital</v>
      </c>
      <c r="Y184" s="15" t="str">
        <f>_xlfn.XLOOKUP(tblMeasure[[#This Row],[id_src]],tblSource[id_src],tblSource[source])</f>
        <v xml:space="preserve">Personal Social Services: (ASCS) Adult Social Care Survey, England </v>
      </c>
      <c r="Z184" s="15" t="str">
        <f>_xlfn.XLOOKUP(tblMeasure[[#This Row],[id_src]],tblSource[id_src],tblSource[url_source])</f>
        <v>https://digital.nhs.uk/data-and-information/publications/statistical/personal-social-services-adult-social-care-survey</v>
      </c>
      <c r="AA184" s="15">
        <f>_xlfn.XLOOKUP(tblMeasure[[#This Row],[id_src]],tblSource[id_src],tblSource[year_first_published])</f>
        <v>2011</v>
      </c>
      <c r="AB184" s="15">
        <f>_xlfn.XLOOKUP(tblMeasure[[#This Row],[id_src]],tblSource[id_src],tblSource[year_last_published])</f>
        <v>2019</v>
      </c>
      <c r="AC184" s="15">
        <f>_xlfn.XLOOKUP(tblMeasure[[#This Row],[id_src]],tblSource[id_src],tblSource[discontinuity])</f>
        <v>0</v>
      </c>
      <c r="AD184" s="15" t="str">
        <f>_xlfn.XLOOKUP(tblMeasure[[#This Row],[id_src]],tblSource[id_src],tblSource[publication_frequency])</f>
        <v>Biennial</v>
      </c>
      <c r="AE184" s="15">
        <f>_xlfn.XLOOKUP(tblMeasure[[#This Row],[id_src]],tblSource[id_src],tblSource[publication_lag_months])</f>
        <v>7</v>
      </c>
      <c r="AF184" s="25" t="str">
        <f>_xlfn.XLOOKUP(tblMeasure[[#This Row],[id_src]],tblSource[id_src],tblSource[data_providers])</f>
        <v>LA</v>
      </c>
      <c r="AG184" s="25" t="str">
        <f>_xlfn.XLOOKUP(tblMeasure[[#This Row],[id_src]],tblSource[id_src],tblSource[statistic_class])</f>
        <v>Official</v>
      </c>
      <c r="AH184" s="25" t="str">
        <f>_xlfn.XLOOKUP(tblMeasure[[#This Row],[id_src]],tblSource[id_src],tblSource[methodology_link])</f>
        <v>https://files.digital.nhs.uk/BD/6D7209/pss-ascs-eng-1819-Methodology_report.pdf</v>
      </c>
      <c r="AI184" s="25" t="str">
        <f>_xlfn.XLOOKUP(tblMeasure[[#This Row],[id_src]],tblSource[id_src],tblSource[quality_issues])</f>
        <v>https://files.digital.nhs.uk/0E/5F058D/pss-ascs-eng-1819_Data_Quality_report.pdf</v>
      </c>
      <c r="AJ184" s="25">
        <f>VLOOKUP(tblMeasure[[#This Row],[msr_population_or_survey]],strlu_msr_population_or_survey,2,FALSE)</f>
        <v>0</v>
      </c>
      <c r="AK184" s="25">
        <f>VLOOKUP(tblMeasure[[#This Row],[msr_min_geo_resolution]],strlu_msr_min_geo_resolution,2,FALSE)</f>
        <v>1</v>
      </c>
      <c r="AL184" s="25">
        <f>(MAX(tblMeasure[[#This Row],[src_year_last_published]]-2010+1,0)+MIN(2010-tblMeasure[[#This Row],[src_year_first_published]],0)-MAX(tblMeasure[[#This Row],[src_year_last_published]]-2019,0))/10</f>
        <v>0.9</v>
      </c>
      <c r="AM184" s="25">
        <f>IF(OR(tblMeasure[[#This Row],[src_discontinuity]]="None",tblMeasure[[#This Row],[src_discontinuity]]=0),1,0)</f>
        <v>1</v>
      </c>
      <c r="AN184" s="25">
        <f>VLOOKUP(tblMeasure[[#This Row],[src_pub_frequency]],strlu_src_pub_frequency,2,FALSE)</f>
        <v>0.5</v>
      </c>
      <c r="AO184" s="25">
        <f>VLOOKUP(tblMeasure[[#This Row],[src_pub_lag_months]],strlu_src_pub_lag_months,2,FALSE)</f>
        <v>0.3</v>
      </c>
      <c r="AP184" s="25">
        <f>VLOOKUP(tblMeasure[[#This Row],[src_statistic_class]],strlu_src_statistic_class,2,FALSE)</f>
        <v>1</v>
      </c>
      <c r="AQ184" s="25">
        <f>IF(tblMeasure[[#This Row],[src_methodology_url]]="TBD",0,1)</f>
        <v>1</v>
      </c>
      <c r="AR184" s="25">
        <f>IF(tblMeasure[[#This Row],[src_quality_url]]="TBD",0,1)</f>
        <v>1</v>
      </c>
      <c r="AS184" s="85" cm="1">
        <f t="array" ref="AS184">SUMPRODUCT(TRANSPOSE(tblMeasure[[#This Row],[str_msr_population_or_survey]:[str_src_quality_url]]),str_weights)/str_weights_total</f>
        <v>0.7</v>
      </c>
    </row>
    <row r="185" spans="1:45" hidden="1" x14ac:dyDescent="0.15">
      <c r="A185" s="30">
        <v>183</v>
      </c>
      <c r="B185" s="15">
        <f>COUNTIF(requirement_measure_map!$D$3:$D$1514,measure!A185)</f>
        <v>0</v>
      </c>
      <c r="C185" s="30" t="s">
        <v>759</v>
      </c>
      <c r="D185" s="15" t="s">
        <v>774</v>
      </c>
      <c r="E185" s="15" t="s">
        <v>234</v>
      </c>
      <c r="F185" s="15" t="s">
        <v>775</v>
      </c>
      <c r="G185" s="29" t="s">
        <v>767</v>
      </c>
      <c r="H185" s="15"/>
      <c r="I185" s="15" t="s">
        <v>429</v>
      </c>
      <c r="J185" s="15" t="s">
        <v>430</v>
      </c>
      <c r="K185" s="15" t="s">
        <v>776</v>
      </c>
      <c r="L185" s="15" t="s">
        <v>217</v>
      </c>
      <c r="M185" s="15" t="s">
        <v>219</v>
      </c>
      <c r="N185" s="15" t="s">
        <v>219</v>
      </c>
      <c r="O185" s="15" t="s">
        <v>219</v>
      </c>
      <c r="P185" s="15" t="s">
        <v>219</v>
      </c>
      <c r="Q185" s="15" t="s">
        <v>220</v>
      </c>
      <c r="R185" s="15" t="s">
        <v>219</v>
      </c>
      <c r="S185" s="15" t="s">
        <v>220</v>
      </c>
      <c r="T185" s="15" t="s">
        <v>219</v>
      </c>
      <c r="U185" s="15" t="s">
        <v>219</v>
      </c>
      <c r="V185" s="15" t="s">
        <v>219</v>
      </c>
      <c r="W185" s="15">
        <v>9</v>
      </c>
      <c r="X185" s="15" t="str">
        <f>_xlfn.XLOOKUP(tblMeasure[[#This Row],[id_src]],tblSource[id_src],tblSource[org])</f>
        <v>NHS Digital</v>
      </c>
      <c r="Y185" s="15" t="str">
        <f>_xlfn.XLOOKUP(tblMeasure[[#This Row],[id_src]],tblSource[id_src],tblSource[source])</f>
        <v xml:space="preserve">Personal Social Services: (ASCS) Adult Social Care Survey, England </v>
      </c>
      <c r="Z185" s="15" t="str">
        <f>_xlfn.XLOOKUP(tblMeasure[[#This Row],[id_src]],tblSource[id_src],tblSource[url_source])</f>
        <v>https://digital.nhs.uk/data-and-information/publications/statistical/personal-social-services-adult-social-care-survey</v>
      </c>
      <c r="AA185" s="15">
        <f>_xlfn.XLOOKUP(tblMeasure[[#This Row],[id_src]],tblSource[id_src],tblSource[year_first_published])</f>
        <v>2011</v>
      </c>
      <c r="AB185" s="15">
        <f>_xlfn.XLOOKUP(tblMeasure[[#This Row],[id_src]],tblSource[id_src],tblSource[year_last_published])</f>
        <v>2019</v>
      </c>
      <c r="AC185" s="15">
        <f>_xlfn.XLOOKUP(tblMeasure[[#This Row],[id_src]],tblSource[id_src],tblSource[discontinuity])</f>
        <v>0</v>
      </c>
      <c r="AD185" s="15" t="str">
        <f>_xlfn.XLOOKUP(tblMeasure[[#This Row],[id_src]],tblSource[id_src],tblSource[publication_frequency])</f>
        <v>Biennial</v>
      </c>
      <c r="AE185" s="15">
        <f>_xlfn.XLOOKUP(tblMeasure[[#This Row],[id_src]],tblSource[id_src],tblSource[publication_lag_months])</f>
        <v>7</v>
      </c>
      <c r="AF185" s="25" t="str">
        <f>_xlfn.XLOOKUP(tblMeasure[[#This Row],[id_src]],tblSource[id_src],tblSource[data_providers])</f>
        <v>LA</v>
      </c>
      <c r="AG185" s="25" t="str">
        <f>_xlfn.XLOOKUP(tblMeasure[[#This Row],[id_src]],tblSource[id_src],tblSource[statistic_class])</f>
        <v>Official</v>
      </c>
      <c r="AH185" s="25" t="str">
        <f>_xlfn.XLOOKUP(tblMeasure[[#This Row],[id_src]],tblSource[id_src],tblSource[methodology_link])</f>
        <v>https://files.digital.nhs.uk/BD/6D7209/pss-ascs-eng-1819-Methodology_report.pdf</v>
      </c>
      <c r="AI185" s="25" t="str">
        <f>_xlfn.XLOOKUP(tblMeasure[[#This Row],[id_src]],tblSource[id_src],tblSource[quality_issues])</f>
        <v>https://files.digital.nhs.uk/0E/5F058D/pss-ascs-eng-1819_Data_Quality_report.pdf</v>
      </c>
      <c r="AJ185" s="25">
        <f>VLOOKUP(tblMeasure[[#This Row],[msr_population_or_survey]],strlu_msr_population_or_survey,2,FALSE)</f>
        <v>0</v>
      </c>
      <c r="AK185" s="25">
        <f>VLOOKUP(tblMeasure[[#This Row],[msr_min_geo_resolution]],strlu_msr_min_geo_resolution,2,FALSE)</f>
        <v>1</v>
      </c>
      <c r="AL185" s="25">
        <f>(MAX(tblMeasure[[#This Row],[src_year_last_published]]-2010+1,0)+MIN(2010-tblMeasure[[#This Row],[src_year_first_published]],0)-MAX(tblMeasure[[#This Row],[src_year_last_published]]-2019,0))/10</f>
        <v>0.9</v>
      </c>
      <c r="AM185" s="25">
        <f>IF(OR(tblMeasure[[#This Row],[src_discontinuity]]="None",tblMeasure[[#This Row],[src_discontinuity]]=0),1,0)</f>
        <v>1</v>
      </c>
      <c r="AN185" s="25">
        <f>VLOOKUP(tblMeasure[[#This Row],[src_pub_frequency]],strlu_src_pub_frequency,2,FALSE)</f>
        <v>0.5</v>
      </c>
      <c r="AO185" s="25">
        <f>VLOOKUP(tblMeasure[[#This Row],[src_pub_lag_months]],strlu_src_pub_lag_months,2,FALSE)</f>
        <v>0.3</v>
      </c>
      <c r="AP185" s="25">
        <f>VLOOKUP(tblMeasure[[#This Row],[src_statistic_class]],strlu_src_statistic_class,2,FALSE)</f>
        <v>1</v>
      </c>
      <c r="AQ185" s="25">
        <f>IF(tblMeasure[[#This Row],[src_methodology_url]]="TBD",0,1)</f>
        <v>1</v>
      </c>
      <c r="AR185" s="25">
        <f>IF(tblMeasure[[#This Row],[src_quality_url]]="TBD",0,1)</f>
        <v>1</v>
      </c>
      <c r="AS185" s="85" cm="1">
        <f t="array" ref="AS185">SUMPRODUCT(TRANSPOSE(tblMeasure[[#This Row],[str_msr_population_or_survey]:[str_src_quality_url]]),str_weights)/str_weights_total</f>
        <v>0.7</v>
      </c>
    </row>
    <row r="186" spans="1:45" hidden="1" x14ac:dyDescent="0.15">
      <c r="A186" s="30">
        <v>184</v>
      </c>
      <c r="B186" s="15">
        <f>COUNTIF(requirement_measure_map!$D$3:$D$1514,measure!A186)</f>
        <v>0</v>
      </c>
      <c r="C186" s="30" t="s">
        <v>759</v>
      </c>
      <c r="D186" s="15" t="s">
        <v>74</v>
      </c>
      <c r="E186" s="15" t="s">
        <v>237</v>
      </c>
      <c r="F186" s="15" t="s">
        <v>777</v>
      </c>
      <c r="G186" s="29" t="s">
        <v>767</v>
      </c>
      <c r="H186" s="15"/>
      <c r="I186" s="15" t="s">
        <v>429</v>
      </c>
      <c r="J186" s="15" t="s">
        <v>430</v>
      </c>
      <c r="K186" s="15" t="s">
        <v>778</v>
      </c>
      <c r="L186" s="15" t="s">
        <v>233</v>
      </c>
      <c r="M186" s="15" t="s">
        <v>330</v>
      </c>
      <c r="N186" s="15" t="s">
        <v>240</v>
      </c>
      <c r="O186" s="15" t="s">
        <v>219</v>
      </c>
      <c r="P186" s="15" t="s">
        <v>746</v>
      </c>
      <c r="Q186" s="15" t="s">
        <v>243</v>
      </c>
      <c r="R186" s="15" t="s">
        <v>219</v>
      </c>
      <c r="S186" s="15" t="s">
        <v>219</v>
      </c>
      <c r="T186" s="15" t="s">
        <v>219</v>
      </c>
      <c r="U186" s="15" t="s">
        <v>267</v>
      </c>
      <c r="V186" s="15" t="s">
        <v>219</v>
      </c>
      <c r="W186" s="15">
        <v>9</v>
      </c>
      <c r="X186" s="15" t="str">
        <f>_xlfn.XLOOKUP(tblMeasure[[#This Row],[id_src]],tblSource[id_src],tblSource[org])</f>
        <v>NHS Digital</v>
      </c>
      <c r="Y186" s="15" t="str">
        <f>_xlfn.XLOOKUP(tblMeasure[[#This Row],[id_src]],tblSource[id_src],tblSource[source])</f>
        <v xml:space="preserve">Personal Social Services: (ASCS) Adult Social Care Survey, England </v>
      </c>
      <c r="Z186" s="15" t="str">
        <f>_xlfn.XLOOKUP(tblMeasure[[#This Row],[id_src]],tblSource[id_src],tblSource[url_source])</f>
        <v>https://digital.nhs.uk/data-and-information/publications/statistical/personal-social-services-adult-social-care-survey</v>
      </c>
      <c r="AA186" s="15">
        <f>_xlfn.XLOOKUP(tblMeasure[[#This Row],[id_src]],tblSource[id_src],tblSource[year_first_published])</f>
        <v>2011</v>
      </c>
      <c r="AB186" s="15">
        <f>_xlfn.XLOOKUP(tblMeasure[[#This Row],[id_src]],tblSource[id_src],tblSource[year_last_published])</f>
        <v>2019</v>
      </c>
      <c r="AC186" s="15">
        <f>_xlfn.XLOOKUP(tblMeasure[[#This Row],[id_src]],tblSource[id_src],tblSource[discontinuity])</f>
        <v>0</v>
      </c>
      <c r="AD186" s="15" t="str">
        <f>_xlfn.XLOOKUP(tblMeasure[[#This Row],[id_src]],tblSource[id_src],tblSource[publication_frequency])</f>
        <v>Biennial</v>
      </c>
      <c r="AE186" s="15">
        <f>_xlfn.XLOOKUP(tblMeasure[[#This Row],[id_src]],tblSource[id_src],tblSource[publication_lag_months])</f>
        <v>7</v>
      </c>
      <c r="AF186" s="25" t="str">
        <f>_xlfn.XLOOKUP(tblMeasure[[#This Row],[id_src]],tblSource[id_src],tblSource[data_providers])</f>
        <v>LA</v>
      </c>
      <c r="AG186" s="25" t="str">
        <f>_xlfn.XLOOKUP(tblMeasure[[#This Row],[id_src]],tblSource[id_src],tblSource[statistic_class])</f>
        <v>Official</v>
      </c>
      <c r="AH186" s="25" t="str">
        <f>_xlfn.XLOOKUP(tblMeasure[[#This Row],[id_src]],tblSource[id_src],tblSource[methodology_link])</f>
        <v>https://files.digital.nhs.uk/BD/6D7209/pss-ascs-eng-1819-Methodology_report.pdf</v>
      </c>
      <c r="AI186" s="25" t="str">
        <f>_xlfn.XLOOKUP(tblMeasure[[#This Row],[id_src]],tblSource[id_src],tblSource[quality_issues])</f>
        <v>https://files.digital.nhs.uk/0E/5F058D/pss-ascs-eng-1819_Data_Quality_report.pdf</v>
      </c>
      <c r="AJ186" s="25">
        <f>VLOOKUP(tblMeasure[[#This Row],[msr_population_or_survey]],strlu_msr_population_or_survey,2,FALSE)</f>
        <v>0</v>
      </c>
      <c r="AK186" s="25">
        <f>VLOOKUP(tblMeasure[[#This Row],[msr_min_geo_resolution]],strlu_msr_min_geo_resolution,2,FALSE)</f>
        <v>0</v>
      </c>
      <c r="AL186" s="25">
        <f>(MAX(tblMeasure[[#This Row],[src_year_last_published]]-2010+1,0)+MIN(2010-tblMeasure[[#This Row],[src_year_first_published]],0)-MAX(tblMeasure[[#This Row],[src_year_last_published]]-2019,0))/10</f>
        <v>0.9</v>
      </c>
      <c r="AM186" s="25">
        <f>IF(OR(tblMeasure[[#This Row],[src_discontinuity]]="None",tblMeasure[[#This Row],[src_discontinuity]]=0),1,0)</f>
        <v>1</v>
      </c>
      <c r="AN186" s="25">
        <f>VLOOKUP(tblMeasure[[#This Row],[src_pub_frequency]],strlu_src_pub_frequency,2,FALSE)</f>
        <v>0.5</v>
      </c>
      <c r="AO186" s="25">
        <f>VLOOKUP(tblMeasure[[#This Row],[src_pub_lag_months]],strlu_src_pub_lag_months,2,FALSE)</f>
        <v>0.3</v>
      </c>
      <c r="AP186" s="25">
        <f>VLOOKUP(tblMeasure[[#This Row],[src_statistic_class]],strlu_src_statistic_class,2,FALSE)</f>
        <v>1</v>
      </c>
      <c r="AQ186" s="25">
        <f>IF(tblMeasure[[#This Row],[src_methodology_url]]="TBD",0,1)</f>
        <v>1</v>
      </c>
      <c r="AR186" s="25">
        <f>IF(tblMeasure[[#This Row],[src_quality_url]]="TBD",0,1)</f>
        <v>1</v>
      </c>
      <c r="AS186" s="85" cm="1">
        <f t="array" ref="AS186">SUMPRODUCT(TRANSPOSE(tblMeasure[[#This Row],[str_msr_population_or_survey]:[str_src_quality_url]]),str_weights)/str_weights_total</f>
        <v>0.5461538461538461</v>
      </c>
    </row>
    <row r="187" spans="1:45" hidden="1" x14ac:dyDescent="0.15">
      <c r="A187" s="30">
        <v>185</v>
      </c>
      <c r="B187" s="15">
        <f>COUNTIF(requirement_measure_map!$D$3:$D$1514,measure!A187)</f>
        <v>6</v>
      </c>
      <c r="C187" s="30" t="s">
        <v>656</v>
      </c>
      <c r="D187" s="15" t="s">
        <v>387</v>
      </c>
      <c r="E187" s="15" t="s">
        <v>579</v>
      </c>
      <c r="F187" s="15" t="s">
        <v>779</v>
      </c>
      <c r="G187" s="29" t="s">
        <v>780</v>
      </c>
      <c r="H187" s="15"/>
      <c r="I187" s="15" t="s">
        <v>214</v>
      </c>
      <c r="J187" s="15" t="s">
        <v>215</v>
      </c>
      <c r="K187" s="15" t="s">
        <v>558</v>
      </c>
      <c r="L187" s="15" t="s">
        <v>287</v>
      </c>
      <c r="M187" s="15" t="s">
        <v>219</v>
      </c>
      <c r="N187" s="15" t="s">
        <v>219</v>
      </c>
      <c r="O187" s="15" t="s">
        <v>219</v>
      </c>
      <c r="P187" s="15" t="s">
        <v>219</v>
      </c>
      <c r="Q187" s="15" t="s">
        <v>243</v>
      </c>
      <c r="R187" s="15" t="s">
        <v>218</v>
      </c>
      <c r="S187" s="15" t="s">
        <v>219</v>
      </c>
      <c r="T187" s="15" t="s">
        <v>219</v>
      </c>
      <c r="U187" s="15" t="s">
        <v>219</v>
      </c>
      <c r="V187" s="15" t="s">
        <v>219</v>
      </c>
      <c r="W187" s="15">
        <v>10</v>
      </c>
      <c r="X187" s="15" t="str">
        <f>_xlfn.XLOOKUP(tblMeasure[[#This Row],[id_src]],tblSource[id_src],tblSource[org])</f>
        <v>NHS Digital</v>
      </c>
      <c r="Y187" s="15" t="str">
        <f>_xlfn.XLOOKUP(tblMeasure[[#This Row],[id_src]],tblSource[id_src],tblSource[source])</f>
        <v>Personal Social Services: Expenditure and Unit Costs</v>
      </c>
      <c r="Z187" s="15" t="str">
        <f>_xlfn.XLOOKUP(tblMeasure[[#This Row],[id_src]],tblSource[id_src],tblSource[url_source])</f>
        <v>https://digital.nhs.uk/data-and-information/publications/statistical/personal-social-services-expenditure-and-unit-costs</v>
      </c>
      <c r="AA187" s="15">
        <f>_xlfn.XLOOKUP(tblMeasure[[#This Row],[id_src]],tblSource[id_src],tblSource[year_first_published])</f>
        <v>2005</v>
      </c>
      <c r="AB187" s="15">
        <f>_xlfn.XLOOKUP(tblMeasure[[#This Row],[id_src]],tblSource[id_src],tblSource[year_last_published])</f>
        <v>2016</v>
      </c>
      <c r="AC187" s="15">
        <f>_xlfn.XLOOKUP(tblMeasure[[#This Row],[id_src]],tblSource[id_src],tblSource[discontinuity])</f>
        <v>2015</v>
      </c>
      <c r="AD187" s="15" t="str">
        <f>_xlfn.XLOOKUP(tblMeasure[[#This Row],[id_src]],tblSource[id_src],tblSource[publication_frequency])</f>
        <v>Annual</v>
      </c>
      <c r="AE187" s="15">
        <f>_xlfn.XLOOKUP(tblMeasure[[#This Row],[id_src]],tblSource[id_src],tblSource[publication_lag_months])</f>
        <v>7</v>
      </c>
      <c r="AF187" s="25" t="str">
        <f>_xlfn.XLOOKUP(tblMeasure[[#This Row],[id_src]],tblSource[id_src],tblSource[data_providers])</f>
        <v>LA</v>
      </c>
      <c r="AG187" s="25" t="str">
        <f>_xlfn.XLOOKUP(tblMeasure[[#This Row],[id_src]],tblSource[id_src],tblSource[statistic_class])</f>
        <v>National</v>
      </c>
      <c r="AH187" s="25" t="str">
        <f>_xlfn.XLOOKUP(tblMeasure[[#This Row],[id_src]],tblSource[id_src],tblSource[methodology_link])</f>
        <v>https://files.digital.nhs.uk/publicationimport/pub22xxx/pub22240/pss-exp-eng-15-16-fin-dq.pdf</v>
      </c>
      <c r="AI187" s="25" t="str">
        <f>_xlfn.XLOOKUP(tblMeasure[[#This Row],[id_src]],tblSource[id_src],tblSource[quality_issues])</f>
        <v>https://files.digital.nhs.uk/publicationimport/pub22xxx/pub22240/pss-exp-eng-15-16-fin-dq.pdf</v>
      </c>
      <c r="AJ187" s="25">
        <f>VLOOKUP(tblMeasure[[#This Row],[msr_population_or_survey]],strlu_msr_population_or_survey,2,FALSE)</f>
        <v>1</v>
      </c>
      <c r="AK187" s="25">
        <f>VLOOKUP(tblMeasure[[#This Row],[msr_min_geo_resolution]],strlu_msr_min_geo_resolution,2,FALSE)</f>
        <v>0.5</v>
      </c>
      <c r="AL187" s="25">
        <f>(MAX(tblMeasure[[#This Row],[src_year_last_published]]-2010+1,0)+MIN(2010-tblMeasure[[#This Row],[src_year_first_published]],0)-MAX(tblMeasure[[#This Row],[src_year_last_published]]-2019,0))/10</f>
        <v>0.7</v>
      </c>
      <c r="AM187" s="25">
        <f>IF(OR(tblMeasure[[#This Row],[src_discontinuity]]="None",tblMeasure[[#This Row],[src_discontinuity]]=0),1,0)</f>
        <v>0</v>
      </c>
      <c r="AN187" s="25">
        <f>VLOOKUP(tblMeasure[[#This Row],[src_pub_frequency]],strlu_src_pub_frequency,2,FALSE)</f>
        <v>0.8</v>
      </c>
      <c r="AO187" s="25">
        <f>VLOOKUP(tblMeasure[[#This Row],[src_pub_lag_months]],strlu_src_pub_lag_months,2,FALSE)</f>
        <v>0.3</v>
      </c>
      <c r="AP187" s="25">
        <f>VLOOKUP(tblMeasure[[#This Row],[src_statistic_class]],strlu_src_statistic_class,2,FALSE)</f>
        <v>1</v>
      </c>
      <c r="AQ187" s="25">
        <f>IF(tblMeasure[[#This Row],[src_methodology_url]]="TBD",0,1)</f>
        <v>1</v>
      </c>
      <c r="AR187" s="25">
        <f>IF(tblMeasure[[#This Row],[src_quality_url]]="TBD",0,1)</f>
        <v>1</v>
      </c>
      <c r="AS187" s="85" cm="1">
        <f t="array" ref="AS187">SUMPRODUCT(TRANSPOSE(tblMeasure[[#This Row],[str_msr_population_or_survey]:[str_src_quality_url]]),str_weights)/str_weights_total</f>
        <v>0.7153846153846154</v>
      </c>
    </row>
    <row r="188" spans="1:45" hidden="1" x14ac:dyDescent="0.15">
      <c r="A188" s="30">
        <v>186</v>
      </c>
      <c r="B188" s="15">
        <f>COUNTIF(requirement_measure_map!$D$3:$D$1514,measure!A188)</f>
        <v>4</v>
      </c>
      <c r="C188" s="30" t="s">
        <v>656</v>
      </c>
      <c r="D188" s="15" t="s">
        <v>64</v>
      </c>
      <c r="E188" s="15" t="s">
        <v>583</v>
      </c>
      <c r="F188" s="15" t="s">
        <v>781</v>
      </c>
      <c r="G188" s="29" t="s">
        <v>780</v>
      </c>
      <c r="H188" s="15"/>
      <c r="I188" s="15" t="s">
        <v>214</v>
      </c>
      <c r="J188" s="15" t="s">
        <v>215</v>
      </c>
      <c r="K188" s="15" t="s">
        <v>232</v>
      </c>
      <c r="L188" s="15" t="s">
        <v>217</v>
      </c>
      <c r="M188" s="15" t="s">
        <v>219</v>
      </c>
      <c r="N188" s="15" t="s">
        <v>219</v>
      </c>
      <c r="O188" s="15" t="s">
        <v>219</v>
      </c>
      <c r="P188" s="15" t="s">
        <v>219</v>
      </c>
      <c r="Q188" s="15" t="s">
        <v>219</v>
      </c>
      <c r="R188" s="15" t="s">
        <v>219</v>
      </c>
      <c r="S188" s="15" t="s">
        <v>219</v>
      </c>
      <c r="T188" s="15" t="s">
        <v>267</v>
      </c>
      <c r="U188" s="15" t="s">
        <v>219</v>
      </c>
      <c r="V188" s="15" t="s">
        <v>219</v>
      </c>
      <c r="W188" s="15">
        <v>10</v>
      </c>
      <c r="X188" s="15" t="str">
        <f>_xlfn.XLOOKUP(tblMeasure[[#This Row],[id_src]],tblSource[id_src],tblSource[org])</f>
        <v>NHS Digital</v>
      </c>
      <c r="Y188" s="15" t="str">
        <f>_xlfn.XLOOKUP(tblMeasure[[#This Row],[id_src]],tblSource[id_src],tblSource[source])</f>
        <v>Personal Social Services: Expenditure and Unit Costs</v>
      </c>
      <c r="Z188" s="15" t="str">
        <f>_xlfn.XLOOKUP(tblMeasure[[#This Row],[id_src]],tblSource[id_src],tblSource[url_source])</f>
        <v>https://digital.nhs.uk/data-and-information/publications/statistical/personal-social-services-expenditure-and-unit-costs</v>
      </c>
      <c r="AA188" s="15">
        <f>_xlfn.XLOOKUP(tblMeasure[[#This Row],[id_src]],tblSource[id_src],tblSource[year_first_published])</f>
        <v>2005</v>
      </c>
      <c r="AB188" s="15">
        <f>_xlfn.XLOOKUP(tblMeasure[[#This Row],[id_src]],tblSource[id_src],tblSource[year_last_published])</f>
        <v>2016</v>
      </c>
      <c r="AC188" s="15">
        <f>_xlfn.XLOOKUP(tblMeasure[[#This Row],[id_src]],tblSource[id_src],tblSource[discontinuity])</f>
        <v>2015</v>
      </c>
      <c r="AD188" s="15" t="str">
        <f>_xlfn.XLOOKUP(tblMeasure[[#This Row],[id_src]],tblSource[id_src],tblSource[publication_frequency])</f>
        <v>Annual</v>
      </c>
      <c r="AE188" s="15">
        <f>_xlfn.XLOOKUP(tblMeasure[[#This Row],[id_src]],tblSource[id_src],tblSource[publication_lag_months])</f>
        <v>7</v>
      </c>
      <c r="AF188" s="25" t="str">
        <f>_xlfn.XLOOKUP(tblMeasure[[#This Row],[id_src]],tblSource[id_src],tblSource[data_providers])</f>
        <v>LA</v>
      </c>
      <c r="AG188" s="25" t="str">
        <f>_xlfn.XLOOKUP(tblMeasure[[#This Row],[id_src]],tblSource[id_src],tblSource[statistic_class])</f>
        <v>National</v>
      </c>
      <c r="AH188" s="25" t="str">
        <f>_xlfn.XLOOKUP(tblMeasure[[#This Row],[id_src]],tblSource[id_src],tblSource[methodology_link])</f>
        <v>https://files.digital.nhs.uk/publicationimport/pub22xxx/pub22240/pss-exp-eng-15-16-fin-dq.pdf</v>
      </c>
      <c r="AI188" s="25" t="str">
        <f>_xlfn.XLOOKUP(tblMeasure[[#This Row],[id_src]],tblSource[id_src],tblSource[quality_issues])</f>
        <v>https://files.digital.nhs.uk/publicationimport/pub22xxx/pub22240/pss-exp-eng-15-16-fin-dq.pdf</v>
      </c>
      <c r="AJ188" s="25">
        <f>VLOOKUP(tblMeasure[[#This Row],[msr_population_or_survey]],strlu_msr_population_or_survey,2,FALSE)</f>
        <v>1</v>
      </c>
      <c r="AK188" s="25">
        <f>VLOOKUP(tblMeasure[[#This Row],[msr_min_geo_resolution]],strlu_msr_min_geo_resolution,2,FALSE)</f>
        <v>1</v>
      </c>
      <c r="AL188" s="25">
        <f>(MAX(tblMeasure[[#This Row],[src_year_last_published]]-2010+1,0)+MIN(2010-tblMeasure[[#This Row],[src_year_first_published]],0)-MAX(tblMeasure[[#This Row],[src_year_last_published]]-2019,0))/10</f>
        <v>0.7</v>
      </c>
      <c r="AM188" s="25">
        <f>IF(OR(tblMeasure[[#This Row],[src_discontinuity]]="None",tblMeasure[[#This Row],[src_discontinuity]]=0),1,0)</f>
        <v>0</v>
      </c>
      <c r="AN188" s="25">
        <f>VLOOKUP(tblMeasure[[#This Row],[src_pub_frequency]],strlu_src_pub_frequency,2,FALSE)</f>
        <v>0.8</v>
      </c>
      <c r="AO188" s="25">
        <f>VLOOKUP(tblMeasure[[#This Row],[src_pub_lag_months]],strlu_src_pub_lag_months,2,FALSE)</f>
        <v>0.3</v>
      </c>
      <c r="AP188" s="25">
        <f>VLOOKUP(tblMeasure[[#This Row],[src_statistic_class]],strlu_src_statistic_class,2,FALSE)</f>
        <v>1</v>
      </c>
      <c r="AQ188" s="25">
        <f>IF(tblMeasure[[#This Row],[src_methodology_url]]="TBD",0,1)</f>
        <v>1</v>
      </c>
      <c r="AR188" s="25">
        <f>IF(tblMeasure[[#This Row],[src_quality_url]]="TBD",0,1)</f>
        <v>1</v>
      </c>
      <c r="AS188" s="85" cm="1">
        <f t="array" ref="AS188">SUMPRODUCT(TRANSPOSE(tblMeasure[[#This Row],[str_msr_population_or_survey]:[str_src_quality_url]]),str_weights)/str_weights_total</f>
        <v>0.79230769230769238</v>
      </c>
    </row>
    <row r="189" spans="1:45" hidden="1" x14ac:dyDescent="0.15">
      <c r="A189" s="30">
        <v>187</v>
      </c>
      <c r="B189" s="15">
        <f>COUNTIF(requirement_measure_map!$D$3:$D$1514,measure!A189)</f>
        <v>3</v>
      </c>
      <c r="C189" s="30" t="s">
        <v>656</v>
      </c>
      <c r="D189" s="15" t="s">
        <v>65</v>
      </c>
      <c r="E189" s="15" t="s">
        <v>586</v>
      </c>
      <c r="F189" s="15" t="s">
        <v>782</v>
      </c>
      <c r="G189" s="29" t="s">
        <v>780</v>
      </c>
      <c r="H189" s="15"/>
      <c r="I189" s="15" t="s">
        <v>214</v>
      </c>
      <c r="J189" s="15" t="s">
        <v>215</v>
      </c>
      <c r="K189" s="15" t="s">
        <v>239</v>
      </c>
      <c r="L189" s="15" t="s">
        <v>217</v>
      </c>
      <c r="M189" s="15" t="s">
        <v>219</v>
      </c>
      <c r="N189" s="15" t="s">
        <v>219</v>
      </c>
      <c r="O189" s="15" t="s">
        <v>219</v>
      </c>
      <c r="P189" s="15" t="s">
        <v>219</v>
      </c>
      <c r="Q189" s="15" t="s">
        <v>240</v>
      </c>
      <c r="R189" s="15" t="s">
        <v>219</v>
      </c>
      <c r="S189" s="15" t="s">
        <v>219</v>
      </c>
      <c r="T189" s="15" t="s">
        <v>219</v>
      </c>
      <c r="U189" s="15" t="s">
        <v>219</v>
      </c>
      <c r="V189" s="15" t="s">
        <v>219</v>
      </c>
      <c r="W189" s="15">
        <v>10</v>
      </c>
      <c r="X189" s="15" t="str">
        <f>_xlfn.XLOOKUP(tblMeasure[[#This Row],[id_src]],tblSource[id_src],tblSource[org])</f>
        <v>NHS Digital</v>
      </c>
      <c r="Y189" s="15" t="str">
        <f>_xlfn.XLOOKUP(tblMeasure[[#This Row],[id_src]],tblSource[id_src],tblSource[source])</f>
        <v>Personal Social Services: Expenditure and Unit Costs</v>
      </c>
      <c r="Z189" s="15" t="str">
        <f>_xlfn.XLOOKUP(tblMeasure[[#This Row],[id_src]],tblSource[id_src],tblSource[url_source])</f>
        <v>https://digital.nhs.uk/data-and-information/publications/statistical/personal-social-services-expenditure-and-unit-costs</v>
      </c>
      <c r="AA189" s="15">
        <f>_xlfn.XLOOKUP(tblMeasure[[#This Row],[id_src]],tblSource[id_src],tblSource[year_first_published])</f>
        <v>2005</v>
      </c>
      <c r="AB189" s="15">
        <f>_xlfn.XLOOKUP(tblMeasure[[#This Row],[id_src]],tblSource[id_src],tblSource[year_last_published])</f>
        <v>2016</v>
      </c>
      <c r="AC189" s="15">
        <f>_xlfn.XLOOKUP(tblMeasure[[#This Row],[id_src]],tblSource[id_src],tblSource[discontinuity])</f>
        <v>2015</v>
      </c>
      <c r="AD189" s="15" t="str">
        <f>_xlfn.XLOOKUP(tblMeasure[[#This Row],[id_src]],tblSource[id_src],tblSource[publication_frequency])</f>
        <v>Annual</v>
      </c>
      <c r="AE189" s="15">
        <f>_xlfn.XLOOKUP(tblMeasure[[#This Row],[id_src]],tblSource[id_src],tblSource[publication_lag_months])</f>
        <v>7</v>
      </c>
      <c r="AF189" s="25" t="str">
        <f>_xlfn.XLOOKUP(tblMeasure[[#This Row],[id_src]],tblSource[id_src],tblSource[data_providers])</f>
        <v>LA</v>
      </c>
      <c r="AG189" s="25" t="str">
        <f>_xlfn.XLOOKUP(tblMeasure[[#This Row],[id_src]],tblSource[id_src],tblSource[statistic_class])</f>
        <v>National</v>
      </c>
      <c r="AH189" s="25" t="str">
        <f>_xlfn.XLOOKUP(tblMeasure[[#This Row],[id_src]],tblSource[id_src],tblSource[methodology_link])</f>
        <v>https://files.digital.nhs.uk/publicationimport/pub22xxx/pub22240/pss-exp-eng-15-16-fin-dq.pdf</v>
      </c>
      <c r="AI189" s="25" t="str">
        <f>_xlfn.XLOOKUP(tblMeasure[[#This Row],[id_src]],tblSource[id_src],tblSource[quality_issues])</f>
        <v>https://files.digital.nhs.uk/publicationimport/pub22xxx/pub22240/pss-exp-eng-15-16-fin-dq.pdf</v>
      </c>
      <c r="AJ189" s="25">
        <f>VLOOKUP(tblMeasure[[#This Row],[msr_population_or_survey]],strlu_msr_population_or_survey,2,FALSE)</f>
        <v>1</v>
      </c>
      <c r="AK189" s="25">
        <f>VLOOKUP(tblMeasure[[#This Row],[msr_min_geo_resolution]],strlu_msr_min_geo_resolution,2,FALSE)</f>
        <v>1</v>
      </c>
      <c r="AL189" s="25">
        <f>(MAX(tblMeasure[[#This Row],[src_year_last_published]]-2010+1,0)+MIN(2010-tblMeasure[[#This Row],[src_year_first_published]],0)-MAX(tblMeasure[[#This Row],[src_year_last_published]]-2019,0))/10</f>
        <v>0.7</v>
      </c>
      <c r="AM189" s="25">
        <f>IF(OR(tblMeasure[[#This Row],[src_discontinuity]]="None",tblMeasure[[#This Row],[src_discontinuity]]=0),1,0)</f>
        <v>0</v>
      </c>
      <c r="AN189" s="25">
        <f>VLOOKUP(tblMeasure[[#This Row],[src_pub_frequency]],strlu_src_pub_frequency,2,FALSE)</f>
        <v>0.8</v>
      </c>
      <c r="AO189" s="25">
        <f>VLOOKUP(tblMeasure[[#This Row],[src_pub_lag_months]],strlu_src_pub_lag_months,2,FALSE)</f>
        <v>0.3</v>
      </c>
      <c r="AP189" s="25">
        <f>VLOOKUP(tblMeasure[[#This Row],[src_statistic_class]],strlu_src_statistic_class,2,FALSE)</f>
        <v>1</v>
      </c>
      <c r="AQ189" s="25">
        <f>IF(tblMeasure[[#This Row],[src_methodology_url]]="TBD",0,1)</f>
        <v>1</v>
      </c>
      <c r="AR189" s="25">
        <f>IF(tblMeasure[[#This Row],[src_quality_url]]="TBD",0,1)</f>
        <v>1</v>
      </c>
      <c r="AS189" s="85" cm="1">
        <f t="array" ref="AS189">SUMPRODUCT(TRANSPOSE(tblMeasure[[#This Row],[str_msr_population_or_survey]:[str_src_quality_url]]),str_weights)/str_weights_total</f>
        <v>0.79230769230769238</v>
      </c>
    </row>
    <row r="190" spans="1:45" hidden="1" x14ac:dyDescent="0.15">
      <c r="A190" s="30">
        <v>188</v>
      </c>
      <c r="B190" s="15">
        <f>COUNTIF(requirement_measure_map!$D$3:$D$1514,measure!A190)</f>
        <v>4</v>
      </c>
      <c r="C190" s="30" t="s">
        <v>656</v>
      </c>
      <c r="D190" s="15" t="s">
        <v>64</v>
      </c>
      <c r="E190" s="15" t="s">
        <v>589</v>
      </c>
      <c r="F190" s="15" t="s">
        <v>783</v>
      </c>
      <c r="G190" s="29" t="s">
        <v>780</v>
      </c>
      <c r="H190" s="15"/>
      <c r="I190" s="15" t="s">
        <v>214</v>
      </c>
      <c r="J190" s="15" t="s">
        <v>215</v>
      </c>
      <c r="K190" s="15" t="s">
        <v>232</v>
      </c>
      <c r="L190" s="15" t="s">
        <v>217</v>
      </c>
      <c r="M190" s="15" t="s">
        <v>218</v>
      </c>
      <c r="N190" s="15" t="s">
        <v>219</v>
      </c>
      <c r="O190" s="15" t="s">
        <v>219</v>
      </c>
      <c r="P190" s="15" t="s">
        <v>219</v>
      </c>
      <c r="Q190" s="15" t="s">
        <v>219</v>
      </c>
      <c r="R190" s="15" t="s">
        <v>219</v>
      </c>
      <c r="S190" s="15" t="s">
        <v>219</v>
      </c>
      <c r="T190" s="15" t="s">
        <v>218</v>
      </c>
      <c r="U190" s="15" t="s">
        <v>219</v>
      </c>
      <c r="V190" s="15" t="s">
        <v>219</v>
      </c>
      <c r="W190" s="15">
        <v>10</v>
      </c>
      <c r="X190" s="15" t="str">
        <f>_xlfn.XLOOKUP(tblMeasure[[#This Row],[id_src]],tblSource[id_src],tblSource[org])</f>
        <v>NHS Digital</v>
      </c>
      <c r="Y190" s="15" t="str">
        <f>_xlfn.XLOOKUP(tblMeasure[[#This Row],[id_src]],tblSource[id_src],tblSource[source])</f>
        <v>Personal Social Services: Expenditure and Unit Costs</v>
      </c>
      <c r="Z190" s="15" t="str">
        <f>_xlfn.XLOOKUP(tblMeasure[[#This Row],[id_src]],tblSource[id_src],tblSource[url_source])</f>
        <v>https://digital.nhs.uk/data-and-information/publications/statistical/personal-social-services-expenditure-and-unit-costs</v>
      </c>
      <c r="AA190" s="15">
        <f>_xlfn.XLOOKUP(tblMeasure[[#This Row],[id_src]],tblSource[id_src],tblSource[year_first_published])</f>
        <v>2005</v>
      </c>
      <c r="AB190" s="15">
        <f>_xlfn.XLOOKUP(tblMeasure[[#This Row],[id_src]],tblSource[id_src],tblSource[year_last_published])</f>
        <v>2016</v>
      </c>
      <c r="AC190" s="15">
        <f>_xlfn.XLOOKUP(tblMeasure[[#This Row],[id_src]],tblSource[id_src],tblSource[discontinuity])</f>
        <v>2015</v>
      </c>
      <c r="AD190" s="15" t="str">
        <f>_xlfn.XLOOKUP(tblMeasure[[#This Row],[id_src]],tblSource[id_src],tblSource[publication_frequency])</f>
        <v>Annual</v>
      </c>
      <c r="AE190" s="15">
        <f>_xlfn.XLOOKUP(tblMeasure[[#This Row],[id_src]],tblSource[id_src],tblSource[publication_lag_months])</f>
        <v>7</v>
      </c>
      <c r="AF190" s="25" t="str">
        <f>_xlfn.XLOOKUP(tblMeasure[[#This Row],[id_src]],tblSource[id_src],tblSource[data_providers])</f>
        <v>LA</v>
      </c>
      <c r="AG190" s="25" t="str">
        <f>_xlfn.XLOOKUP(tblMeasure[[#This Row],[id_src]],tblSource[id_src],tblSource[statistic_class])</f>
        <v>National</v>
      </c>
      <c r="AH190" s="25" t="str">
        <f>_xlfn.XLOOKUP(tblMeasure[[#This Row],[id_src]],tblSource[id_src],tblSource[methodology_link])</f>
        <v>https://files.digital.nhs.uk/publicationimport/pub22xxx/pub22240/pss-exp-eng-15-16-fin-dq.pdf</v>
      </c>
      <c r="AI190" s="25" t="str">
        <f>_xlfn.XLOOKUP(tblMeasure[[#This Row],[id_src]],tblSource[id_src],tblSource[quality_issues])</f>
        <v>https://files.digital.nhs.uk/publicationimport/pub22xxx/pub22240/pss-exp-eng-15-16-fin-dq.pdf</v>
      </c>
      <c r="AJ190" s="25">
        <f>VLOOKUP(tblMeasure[[#This Row],[msr_population_or_survey]],strlu_msr_population_or_survey,2,FALSE)</f>
        <v>1</v>
      </c>
      <c r="AK190" s="25">
        <f>VLOOKUP(tblMeasure[[#This Row],[msr_min_geo_resolution]],strlu_msr_min_geo_resolution,2,FALSE)</f>
        <v>1</v>
      </c>
      <c r="AL190" s="25">
        <f>(MAX(tblMeasure[[#This Row],[src_year_last_published]]-2010+1,0)+MIN(2010-tblMeasure[[#This Row],[src_year_first_published]],0)-MAX(tblMeasure[[#This Row],[src_year_last_published]]-2019,0))/10</f>
        <v>0.7</v>
      </c>
      <c r="AM190" s="25">
        <f>IF(OR(tblMeasure[[#This Row],[src_discontinuity]]="None",tblMeasure[[#This Row],[src_discontinuity]]=0),1,0)</f>
        <v>0</v>
      </c>
      <c r="AN190" s="25">
        <f>VLOOKUP(tblMeasure[[#This Row],[src_pub_frequency]],strlu_src_pub_frequency,2,FALSE)</f>
        <v>0.8</v>
      </c>
      <c r="AO190" s="25">
        <f>VLOOKUP(tblMeasure[[#This Row],[src_pub_lag_months]],strlu_src_pub_lag_months,2,FALSE)</f>
        <v>0.3</v>
      </c>
      <c r="AP190" s="25">
        <f>VLOOKUP(tblMeasure[[#This Row],[src_statistic_class]],strlu_src_statistic_class,2,FALSE)</f>
        <v>1</v>
      </c>
      <c r="AQ190" s="25">
        <f>IF(tblMeasure[[#This Row],[src_methodology_url]]="TBD",0,1)</f>
        <v>1</v>
      </c>
      <c r="AR190" s="25">
        <f>IF(tblMeasure[[#This Row],[src_quality_url]]="TBD",0,1)</f>
        <v>1</v>
      </c>
      <c r="AS190" s="85" cm="1">
        <f t="array" ref="AS190">SUMPRODUCT(TRANSPOSE(tblMeasure[[#This Row],[str_msr_population_or_survey]:[str_src_quality_url]]),str_weights)/str_weights_total</f>
        <v>0.79230769230769238</v>
      </c>
    </row>
    <row r="191" spans="1:45" x14ac:dyDescent="0.15">
      <c r="A191" s="30">
        <v>189</v>
      </c>
      <c r="B191" s="15">
        <f>COUNTIF(requirement_measure_map!$D$3:$D$1514,measure!A191)</f>
        <v>5</v>
      </c>
      <c r="C191" s="30" t="s">
        <v>656</v>
      </c>
      <c r="D191" s="15" t="s">
        <v>64</v>
      </c>
      <c r="E191" s="15" t="s">
        <v>592</v>
      </c>
      <c r="F191" s="15" t="s">
        <v>784</v>
      </c>
      <c r="G191" s="29" t="s">
        <v>780</v>
      </c>
      <c r="H191" s="15"/>
      <c r="I191" s="15" t="s">
        <v>214</v>
      </c>
      <c r="J191" s="15" t="s">
        <v>215</v>
      </c>
      <c r="K191" s="15" t="s">
        <v>232</v>
      </c>
      <c r="L191" s="15" t="s">
        <v>217</v>
      </c>
      <c r="M191" s="15" t="s">
        <v>218</v>
      </c>
      <c r="N191" s="15" t="s">
        <v>219</v>
      </c>
      <c r="O191" s="15" t="s">
        <v>219</v>
      </c>
      <c r="P191" s="15" t="s">
        <v>243</v>
      </c>
      <c r="Q191" s="15" t="s">
        <v>219</v>
      </c>
      <c r="R191" s="15" t="s">
        <v>219</v>
      </c>
      <c r="S191" s="15" t="s">
        <v>219</v>
      </c>
      <c r="T191" s="15" t="s">
        <v>219</v>
      </c>
      <c r="U191" s="15" t="s">
        <v>219</v>
      </c>
      <c r="V191" s="15" t="s">
        <v>219</v>
      </c>
      <c r="W191" s="15">
        <v>10</v>
      </c>
      <c r="X191" s="15" t="str">
        <f>_xlfn.XLOOKUP(tblMeasure[[#This Row],[id_src]],tblSource[id_src],tblSource[org])</f>
        <v>NHS Digital</v>
      </c>
      <c r="Y191" s="15" t="str">
        <f>_xlfn.XLOOKUP(tblMeasure[[#This Row],[id_src]],tblSource[id_src],tblSource[source])</f>
        <v>Personal Social Services: Expenditure and Unit Costs</v>
      </c>
      <c r="Z191" s="15" t="str">
        <f>_xlfn.XLOOKUP(tblMeasure[[#This Row],[id_src]],tblSource[id_src],tblSource[url_source])</f>
        <v>https://digital.nhs.uk/data-and-information/publications/statistical/personal-social-services-expenditure-and-unit-costs</v>
      </c>
      <c r="AA191" s="15">
        <f>_xlfn.XLOOKUP(tblMeasure[[#This Row],[id_src]],tblSource[id_src],tblSource[year_first_published])</f>
        <v>2005</v>
      </c>
      <c r="AB191" s="15">
        <f>_xlfn.XLOOKUP(tblMeasure[[#This Row],[id_src]],tblSource[id_src],tblSource[year_last_published])</f>
        <v>2016</v>
      </c>
      <c r="AC191" s="15">
        <f>_xlfn.XLOOKUP(tblMeasure[[#This Row],[id_src]],tblSource[id_src],tblSource[discontinuity])</f>
        <v>2015</v>
      </c>
      <c r="AD191" s="15" t="str">
        <f>_xlfn.XLOOKUP(tblMeasure[[#This Row],[id_src]],tblSource[id_src],tblSource[publication_frequency])</f>
        <v>Annual</v>
      </c>
      <c r="AE191" s="15">
        <f>_xlfn.XLOOKUP(tblMeasure[[#This Row],[id_src]],tblSource[id_src],tblSource[publication_lag_months])</f>
        <v>7</v>
      </c>
      <c r="AF191" s="25" t="str">
        <f>_xlfn.XLOOKUP(tblMeasure[[#This Row],[id_src]],tblSource[id_src],tblSource[data_providers])</f>
        <v>LA</v>
      </c>
      <c r="AG191" s="25" t="str">
        <f>_xlfn.XLOOKUP(tblMeasure[[#This Row],[id_src]],tblSource[id_src],tblSource[statistic_class])</f>
        <v>National</v>
      </c>
      <c r="AH191" s="25" t="str">
        <f>_xlfn.XLOOKUP(tblMeasure[[#This Row],[id_src]],tblSource[id_src],tblSource[methodology_link])</f>
        <v>https://files.digital.nhs.uk/publicationimport/pub22xxx/pub22240/pss-exp-eng-15-16-fin-dq.pdf</v>
      </c>
      <c r="AI191" s="25" t="str">
        <f>_xlfn.XLOOKUP(tblMeasure[[#This Row],[id_src]],tblSource[id_src],tblSource[quality_issues])</f>
        <v>https://files.digital.nhs.uk/publicationimport/pub22xxx/pub22240/pss-exp-eng-15-16-fin-dq.pdf</v>
      </c>
      <c r="AJ191" s="25">
        <f>VLOOKUP(tblMeasure[[#This Row],[msr_population_or_survey]],strlu_msr_population_or_survey,2,FALSE)</f>
        <v>1</v>
      </c>
      <c r="AK191" s="25">
        <f>VLOOKUP(tblMeasure[[#This Row],[msr_min_geo_resolution]],strlu_msr_min_geo_resolution,2,FALSE)</f>
        <v>1</v>
      </c>
      <c r="AL191" s="25">
        <f>(MAX(tblMeasure[[#This Row],[src_year_last_published]]-2010+1,0)+MIN(2010-tblMeasure[[#This Row],[src_year_first_published]],0)-MAX(tblMeasure[[#This Row],[src_year_last_published]]-2019,0))/10</f>
        <v>0.7</v>
      </c>
      <c r="AM191" s="25">
        <f>IF(OR(tblMeasure[[#This Row],[src_discontinuity]]="None",tblMeasure[[#This Row],[src_discontinuity]]=0),1,0)</f>
        <v>0</v>
      </c>
      <c r="AN191" s="25">
        <f>VLOOKUP(tblMeasure[[#This Row],[src_pub_frequency]],strlu_src_pub_frequency,2,FALSE)</f>
        <v>0.8</v>
      </c>
      <c r="AO191" s="25">
        <f>VLOOKUP(tblMeasure[[#This Row],[src_pub_lag_months]],strlu_src_pub_lag_months,2,FALSE)</f>
        <v>0.3</v>
      </c>
      <c r="AP191" s="25">
        <f>VLOOKUP(tblMeasure[[#This Row],[src_statistic_class]],strlu_src_statistic_class,2,FALSE)</f>
        <v>1</v>
      </c>
      <c r="AQ191" s="25">
        <f>IF(tblMeasure[[#This Row],[src_methodology_url]]="TBD",0,1)</f>
        <v>1</v>
      </c>
      <c r="AR191" s="25">
        <f>IF(tblMeasure[[#This Row],[src_quality_url]]="TBD",0,1)</f>
        <v>1</v>
      </c>
      <c r="AS191" s="85" cm="1">
        <f t="array" ref="AS191">SUMPRODUCT(TRANSPOSE(tblMeasure[[#This Row],[str_msr_population_or_survey]:[str_src_quality_url]]),str_weights)/str_weights_total</f>
        <v>0.79230769230769238</v>
      </c>
    </row>
    <row r="192" spans="1:45" x14ac:dyDescent="0.15">
      <c r="A192" s="30">
        <v>190</v>
      </c>
      <c r="B192" s="15">
        <f>COUNTIF(requirement_measure_map!$D$3:$D$1514,measure!A192)</f>
        <v>4</v>
      </c>
      <c r="C192" s="30" t="s">
        <v>656</v>
      </c>
      <c r="D192" s="15" t="s">
        <v>64</v>
      </c>
      <c r="E192" s="15" t="s">
        <v>595</v>
      </c>
      <c r="F192" s="15" t="s">
        <v>785</v>
      </c>
      <c r="G192" s="29" t="s">
        <v>780</v>
      </c>
      <c r="H192" s="15"/>
      <c r="I192" s="15" t="s">
        <v>214</v>
      </c>
      <c r="J192" s="15" t="s">
        <v>215</v>
      </c>
      <c r="K192" s="15" t="s">
        <v>232</v>
      </c>
      <c r="L192" s="15" t="s">
        <v>217</v>
      </c>
      <c r="M192" s="15" t="s">
        <v>219</v>
      </c>
      <c r="N192" s="15" t="s">
        <v>219</v>
      </c>
      <c r="O192" s="15" t="s">
        <v>219</v>
      </c>
      <c r="P192" s="15" t="s">
        <v>243</v>
      </c>
      <c r="Q192" s="15" t="s">
        <v>219</v>
      </c>
      <c r="R192" s="15" t="s">
        <v>219</v>
      </c>
      <c r="S192" s="15" t="s">
        <v>219</v>
      </c>
      <c r="T192" s="15" t="s">
        <v>218</v>
      </c>
      <c r="U192" s="15" t="s">
        <v>219</v>
      </c>
      <c r="V192" s="15" t="s">
        <v>219</v>
      </c>
      <c r="W192" s="15">
        <v>10</v>
      </c>
      <c r="X192" s="15" t="str">
        <f>_xlfn.XLOOKUP(tblMeasure[[#This Row],[id_src]],tblSource[id_src],tblSource[org])</f>
        <v>NHS Digital</v>
      </c>
      <c r="Y192" s="15" t="str">
        <f>_xlfn.XLOOKUP(tblMeasure[[#This Row],[id_src]],tblSource[id_src],tblSource[source])</f>
        <v>Personal Social Services: Expenditure and Unit Costs</v>
      </c>
      <c r="Z192" s="15" t="str">
        <f>_xlfn.XLOOKUP(tblMeasure[[#This Row],[id_src]],tblSource[id_src],tblSource[url_source])</f>
        <v>https://digital.nhs.uk/data-and-information/publications/statistical/personal-social-services-expenditure-and-unit-costs</v>
      </c>
      <c r="AA192" s="15">
        <f>_xlfn.XLOOKUP(tblMeasure[[#This Row],[id_src]],tblSource[id_src],tblSource[year_first_published])</f>
        <v>2005</v>
      </c>
      <c r="AB192" s="15">
        <f>_xlfn.XLOOKUP(tblMeasure[[#This Row],[id_src]],tblSource[id_src],tblSource[year_last_published])</f>
        <v>2016</v>
      </c>
      <c r="AC192" s="15">
        <f>_xlfn.XLOOKUP(tblMeasure[[#This Row],[id_src]],tblSource[id_src],tblSource[discontinuity])</f>
        <v>2015</v>
      </c>
      <c r="AD192" s="15" t="str">
        <f>_xlfn.XLOOKUP(tblMeasure[[#This Row],[id_src]],tblSource[id_src],tblSource[publication_frequency])</f>
        <v>Annual</v>
      </c>
      <c r="AE192" s="15">
        <f>_xlfn.XLOOKUP(tblMeasure[[#This Row],[id_src]],tblSource[id_src],tblSource[publication_lag_months])</f>
        <v>7</v>
      </c>
      <c r="AF192" s="25" t="str">
        <f>_xlfn.XLOOKUP(tblMeasure[[#This Row],[id_src]],tblSource[id_src],tblSource[data_providers])</f>
        <v>LA</v>
      </c>
      <c r="AG192" s="25" t="str">
        <f>_xlfn.XLOOKUP(tblMeasure[[#This Row],[id_src]],tblSource[id_src],tblSource[statistic_class])</f>
        <v>National</v>
      </c>
      <c r="AH192" s="25" t="str">
        <f>_xlfn.XLOOKUP(tblMeasure[[#This Row],[id_src]],tblSource[id_src],tblSource[methodology_link])</f>
        <v>https://files.digital.nhs.uk/publicationimport/pub22xxx/pub22240/pss-exp-eng-15-16-fin-dq.pdf</v>
      </c>
      <c r="AI192" s="25" t="str">
        <f>_xlfn.XLOOKUP(tblMeasure[[#This Row],[id_src]],tblSource[id_src],tblSource[quality_issues])</f>
        <v>https://files.digital.nhs.uk/publicationimport/pub22xxx/pub22240/pss-exp-eng-15-16-fin-dq.pdf</v>
      </c>
      <c r="AJ192" s="25">
        <f>VLOOKUP(tblMeasure[[#This Row],[msr_population_or_survey]],strlu_msr_population_or_survey,2,FALSE)</f>
        <v>1</v>
      </c>
      <c r="AK192" s="25">
        <f>VLOOKUP(tblMeasure[[#This Row],[msr_min_geo_resolution]],strlu_msr_min_geo_resolution,2,FALSE)</f>
        <v>1</v>
      </c>
      <c r="AL192" s="25">
        <f>(MAX(tblMeasure[[#This Row],[src_year_last_published]]-2010+1,0)+MIN(2010-tblMeasure[[#This Row],[src_year_first_published]],0)-MAX(tblMeasure[[#This Row],[src_year_last_published]]-2019,0))/10</f>
        <v>0.7</v>
      </c>
      <c r="AM192" s="25">
        <f>IF(OR(tblMeasure[[#This Row],[src_discontinuity]]="None",tblMeasure[[#This Row],[src_discontinuity]]=0),1,0)</f>
        <v>0</v>
      </c>
      <c r="AN192" s="25">
        <f>VLOOKUP(tblMeasure[[#This Row],[src_pub_frequency]],strlu_src_pub_frequency,2,FALSE)</f>
        <v>0.8</v>
      </c>
      <c r="AO192" s="25">
        <f>VLOOKUP(tblMeasure[[#This Row],[src_pub_lag_months]],strlu_src_pub_lag_months,2,FALSE)</f>
        <v>0.3</v>
      </c>
      <c r="AP192" s="25">
        <f>VLOOKUP(tblMeasure[[#This Row],[src_statistic_class]],strlu_src_statistic_class,2,FALSE)</f>
        <v>1</v>
      </c>
      <c r="AQ192" s="25">
        <f>IF(tblMeasure[[#This Row],[src_methodology_url]]="TBD",0,1)</f>
        <v>1</v>
      </c>
      <c r="AR192" s="25">
        <f>IF(tblMeasure[[#This Row],[src_quality_url]]="TBD",0,1)</f>
        <v>1</v>
      </c>
      <c r="AS192" s="85" cm="1">
        <f t="array" ref="AS192">SUMPRODUCT(TRANSPOSE(tblMeasure[[#This Row],[str_msr_population_or_survey]:[str_src_quality_url]]),str_weights)/str_weights_total</f>
        <v>0.79230769230769238</v>
      </c>
    </row>
    <row r="193" spans="1:45" x14ac:dyDescent="0.15">
      <c r="A193" s="30">
        <v>191</v>
      </c>
      <c r="B193" s="15">
        <f>COUNTIF(requirement_measure_map!$D$3:$D$1514,measure!A193)</f>
        <v>6</v>
      </c>
      <c r="C193" s="30" t="s">
        <v>656</v>
      </c>
      <c r="D193" s="15" t="s">
        <v>64</v>
      </c>
      <c r="E193" s="15" t="s">
        <v>598</v>
      </c>
      <c r="F193" s="15" t="s">
        <v>786</v>
      </c>
      <c r="G193" s="29" t="s">
        <v>780</v>
      </c>
      <c r="H193" s="15"/>
      <c r="I193" s="15" t="s">
        <v>214</v>
      </c>
      <c r="J193" s="15" t="s">
        <v>215</v>
      </c>
      <c r="K193" s="15" t="s">
        <v>232</v>
      </c>
      <c r="L193" s="15" t="s">
        <v>233</v>
      </c>
      <c r="M193" s="15" t="s">
        <v>218</v>
      </c>
      <c r="N193" s="15" t="s">
        <v>219</v>
      </c>
      <c r="O193" s="15" t="s">
        <v>219</v>
      </c>
      <c r="P193" s="15" t="s">
        <v>243</v>
      </c>
      <c r="Q193" s="15" t="s">
        <v>219</v>
      </c>
      <c r="R193" s="15" t="s">
        <v>219</v>
      </c>
      <c r="S193" s="15" t="s">
        <v>219</v>
      </c>
      <c r="T193" s="15" t="s">
        <v>220</v>
      </c>
      <c r="U193" s="15" t="s">
        <v>349</v>
      </c>
      <c r="V193" s="15" t="s">
        <v>219</v>
      </c>
      <c r="W193" s="15">
        <v>10</v>
      </c>
      <c r="X193" s="15" t="str">
        <f>_xlfn.XLOOKUP(tblMeasure[[#This Row],[id_src]],tblSource[id_src],tblSource[org])</f>
        <v>NHS Digital</v>
      </c>
      <c r="Y193" s="15" t="str">
        <f>_xlfn.XLOOKUP(tblMeasure[[#This Row],[id_src]],tblSource[id_src],tblSource[source])</f>
        <v>Personal Social Services: Expenditure and Unit Costs</v>
      </c>
      <c r="Z193" s="15" t="str">
        <f>_xlfn.XLOOKUP(tblMeasure[[#This Row],[id_src]],tblSource[id_src],tblSource[url_source])</f>
        <v>https://digital.nhs.uk/data-and-information/publications/statistical/personal-social-services-expenditure-and-unit-costs</v>
      </c>
      <c r="AA193" s="15">
        <f>_xlfn.XLOOKUP(tblMeasure[[#This Row],[id_src]],tblSource[id_src],tblSource[year_first_published])</f>
        <v>2005</v>
      </c>
      <c r="AB193" s="15">
        <f>_xlfn.XLOOKUP(tblMeasure[[#This Row],[id_src]],tblSource[id_src],tblSource[year_last_published])</f>
        <v>2016</v>
      </c>
      <c r="AC193" s="15">
        <f>_xlfn.XLOOKUP(tblMeasure[[#This Row],[id_src]],tblSource[id_src],tblSource[discontinuity])</f>
        <v>2015</v>
      </c>
      <c r="AD193" s="15" t="str">
        <f>_xlfn.XLOOKUP(tblMeasure[[#This Row],[id_src]],tblSource[id_src],tblSource[publication_frequency])</f>
        <v>Annual</v>
      </c>
      <c r="AE193" s="15">
        <f>_xlfn.XLOOKUP(tblMeasure[[#This Row],[id_src]],tblSource[id_src],tblSource[publication_lag_months])</f>
        <v>7</v>
      </c>
      <c r="AF193" s="25" t="str">
        <f>_xlfn.XLOOKUP(tblMeasure[[#This Row],[id_src]],tblSource[id_src],tblSource[data_providers])</f>
        <v>LA</v>
      </c>
      <c r="AG193" s="25" t="str">
        <f>_xlfn.XLOOKUP(tblMeasure[[#This Row],[id_src]],tblSource[id_src],tblSource[statistic_class])</f>
        <v>National</v>
      </c>
      <c r="AH193" s="25" t="str">
        <f>_xlfn.XLOOKUP(tblMeasure[[#This Row],[id_src]],tblSource[id_src],tblSource[methodology_link])</f>
        <v>https://files.digital.nhs.uk/publicationimport/pub22xxx/pub22240/pss-exp-eng-15-16-fin-dq.pdf</v>
      </c>
      <c r="AI193" s="25" t="str">
        <f>_xlfn.XLOOKUP(tblMeasure[[#This Row],[id_src]],tblSource[id_src],tblSource[quality_issues])</f>
        <v>https://files.digital.nhs.uk/publicationimport/pub22xxx/pub22240/pss-exp-eng-15-16-fin-dq.pdf</v>
      </c>
      <c r="AJ193" s="25">
        <f>VLOOKUP(tblMeasure[[#This Row],[msr_population_or_survey]],strlu_msr_population_or_survey,2,FALSE)</f>
        <v>1</v>
      </c>
      <c r="AK193" s="25">
        <f>VLOOKUP(tblMeasure[[#This Row],[msr_min_geo_resolution]],strlu_msr_min_geo_resolution,2,FALSE)</f>
        <v>0</v>
      </c>
      <c r="AL193" s="25">
        <f>(MAX(tblMeasure[[#This Row],[src_year_last_published]]-2010+1,0)+MIN(2010-tblMeasure[[#This Row],[src_year_first_published]],0)-MAX(tblMeasure[[#This Row],[src_year_last_published]]-2019,0))/10</f>
        <v>0.7</v>
      </c>
      <c r="AM193" s="25">
        <f>IF(OR(tblMeasure[[#This Row],[src_discontinuity]]="None",tblMeasure[[#This Row],[src_discontinuity]]=0),1,0)</f>
        <v>0</v>
      </c>
      <c r="AN193" s="25">
        <f>VLOOKUP(tblMeasure[[#This Row],[src_pub_frequency]],strlu_src_pub_frequency,2,FALSE)</f>
        <v>0.8</v>
      </c>
      <c r="AO193" s="25">
        <f>VLOOKUP(tblMeasure[[#This Row],[src_pub_lag_months]],strlu_src_pub_lag_months,2,FALSE)</f>
        <v>0.3</v>
      </c>
      <c r="AP193" s="25">
        <f>VLOOKUP(tblMeasure[[#This Row],[src_statistic_class]],strlu_src_statistic_class,2,FALSE)</f>
        <v>1</v>
      </c>
      <c r="AQ193" s="25">
        <f>IF(tblMeasure[[#This Row],[src_methodology_url]]="TBD",0,1)</f>
        <v>1</v>
      </c>
      <c r="AR193" s="25">
        <f>IF(tblMeasure[[#This Row],[src_quality_url]]="TBD",0,1)</f>
        <v>1</v>
      </c>
      <c r="AS193" s="85" cm="1">
        <f t="array" ref="AS193">SUMPRODUCT(TRANSPOSE(tblMeasure[[#This Row],[str_msr_population_or_survey]:[str_src_quality_url]]),str_weights)/str_weights_total</f>
        <v>0.63846153846153852</v>
      </c>
    </row>
    <row r="194" spans="1:45" hidden="1" x14ac:dyDescent="0.15">
      <c r="A194" s="30">
        <v>192</v>
      </c>
      <c r="B194" s="15">
        <f>COUNTIF(requirement_measure_map!$D$3:$D$1514,measure!A194)</f>
        <v>8</v>
      </c>
      <c r="C194" s="30" t="s">
        <v>656</v>
      </c>
      <c r="D194" s="15" t="s">
        <v>64</v>
      </c>
      <c r="E194" s="15" t="s">
        <v>601</v>
      </c>
      <c r="F194" s="15" t="s">
        <v>787</v>
      </c>
      <c r="G194" s="29" t="s">
        <v>780</v>
      </c>
      <c r="H194" s="15"/>
      <c r="I194" s="15" t="s">
        <v>214</v>
      </c>
      <c r="J194" s="15" t="s">
        <v>215</v>
      </c>
      <c r="K194" s="15" t="s">
        <v>232</v>
      </c>
      <c r="L194" s="15" t="s">
        <v>217</v>
      </c>
      <c r="M194" s="15" t="s">
        <v>219</v>
      </c>
      <c r="N194" s="15" t="s">
        <v>219</v>
      </c>
      <c r="O194" s="15" t="s">
        <v>219</v>
      </c>
      <c r="P194" s="15" t="s">
        <v>219</v>
      </c>
      <c r="Q194" s="15" t="s">
        <v>219</v>
      </c>
      <c r="R194" s="15" t="s">
        <v>219</v>
      </c>
      <c r="S194" s="15" t="s">
        <v>219</v>
      </c>
      <c r="T194" s="15" t="s">
        <v>220</v>
      </c>
      <c r="U194" s="15" t="s">
        <v>349</v>
      </c>
      <c r="V194" s="15" t="s">
        <v>219</v>
      </c>
      <c r="W194" s="15">
        <v>10</v>
      </c>
      <c r="X194" s="15" t="str">
        <f>_xlfn.XLOOKUP(tblMeasure[[#This Row],[id_src]],tblSource[id_src],tblSource[org])</f>
        <v>NHS Digital</v>
      </c>
      <c r="Y194" s="15" t="str">
        <f>_xlfn.XLOOKUP(tblMeasure[[#This Row],[id_src]],tblSource[id_src],tblSource[source])</f>
        <v>Personal Social Services: Expenditure and Unit Costs</v>
      </c>
      <c r="Z194" s="15" t="str">
        <f>_xlfn.XLOOKUP(tblMeasure[[#This Row],[id_src]],tblSource[id_src],tblSource[url_source])</f>
        <v>https://digital.nhs.uk/data-and-information/publications/statistical/personal-social-services-expenditure-and-unit-costs</v>
      </c>
      <c r="AA194" s="15">
        <f>_xlfn.XLOOKUP(tblMeasure[[#This Row],[id_src]],tblSource[id_src],tblSource[year_first_published])</f>
        <v>2005</v>
      </c>
      <c r="AB194" s="15">
        <f>_xlfn.XLOOKUP(tblMeasure[[#This Row],[id_src]],tblSource[id_src],tblSource[year_last_published])</f>
        <v>2016</v>
      </c>
      <c r="AC194" s="15">
        <f>_xlfn.XLOOKUP(tblMeasure[[#This Row],[id_src]],tblSource[id_src],tblSource[discontinuity])</f>
        <v>2015</v>
      </c>
      <c r="AD194" s="15" t="str">
        <f>_xlfn.XLOOKUP(tblMeasure[[#This Row],[id_src]],tblSource[id_src],tblSource[publication_frequency])</f>
        <v>Annual</v>
      </c>
      <c r="AE194" s="15">
        <f>_xlfn.XLOOKUP(tblMeasure[[#This Row],[id_src]],tblSource[id_src],tblSource[publication_lag_months])</f>
        <v>7</v>
      </c>
      <c r="AF194" s="25" t="str">
        <f>_xlfn.XLOOKUP(tblMeasure[[#This Row],[id_src]],tblSource[id_src],tblSource[data_providers])</f>
        <v>LA</v>
      </c>
      <c r="AG194" s="25" t="str">
        <f>_xlfn.XLOOKUP(tblMeasure[[#This Row],[id_src]],tblSource[id_src],tblSource[statistic_class])</f>
        <v>National</v>
      </c>
      <c r="AH194" s="25" t="str">
        <f>_xlfn.XLOOKUP(tblMeasure[[#This Row],[id_src]],tblSource[id_src],tblSource[methodology_link])</f>
        <v>https://files.digital.nhs.uk/publicationimport/pub22xxx/pub22240/pss-exp-eng-15-16-fin-dq.pdf</v>
      </c>
      <c r="AI194" s="25" t="str">
        <f>_xlfn.XLOOKUP(tblMeasure[[#This Row],[id_src]],tblSource[id_src],tblSource[quality_issues])</f>
        <v>https://files.digital.nhs.uk/publicationimport/pub22xxx/pub22240/pss-exp-eng-15-16-fin-dq.pdf</v>
      </c>
      <c r="AJ194" s="25">
        <f>VLOOKUP(tblMeasure[[#This Row],[msr_population_or_survey]],strlu_msr_population_or_survey,2,FALSE)</f>
        <v>1</v>
      </c>
      <c r="AK194" s="25">
        <f>VLOOKUP(tblMeasure[[#This Row],[msr_min_geo_resolution]],strlu_msr_min_geo_resolution,2,FALSE)</f>
        <v>1</v>
      </c>
      <c r="AL194" s="25">
        <f>(MAX(tblMeasure[[#This Row],[src_year_last_published]]-2010+1,0)+MIN(2010-tblMeasure[[#This Row],[src_year_first_published]],0)-MAX(tblMeasure[[#This Row],[src_year_last_published]]-2019,0))/10</f>
        <v>0.7</v>
      </c>
      <c r="AM194" s="25">
        <f>IF(OR(tblMeasure[[#This Row],[src_discontinuity]]="None",tblMeasure[[#This Row],[src_discontinuity]]=0),1,0)</f>
        <v>0</v>
      </c>
      <c r="AN194" s="25">
        <f>VLOOKUP(tblMeasure[[#This Row],[src_pub_frequency]],strlu_src_pub_frequency,2,FALSE)</f>
        <v>0.8</v>
      </c>
      <c r="AO194" s="25">
        <f>VLOOKUP(tblMeasure[[#This Row],[src_pub_lag_months]],strlu_src_pub_lag_months,2,FALSE)</f>
        <v>0.3</v>
      </c>
      <c r="AP194" s="25">
        <f>VLOOKUP(tblMeasure[[#This Row],[src_statistic_class]],strlu_src_statistic_class,2,FALSE)</f>
        <v>1</v>
      </c>
      <c r="AQ194" s="25">
        <f>IF(tblMeasure[[#This Row],[src_methodology_url]]="TBD",0,1)</f>
        <v>1</v>
      </c>
      <c r="AR194" s="25">
        <f>IF(tblMeasure[[#This Row],[src_quality_url]]="TBD",0,1)</f>
        <v>1</v>
      </c>
      <c r="AS194" s="85" cm="1">
        <f t="array" ref="AS194">SUMPRODUCT(TRANSPOSE(tblMeasure[[#This Row],[str_msr_population_or_survey]:[str_src_quality_url]]),str_weights)/str_weights_total</f>
        <v>0.79230769230769238</v>
      </c>
    </row>
    <row r="195" spans="1:45" x14ac:dyDescent="0.15">
      <c r="A195" s="30">
        <v>193</v>
      </c>
      <c r="B195" s="15">
        <f>COUNTIF(requirement_measure_map!$D$3:$D$1514,measure!A195)</f>
        <v>4</v>
      </c>
      <c r="C195" s="30" t="s">
        <v>656</v>
      </c>
      <c r="D195" s="15" t="s">
        <v>64</v>
      </c>
      <c r="E195" s="15" t="s">
        <v>604</v>
      </c>
      <c r="F195" s="15" t="s">
        <v>788</v>
      </c>
      <c r="G195" s="29" t="s">
        <v>780</v>
      </c>
      <c r="H195" s="15"/>
      <c r="I195" s="15" t="s">
        <v>214</v>
      </c>
      <c r="J195" s="15" t="s">
        <v>215</v>
      </c>
      <c r="K195" s="15" t="s">
        <v>232</v>
      </c>
      <c r="L195" s="15" t="s">
        <v>233</v>
      </c>
      <c r="M195" s="15" t="s">
        <v>218</v>
      </c>
      <c r="N195" s="15" t="s">
        <v>219</v>
      </c>
      <c r="O195" s="15" t="s">
        <v>219</v>
      </c>
      <c r="P195" s="15" t="s">
        <v>243</v>
      </c>
      <c r="Q195" s="15" t="s">
        <v>219</v>
      </c>
      <c r="R195" s="15" t="s">
        <v>219</v>
      </c>
      <c r="S195" s="15" t="s">
        <v>219</v>
      </c>
      <c r="T195" s="15" t="s">
        <v>218</v>
      </c>
      <c r="U195" s="15" t="s">
        <v>219</v>
      </c>
      <c r="V195" s="15" t="s">
        <v>219</v>
      </c>
      <c r="W195" s="15">
        <v>10</v>
      </c>
      <c r="X195" s="15" t="str">
        <f>_xlfn.XLOOKUP(tblMeasure[[#This Row],[id_src]],tblSource[id_src],tblSource[org])</f>
        <v>NHS Digital</v>
      </c>
      <c r="Y195" s="15" t="str">
        <f>_xlfn.XLOOKUP(tblMeasure[[#This Row],[id_src]],tblSource[id_src],tblSource[source])</f>
        <v>Personal Social Services: Expenditure and Unit Costs</v>
      </c>
      <c r="Z195" s="15" t="str">
        <f>_xlfn.XLOOKUP(tblMeasure[[#This Row],[id_src]],tblSource[id_src],tblSource[url_source])</f>
        <v>https://digital.nhs.uk/data-and-information/publications/statistical/personal-social-services-expenditure-and-unit-costs</v>
      </c>
      <c r="AA195" s="15">
        <f>_xlfn.XLOOKUP(tblMeasure[[#This Row],[id_src]],tblSource[id_src],tblSource[year_first_published])</f>
        <v>2005</v>
      </c>
      <c r="AB195" s="15">
        <f>_xlfn.XLOOKUP(tblMeasure[[#This Row],[id_src]],tblSource[id_src],tblSource[year_last_published])</f>
        <v>2016</v>
      </c>
      <c r="AC195" s="15">
        <f>_xlfn.XLOOKUP(tblMeasure[[#This Row],[id_src]],tblSource[id_src],tblSource[discontinuity])</f>
        <v>2015</v>
      </c>
      <c r="AD195" s="15" t="str">
        <f>_xlfn.XLOOKUP(tblMeasure[[#This Row],[id_src]],tblSource[id_src],tblSource[publication_frequency])</f>
        <v>Annual</v>
      </c>
      <c r="AE195" s="15">
        <f>_xlfn.XLOOKUP(tblMeasure[[#This Row],[id_src]],tblSource[id_src],tblSource[publication_lag_months])</f>
        <v>7</v>
      </c>
      <c r="AF195" s="25" t="str">
        <f>_xlfn.XLOOKUP(tblMeasure[[#This Row],[id_src]],tblSource[id_src],tblSource[data_providers])</f>
        <v>LA</v>
      </c>
      <c r="AG195" s="25" t="str">
        <f>_xlfn.XLOOKUP(tblMeasure[[#This Row],[id_src]],tblSource[id_src],tblSource[statistic_class])</f>
        <v>National</v>
      </c>
      <c r="AH195" s="25" t="str">
        <f>_xlfn.XLOOKUP(tblMeasure[[#This Row],[id_src]],tblSource[id_src],tblSource[methodology_link])</f>
        <v>https://files.digital.nhs.uk/publicationimport/pub22xxx/pub22240/pss-exp-eng-15-16-fin-dq.pdf</v>
      </c>
      <c r="AI195" s="25" t="str">
        <f>_xlfn.XLOOKUP(tblMeasure[[#This Row],[id_src]],tblSource[id_src],tblSource[quality_issues])</f>
        <v>https://files.digital.nhs.uk/publicationimport/pub22xxx/pub22240/pss-exp-eng-15-16-fin-dq.pdf</v>
      </c>
      <c r="AJ195" s="25">
        <f>VLOOKUP(tblMeasure[[#This Row],[msr_population_or_survey]],strlu_msr_population_or_survey,2,FALSE)</f>
        <v>1</v>
      </c>
      <c r="AK195" s="25">
        <f>VLOOKUP(tblMeasure[[#This Row],[msr_min_geo_resolution]],strlu_msr_min_geo_resolution,2,FALSE)</f>
        <v>0</v>
      </c>
      <c r="AL195" s="25">
        <f>(MAX(tblMeasure[[#This Row],[src_year_last_published]]-2010+1,0)+MIN(2010-tblMeasure[[#This Row],[src_year_first_published]],0)-MAX(tblMeasure[[#This Row],[src_year_last_published]]-2019,0))/10</f>
        <v>0.7</v>
      </c>
      <c r="AM195" s="25">
        <f>IF(OR(tblMeasure[[#This Row],[src_discontinuity]]="None",tblMeasure[[#This Row],[src_discontinuity]]=0),1,0)</f>
        <v>0</v>
      </c>
      <c r="AN195" s="25">
        <f>VLOOKUP(tblMeasure[[#This Row],[src_pub_frequency]],strlu_src_pub_frequency,2,FALSE)</f>
        <v>0.8</v>
      </c>
      <c r="AO195" s="25">
        <f>VLOOKUP(tblMeasure[[#This Row],[src_pub_lag_months]],strlu_src_pub_lag_months,2,FALSE)</f>
        <v>0.3</v>
      </c>
      <c r="AP195" s="25">
        <f>VLOOKUP(tblMeasure[[#This Row],[src_statistic_class]],strlu_src_statistic_class,2,FALSE)</f>
        <v>1</v>
      </c>
      <c r="AQ195" s="25">
        <f>IF(tblMeasure[[#This Row],[src_methodology_url]]="TBD",0,1)</f>
        <v>1</v>
      </c>
      <c r="AR195" s="25">
        <f>IF(tblMeasure[[#This Row],[src_quality_url]]="TBD",0,1)</f>
        <v>1</v>
      </c>
      <c r="AS195" s="85" cm="1">
        <f t="array" ref="AS195">SUMPRODUCT(TRANSPOSE(tblMeasure[[#This Row],[str_msr_population_or_survey]:[str_src_quality_url]]),str_weights)/str_weights_total</f>
        <v>0.63846153846153852</v>
      </c>
    </row>
    <row r="196" spans="1:45" x14ac:dyDescent="0.15">
      <c r="A196" s="30">
        <v>194</v>
      </c>
      <c r="B196" s="15">
        <f>COUNTIF(requirement_measure_map!$D$3:$D$1514,measure!A196)</f>
        <v>4</v>
      </c>
      <c r="C196" s="30" t="s">
        <v>656</v>
      </c>
      <c r="D196" s="15" t="s">
        <v>64</v>
      </c>
      <c r="E196" s="15" t="s">
        <v>789</v>
      </c>
      <c r="F196" s="15" t="s">
        <v>790</v>
      </c>
      <c r="G196" s="29" t="s">
        <v>780</v>
      </c>
      <c r="H196" s="15"/>
      <c r="I196" s="15" t="s">
        <v>214</v>
      </c>
      <c r="J196" s="15" t="s">
        <v>215</v>
      </c>
      <c r="K196" s="15" t="s">
        <v>232</v>
      </c>
      <c r="L196" s="15" t="s">
        <v>217</v>
      </c>
      <c r="M196" s="15" t="s">
        <v>219</v>
      </c>
      <c r="N196" s="15" t="s">
        <v>219</v>
      </c>
      <c r="O196" s="15" t="s">
        <v>219</v>
      </c>
      <c r="P196" s="15" t="s">
        <v>243</v>
      </c>
      <c r="Q196" s="15" t="s">
        <v>219</v>
      </c>
      <c r="R196" s="15" t="s">
        <v>219</v>
      </c>
      <c r="S196" s="15" t="s">
        <v>219</v>
      </c>
      <c r="T196" s="15" t="s">
        <v>218</v>
      </c>
      <c r="U196" s="15" t="s">
        <v>219</v>
      </c>
      <c r="V196" s="15" t="s">
        <v>219</v>
      </c>
      <c r="W196" s="15">
        <v>10</v>
      </c>
      <c r="X196" s="15" t="str">
        <f>_xlfn.XLOOKUP(tblMeasure[[#This Row],[id_src]],tblSource[id_src],tblSource[org])</f>
        <v>NHS Digital</v>
      </c>
      <c r="Y196" s="15" t="str">
        <f>_xlfn.XLOOKUP(tblMeasure[[#This Row],[id_src]],tblSource[id_src],tblSource[source])</f>
        <v>Personal Social Services: Expenditure and Unit Costs</v>
      </c>
      <c r="Z196" s="15" t="str">
        <f>_xlfn.XLOOKUP(tblMeasure[[#This Row],[id_src]],tblSource[id_src],tblSource[url_source])</f>
        <v>https://digital.nhs.uk/data-and-information/publications/statistical/personal-social-services-expenditure-and-unit-costs</v>
      </c>
      <c r="AA196" s="15">
        <f>_xlfn.XLOOKUP(tblMeasure[[#This Row],[id_src]],tblSource[id_src],tblSource[year_first_published])</f>
        <v>2005</v>
      </c>
      <c r="AB196" s="15">
        <f>_xlfn.XLOOKUP(tblMeasure[[#This Row],[id_src]],tblSource[id_src],tblSource[year_last_published])</f>
        <v>2016</v>
      </c>
      <c r="AC196" s="15">
        <f>_xlfn.XLOOKUP(tblMeasure[[#This Row],[id_src]],tblSource[id_src],tblSource[discontinuity])</f>
        <v>2015</v>
      </c>
      <c r="AD196" s="15" t="str">
        <f>_xlfn.XLOOKUP(tblMeasure[[#This Row],[id_src]],tblSource[id_src],tblSource[publication_frequency])</f>
        <v>Annual</v>
      </c>
      <c r="AE196" s="15">
        <f>_xlfn.XLOOKUP(tblMeasure[[#This Row],[id_src]],tblSource[id_src],tblSource[publication_lag_months])</f>
        <v>7</v>
      </c>
      <c r="AF196" s="25" t="str">
        <f>_xlfn.XLOOKUP(tblMeasure[[#This Row],[id_src]],tblSource[id_src],tblSource[data_providers])</f>
        <v>LA</v>
      </c>
      <c r="AG196" s="25" t="str">
        <f>_xlfn.XLOOKUP(tblMeasure[[#This Row],[id_src]],tblSource[id_src],tblSource[statistic_class])</f>
        <v>National</v>
      </c>
      <c r="AH196" s="25" t="str">
        <f>_xlfn.XLOOKUP(tblMeasure[[#This Row],[id_src]],tblSource[id_src],tblSource[methodology_link])</f>
        <v>https://files.digital.nhs.uk/publicationimport/pub22xxx/pub22240/pss-exp-eng-15-16-fin-dq.pdf</v>
      </c>
      <c r="AI196" s="25" t="str">
        <f>_xlfn.XLOOKUP(tblMeasure[[#This Row],[id_src]],tblSource[id_src],tblSource[quality_issues])</f>
        <v>https://files.digital.nhs.uk/publicationimport/pub22xxx/pub22240/pss-exp-eng-15-16-fin-dq.pdf</v>
      </c>
      <c r="AJ196" s="25">
        <f>VLOOKUP(tblMeasure[[#This Row],[msr_population_or_survey]],strlu_msr_population_or_survey,2,FALSE)</f>
        <v>1</v>
      </c>
      <c r="AK196" s="25">
        <f>VLOOKUP(tblMeasure[[#This Row],[msr_min_geo_resolution]],strlu_msr_min_geo_resolution,2,FALSE)</f>
        <v>1</v>
      </c>
      <c r="AL196" s="25">
        <f>(MAX(tblMeasure[[#This Row],[src_year_last_published]]-2010+1,0)+MIN(2010-tblMeasure[[#This Row],[src_year_first_published]],0)-MAX(tblMeasure[[#This Row],[src_year_last_published]]-2019,0))/10</f>
        <v>0.7</v>
      </c>
      <c r="AM196" s="25">
        <f>IF(OR(tblMeasure[[#This Row],[src_discontinuity]]="None",tblMeasure[[#This Row],[src_discontinuity]]=0),1,0)</f>
        <v>0</v>
      </c>
      <c r="AN196" s="25">
        <f>VLOOKUP(tblMeasure[[#This Row],[src_pub_frequency]],strlu_src_pub_frequency,2,FALSE)</f>
        <v>0.8</v>
      </c>
      <c r="AO196" s="25">
        <f>VLOOKUP(tblMeasure[[#This Row],[src_pub_lag_months]],strlu_src_pub_lag_months,2,FALSE)</f>
        <v>0.3</v>
      </c>
      <c r="AP196" s="25">
        <f>VLOOKUP(tblMeasure[[#This Row],[src_statistic_class]],strlu_src_statistic_class,2,FALSE)</f>
        <v>1</v>
      </c>
      <c r="AQ196" s="25">
        <f>IF(tblMeasure[[#This Row],[src_methodology_url]]="TBD",0,1)</f>
        <v>1</v>
      </c>
      <c r="AR196" s="25">
        <f>IF(tblMeasure[[#This Row],[src_quality_url]]="TBD",0,1)</f>
        <v>1</v>
      </c>
      <c r="AS196" s="85" cm="1">
        <f t="array" ref="AS196">SUMPRODUCT(TRANSPOSE(tblMeasure[[#This Row],[str_msr_population_or_survey]:[str_src_quality_url]]),str_weights)/str_weights_total</f>
        <v>0.79230769230769238</v>
      </c>
    </row>
    <row r="197" spans="1:45" hidden="1" x14ac:dyDescent="0.15">
      <c r="A197" s="30">
        <v>195</v>
      </c>
      <c r="B197" s="15">
        <f>COUNTIF(requirement_measure_map!$D$3:$D$1514,measure!A197)</f>
        <v>2</v>
      </c>
      <c r="C197" s="30" t="s">
        <v>656</v>
      </c>
      <c r="D197" s="15" t="s">
        <v>64</v>
      </c>
      <c r="E197" s="15" t="s">
        <v>678</v>
      </c>
      <c r="F197" s="15" t="s">
        <v>791</v>
      </c>
      <c r="G197" s="29" t="s">
        <v>780</v>
      </c>
      <c r="H197" s="15"/>
      <c r="I197" s="15" t="s">
        <v>214</v>
      </c>
      <c r="J197" s="15" t="s">
        <v>215</v>
      </c>
      <c r="K197" s="15" t="s">
        <v>232</v>
      </c>
      <c r="L197" s="15" t="s">
        <v>217</v>
      </c>
      <c r="M197" s="15" t="s">
        <v>219</v>
      </c>
      <c r="N197" s="15" t="s">
        <v>219</v>
      </c>
      <c r="O197" s="15" t="s">
        <v>219</v>
      </c>
      <c r="P197" s="15" t="s">
        <v>349</v>
      </c>
      <c r="Q197" s="15" t="s">
        <v>219</v>
      </c>
      <c r="R197" s="15" t="s">
        <v>219</v>
      </c>
      <c r="S197" s="15" t="s">
        <v>219</v>
      </c>
      <c r="T197" s="15" t="s">
        <v>220</v>
      </c>
      <c r="U197" s="15" t="s">
        <v>219</v>
      </c>
      <c r="V197" s="15" t="s">
        <v>219</v>
      </c>
      <c r="W197" s="15">
        <v>10</v>
      </c>
      <c r="X197" s="15" t="str">
        <f>_xlfn.XLOOKUP(tblMeasure[[#This Row],[id_src]],tblSource[id_src],tblSource[org])</f>
        <v>NHS Digital</v>
      </c>
      <c r="Y197" s="15" t="str">
        <f>_xlfn.XLOOKUP(tblMeasure[[#This Row],[id_src]],tblSource[id_src],tblSource[source])</f>
        <v>Personal Social Services: Expenditure and Unit Costs</v>
      </c>
      <c r="Z197" s="15" t="str">
        <f>_xlfn.XLOOKUP(tblMeasure[[#This Row],[id_src]],tblSource[id_src],tblSource[url_source])</f>
        <v>https://digital.nhs.uk/data-and-information/publications/statistical/personal-social-services-expenditure-and-unit-costs</v>
      </c>
      <c r="AA197" s="15">
        <f>_xlfn.XLOOKUP(tblMeasure[[#This Row],[id_src]],tblSource[id_src],tblSource[year_first_published])</f>
        <v>2005</v>
      </c>
      <c r="AB197" s="15">
        <f>_xlfn.XLOOKUP(tblMeasure[[#This Row],[id_src]],tblSource[id_src],tblSource[year_last_published])</f>
        <v>2016</v>
      </c>
      <c r="AC197" s="15">
        <f>_xlfn.XLOOKUP(tblMeasure[[#This Row],[id_src]],tblSource[id_src],tblSource[discontinuity])</f>
        <v>2015</v>
      </c>
      <c r="AD197" s="15" t="str">
        <f>_xlfn.XLOOKUP(tblMeasure[[#This Row],[id_src]],tblSource[id_src],tblSource[publication_frequency])</f>
        <v>Annual</v>
      </c>
      <c r="AE197" s="15">
        <f>_xlfn.XLOOKUP(tblMeasure[[#This Row],[id_src]],tblSource[id_src],tblSource[publication_lag_months])</f>
        <v>7</v>
      </c>
      <c r="AF197" s="25" t="str">
        <f>_xlfn.XLOOKUP(tblMeasure[[#This Row],[id_src]],tblSource[id_src],tblSource[data_providers])</f>
        <v>LA</v>
      </c>
      <c r="AG197" s="25" t="str">
        <f>_xlfn.XLOOKUP(tblMeasure[[#This Row],[id_src]],tblSource[id_src],tblSource[statistic_class])</f>
        <v>National</v>
      </c>
      <c r="AH197" s="25" t="str">
        <f>_xlfn.XLOOKUP(tblMeasure[[#This Row],[id_src]],tblSource[id_src],tblSource[methodology_link])</f>
        <v>https://files.digital.nhs.uk/publicationimport/pub22xxx/pub22240/pss-exp-eng-15-16-fin-dq.pdf</v>
      </c>
      <c r="AI197" s="25" t="str">
        <f>_xlfn.XLOOKUP(tblMeasure[[#This Row],[id_src]],tblSource[id_src],tblSource[quality_issues])</f>
        <v>https://files.digital.nhs.uk/publicationimport/pub22xxx/pub22240/pss-exp-eng-15-16-fin-dq.pdf</v>
      </c>
      <c r="AJ197" s="25">
        <f>VLOOKUP(tblMeasure[[#This Row],[msr_population_or_survey]],strlu_msr_population_or_survey,2,FALSE)</f>
        <v>1</v>
      </c>
      <c r="AK197" s="25">
        <f>VLOOKUP(tblMeasure[[#This Row],[msr_min_geo_resolution]],strlu_msr_min_geo_resolution,2,FALSE)</f>
        <v>1</v>
      </c>
      <c r="AL197" s="25">
        <f>(MAX(tblMeasure[[#This Row],[src_year_last_published]]-2010+1,0)+MIN(2010-tblMeasure[[#This Row],[src_year_first_published]],0)-MAX(tblMeasure[[#This Row],[src_year_last_published]]-2019,0))/10</f>
        <v>0.7</v>
      </c>
      <c r="AM197" s="25">
        <f>IF(OR(tblMeasure[[#This Row],[src_discontinuity]]="None",tblMeasure[[#This Row],[src_discontinuity]]=0),1,0)</f>
        <v>0</v>
      </c>
      <c r="AN197" s="25">
        <f>VLOOKUP(tblMeasure[[#This Row],[src_pub_frequency]],strlu_src_pub_frequency,2,FALSE)</f>
        <v>0.8</v>
      </c>
      <c r="AO197" s="25">
        <f>VLOOKUP(tblMeasure[[#This Row],[src_pub_lag_months]],strlu_src_pub_lag_months,2,FALSE)</f>
        <v>0.3</v>
      </c>
      <c r="AP197" s="25">
        <f>VLOOKUP(tblMeasure[[#This Row],[src_statistic_class]],strlu_src_statistic_class,2,FALSE)</f>
        <v>1</v>
      </c>
      <c r="AQ197" s="25">
        <f>IF(tblMeasure[[#This Row],[src_methodology_url]]="TBD",0,1)</f>
        <v>1</v>
      </c>
      <c r="AR197" s="25">
        <f>IF(tblMeasure[[#This Row],[src_quality_url]]="TBD",0,1)</f>
        <v>1</v>
      </c>
      <c r="AS197" s="85" cm="1">
        <f t="array" ref="AS197">SUMPRODUCT(TRANSPOSE(tblMeasure[[#This Row],[str_msr_population_or_survey]:[str_src_quality_url]]),str_weights)/str_weights_total</f>
        <v>0.79230769230769238</v>
      </c>
    </row>
    <row r="198" spans="1:45" hidden="1" x14ac:dyDescent="0.15">
      <c r="A198" s="30">
        <v>196</v>
      </c>
      <c r="B198" s="15">
        <f>COUNTIF(requirement_measure_map!$D$3:$D$1514,measure!A198)</f>
        <v>0</v>
      </c>
      <c r="C198" s="30" t="s">
        <v>792</v>
      </c>
      <c r="D198" s="15" t="s">
        <v>64</v>
      </c>
      <c r="E198" s="15" t="s">
        <v>682</v>
      </c>
      <c r="F198" s="15" t="s">
        <v>793</v>
      </c>
      <c r="G198" s="29" t="s">
        <v>780</v>
      </c>
      <c r="H198" s="15"/>
      <c r="I198" s="15" t="s">
        <v>214</v>
      </c>
      <c r="J198" s="15" t="s">
        <v>215</v>
      </c>
      <c r="K198" s="15" t="s">
        <v>232</v>
      </c>
      <c r="L198" s="15" t="s">
        <v>233</v>
      </c>
      <c r="M198" s="15" t="s">
        <v>219</v>
      </c>
      <c r="N198" s="15" t="s">
        <v>219</v>
      </c>
      <c r="O198" s="15" t="s">
        <v>219</v>
      </c>
      <c r="P198" s="15" t="s">
        <v>219</v>
      </c>
      <c r="Q198" s="15" t="s">
        <v>219</v>
      </c>
      <c r="R198" s="15" t="s">
        <v>219</v>
      </c>
      <c r="S198" s="15" t="s">
        <v>219</v>
      </c>
      <c r="T198" s="15" t="s">
        <v>219</v>
      </c>
      <c r="U198" s="15" t="s">
        <v>219</v>
      </c>
      <c r="V198" s="15" t="s">
        <v>219</v>
      </c>
      <c r="W198" s="15">
        <v>10</v>
      </c>
      <c r="X198" s="15" t="str">
        <f>_xlfn.XLOOKUP(tblMeasure[[#This Row],[id_src]],tblSource[id_src],tblSource[org])</f>
        <v>NHS Digital</v>
      </c>
      <c r="Y198" s="15" t="str">
        <f>_xlfn.XLOOKUP(tblMeasure[[#This Row],[id_src]],tblSource[id_src],tblSource[source])</f>
        <v>Personal Social Services: Expenditure and Unit Costs</v>
      </c>
      <c r="Z198" s="15" t="str">
        <f>_xlfn.XLOOKUP(tblMeasure[[#This Row],[id_src]],tblSource[id_src],tblSource[url_source])</f>
        <v>https://digital.nhs.uk/data-and-information/publications/statistical/personal-social-services-expenditure-and-unit-costs</v>
      </c>
      <c r="AA198" s="15">
        <f>_xlfn.XLOOKUP(tblMeasure[[#This Row],[id_src]],tblSource[id_src],tblSource[year_first_published])</f>
        <v>2005</v>
      </c>
      <c r="AB198" s="15">
        <f>_xlfn.XLOOKUP(tblMeasure[[#This Row],[id_src]],tblSource[id_src],tblSource[year_last_published])</f>
        <v>2016</v>
      </c>
      <c r="AC198" s="15">
        <f>_xlfn.XLOOKUP(tblMeasure[[#This Row],[id_src]],tblSource[id_src],tblSource[discontinuity])</f>
        <v>2015</v>
      </c>
      <c r="AD198" s="15" t="str">
        <f>_xlfn.XLOOKUP(tblMeasure[[#This Row],[id_src]],tblSource[id_src],tblSource[publication_frequency])</f>
        <v>Annual</v>
      </c>
      <c r="AE198" s="15">
        <f>_xlfn.XLOOKUP(tblMeasure[[#This Row],[id_src]],tblSource[id_src],tblSource[publication_lag_months])</f>
        <v>7</v>
      </c>
      <c r="AF198" s="25" t="str">
        <f>_xlfn.XLOOKUP(tblMeasure[[#This Row],[id_src]],tblSource[id_src],tblSource[data_providers])</f>
        <v>LA</v>
      </c>
      <c r="AG198" s="25" t="str">
        <f>_xlfn.XLOOKUP(tblMeasure[[#This Row],[id_src]],tblSource[id_src],tblSource[statistic_class])</f>
        <v>National</v>
      </c>
      <c r="AH198" s="25" t="str">
        <f>_xlfn.XLOOKUP(tblMeasure[[#This Row],[id_src]],tblSource[id_src],tblSource[methodology_link])</f>
        <v>https://files.digital.nhs.uk/publicationimport/pub22xxx/pub22240/pss-exp-eng-15-16-fin-dq.pdf</v>
      </c>
      <c r="AI198" s="25" t="str">
        <f>_xlfn.XLOOKUP(tblMeasure[[#This Row],[id_src]],tblSource[id_src],tblSource[quality_issues])</f>
        <v>https://files.digital.nhs.uk/publicationimport/pub22xxx/pub22240/pss-exp-eng-15-16-fin-dq.pdf</v>
      </c>
      <c r="AJ198" s="25">
        <f>VLOOKUP(tblMeasure[[#This Row],[msr_population_or_survey]],strlu_msr_population_or_survey,2,FALSE)</f>
        <v>1</v>
      </c>
      <c r="AK198" s="25">
        <f>VLOOKUP(tblMeasure[[#This Row],[msr_min_geo_resolution]],strlu_msr_min_geo_resolution,2,FALSE)</f>
        <v>0</v>
      </c>
      <c r="AL198" s="25">
        <f>(MAX(tblMeasure[[#This Row],[src_year_last_published]]-2010+1,0)+MIN(2010-tblMeasure[[#This Row],[src_year_first_published]],0)-MAX(tblMeasure[[#This Row],[src_year_last_published]]-2019,0))/10</f>
        <v>0.7</v>
      </c>
      <c r="AM198" s="25">
        <f>IF(OR(tblMeasure[[#This Row],[src_discontinuity]]="None",tblMeasure[[#This Row],[src_discontinuity]]=0),1,0)</f>
        <v>0</v>
      </c>
      <c r="AN198" s="25">
        <f>VLOOKUP(tblMeasure[[#This Row],[src_pub_frequency]],strlu_src_pub_frequency,2,FALSE)</f>
        <v>0.8</v>
      </c>
      <c r="AO198" s="25">
        <f>VLOOKUP(tblMeasure[[#This Row],[src_pub_lag_months]],strlu_src_pub_lag_months,2,FALSE)</f>
        <v>0.3</v>
      </c>
      <c r="AP198" s="25">
        <f>VLOOKUP(tblMeasure[[#This Row],[src_statistic_class]],strlu_src_statistic_class,2,FALSE)</f>
        <v>1</v>
      </c>
      <c r="AQ198" s="25">
        <f>IF(tblMeasure[[#This Row],[src_methodology_url]]="TBD",0,1)</f>
        <v>1</v>
      </c>
      <c r="AR198" s="25">
        <f>IF(tblMeasure[[#This Row],[src_quality_url]]="TBD",0,1)</f>
        <v>1</v>
      </c>
      <c r="AS198" s="85" cm="1">
        <f t="array" ref="AS198">SUMPRODUCT(TRANSPOSE(tblMeasure[[#This Row],[str_msr_population_or_survey]:[str_src_quality_url]]),str_weights)/str_weights_total</f>
        <v>0.63846153846153852</v>
      </c>
    </row>
    <row r="199" spans="1:45" x14ac:dyDescent="0.15">
      <c r="A199" s="30">
        <v>197</v>
      </c>
      <c r="B199" s="15">
        <f>COUNTIF(requirement_measure_map!$D$3:$D$1514,measure!A199)</f>
        <v>6</v>
      </c>
      <c r="C199" s="30" t="s">
        <v>656</v>
      </c>
      <c r="D199" s="15" t="s">
        <v>372</v>
      </c>
      <c r="E199" s="15" t="s">
        <v>686</v>
      </c>
      <c r="F199" s="15" t="s">
        <v>794</v>
      </c>
      <c r="G199" s="29" t="s">
        <v>780</v>
      </c>
      <c r="H199" s="15"/>
      <c r="I199" s="15" t="s">
        <v>214</v>
      </c>
      <c r="J199" s="15" t="s">
        <v>215</v>
      </c>
      <c r="K199" s="15" t="s">
        <v>795</v>
      </c>
      <c r="L199" s="15" t="s">
        <v>217</v>
      </c>
      <c r="M199" s="15" t="s">
        <v>219</v>
      </c>
      <c r="N199" s="15" t="s">
        <v>219</v>
      </c>
      <c r="O199" s="15" t="s">
        <v>219</v>
      </c>
      <c r="P199" s="15" t="s">
        <v>243</v>
      </c>
      <c r="Q199" s="15" t="s">
        <v>219</v>
      </c>
      <c r="R199" s="15" t="s">
        <v>219</v>
      </c>
      <c r="S199" s="15" t="s">
        <v>219</v>
      </c>
      <c r="T199" s="15" t="s">
        <v>218</v>
      </c>
      <c r="U199" s="15" t="s">
        <v>218</v>
      </c>
      <c r="V199" s="15" t="s">
        <v>219</v>
      </c>
      <c r="W199" s="15">
        <v>10</v>
      </c>
      <c r="X199" s="15" t="str">
        <f>_xlfn.XLOOKUP(tblMeasure[[#This Row],[id_src]],tblSource[id_src],tblSource[org])</f>
        <v>NHS Digital</v>
      </c>
      <c r="Y199" s="15" t="str">
        <f>_xlfn.XLOOKUP(tblMeasure[[#This Row],[id_src]],tblSource[id_src],tblSource[source])</f>
        <v>Personal Social Services: Expenditure and Unit Costs</v>
      </c>
      <c r="Z199" s="15" t="str">
        <f>_xlfn.XLOOKUP(tblMeasure[[#This Row],[id_src]],tblSource[id_src],tblSource[url_source])</f>
        <v>https://digital.nhs.uk/data-and-information/publications/statistical/personal-social-services-expenditure-and-unit-costs</v>
      </c>
      <c r="AA199" s="15">
        <f>_xlfn.XLOOKUP(tblMeasure[[#This Row],[id_src]],tblSource[id_src],tblSource[year_first_published])</f>
        <v>2005</v>
      </c>
      <c r="AB199" s="15">
        <f>_xlfn.XLOOKUP(tblMeasure[[#This Row],[id_src]],tblSource[id_src],tblSource[year_last_published])</f>
        <v>2016</v>
      </c>
      <c r="AC199" s="15">
        <f>_xlfn.XLOOKUP(tblMeasure[[#This Row],[id_src]],tblSource[id_src],tblSource[discontinuity])</f>
        <v>2015</v>
      </c>
      <c r="AD199" s="15" t="str">
        <f>_xlfn.XLOOKUP(tblMeasure[[#This Row],[id_src]],tblSource[id_src],tblSource[publication_frequency])</f>
        <v>Annual</v>
      </c>
      <c r="AE199" s="15">
        <f>_xlfn.XLOOKUP(tblMeasure[[#This Row],[id_src]],tblSource[id_src],tblSource[publication_lag_months])</f>
        <v>7</v>
      </c>
      <c r="AF199" s="25" t="str">
        <f>_xlfn.XLOOKUP(tblMeasure[[#This Row],[id_src]],tblSource[id_src],tblSource[data_providers])</f>
        <v>LA</v>
      </c>
      <c r="AG199" s="25" t="str">
        <f>_xlfn.XLOOKUP(tblMeasure[[#This Row],[id_src]],tblSource[id_src],tblSource[statistic_class])</f>
        <v>National</v>
      </c>
      <c r="AH199" s="25" t="str">
        <f>_xlfn.XLOOKUP(tblMeasure[[#This Row],[id_src]],tblSource[id_src],tblSource[methodology_link])</f>
        <v>https://files.digital.nhs.uk/publicationimport/pub22xxx/pub22240/pss-exp-eng-15-16-fin-dq.pdf</v>
      </c>
      <c r="AI199" s="25" t="str">
        <f>_xlfn.XLOOKUP(tblMeasure[[#This Row],[id_src]],tblSource[id_src],tblSource[quality_issues])</f>
        <v>https://files.digital.nhs.uk/publicationimport/pub22xxx/pub22240/pss-exp-eng-15-16-fin-dq.pdf</v>
      </c>
      <c r="AJ199" s="25">
        <f>VLOOKUP(tblMeasure[[#This Row],[msr_population_or_survey]],strlu_msr_population_or_survey,2,FALSE)</f>
        <v>1</v>
      </c>
      <c r="AK199" s="25">
        <f>VLOOKUP(tblMeasure[[#This Row],[msr_min_geo_resolution]],strlu_msr_min_geo_resolution,2,FALSE)</f>
        <v>1</v>
      </c>
      <c r="AL199" s="25">
        <f>(MAX(tblMeasure[[#This Row],[src_year_last_published]]-2010+1,0)+MIN(2010-tblMeasure[[#This Row],[src_year_first_published]],0)-MAX(tblMeasure[[#This Row],[src_year_last_published]]-2019,0))/10</f>
        <v>0.7</v>
      </c>
      <c r="AM199" s="25">
        <f>IF(OR(tblMeasure[[#This Row],[src_discontinuity]]="None",tblMeasure[[#This Row],[src_discontinuity]]=0),1,0)</f>
        <v>0</v>
      </c>
      <c r="AN199" s="25">
        <f>VLOOKUP(tblMeasure[[#This Row],[src_pub_frequency]],strlu_src_pub_frequency,2,FALSE)</f>
        <v>0.8</v>
      </c>
      <c r="AO199" s="25">
        <f>VLOOKUP(tblMeasure[[#This Row],[src_pub_lag_months]],strlu_src_pub_lag_months,2,FALSE)</f>
        <v>0.3</v>
      </c>
      <c r="AP199" s="25">
        <f>VLOOKUP(tblMeasure[[#This Row],[src_statistic_class]],strlu_src_statistic_class,2,FALSE)</f>
        <v>1</v>
      </c>
      <c r="AQ199" s="25">
        <f>IF(tblMeasure[[#This Row],[src_methodology_url]]="TBD",0,1)</f>
        <v>1</v>
      </c>
      <c r="AR199" s="25">
        <f>IF(tblMeasure[[#This Row],[src_quality_url]]="TBD",0,1)</f>
        <v>1</v>
      </c>
      <c r="AS199" s="85" cm="1">
        <f t="array" ref="AS199">SUMPRODUCT(TRANSPOSE(tblMeasure[[#This Row],[str_msr_population_or_survey]:[str_src_quality_url]]),str_weights)/str_weights_total</f>
        <v>0.79230769230769238</v>
      </c>
    </row>
    <row r="200" spans="1:45" hidden="1" x14ac:dyDescent="0.15">
      <c r="A200" s="30">
        <v>198</v>
      </c>
      <c r="B200" s="15">
        <f>COUNTIF(requirement_measure_map!$D$3:$D$1514,measure!A200)</f>
        <v>5</v>
      </c>
      <c r="C200" s="30" t="s">
        <v>656</v>
      </c>
      <c r="D200" s="15" t="s">
        <v>372</v>
      </c>
      <c r="E200" s="15" t="s">
        <v>690</v>
      </c>
      <c r="F200" s="15" t="s">
        <v>796</v>
      </c>
      <c r="G200" s="29" t="s">
        <v>780</v>
      </c>
      <c r="H200" s="15"/>
      <c r="I200" s="15" t="s">
        <v>214</v>
      </c>
      <c r="J200" s="15" t="s">
        <v>215</v>
      </c>
      <c r="K200" s="15" t="s">
        <v>795</v>
      </c>
      <c r="L200" s="15" t="s">
        <v>217</v>
      </c>
      <c r="M200" s="15" t="s">
        <v>218</v>
      </c>
      <c r="N200" s="15" t="s">
        <v>219</v>
      </c>
      <c r="O200" s="15" t="s">
        <v>219</v>
      </c>
      <c r="P200" s="15" t="s">
        <v>219</v>
      </c>
      <c r="Q200" s="15" t="s">
        <v>219</v>
      </c>
      <c r="R200" s="15" t="s">
        <v>219</v>
      </c>
      <c r="S200" s="15" t="s">
        <v>219</v>
      </c>
      <c r="T200" s="15" t="s">
        <v>220</v>
      </c>
      <c r="U200" s="15" t="s">
        <v>218</v>
      </c>
      <c r="V200" s="15" t="s">
        <v>219</v>
      </c>
      <c r="W200" s="15">
        <v>10</v>
      </c>
      <c r="X200" s="15" t="str">
        <f>_xlfn.XLOOKUP(tblMeasure[[#This Row],[id_src]],tblSource[id_src],tblSource[org])</f>
        <v>NHS Digital</v>
      </c>
      <c r="Y200" s="15" t="str">
        <f>_xlfn.XLOOKUP(tblMeasure[[#This Row],[id_src]],tblSource[id_src],tblSource[source])</f>
        <v>Personal Social Services: Expenditure and Unit Costs</v>
      </c>
      <c r="Z200" s="15" t="str">
        <f>_xlfn.XLOOKUP(tblMeasure[[#This Row],[id_src]],tblSource[id_src],tblSource[url_source])</f>
        <v>https://digital.nhs.uk/data-and-information/publications/statistical/personal-social-services-expenditure-and-unit-costs</v>
      </c>
      <c r="AA200" s="15">
        <f>_xlfn.XLOOKUP(tblMeasure[[#This Row],[id_src]],tblSource[id_src],tblSource[year_first_published])</f>
        <v>2005</v>
      </c>
      <c r="AB200" s="15">
        <f>_xlfn.XLOOKUP(tblMeasure[[#This Row],[id_src]],tblSource[id_src],tblSource[year_last_published])</f>
        <v>2016</v>
      </c>
      <c r="AC200" s="15">
        <f>_xlfn.XLOOKUP(tblMeasure[[#This Row],[id_src]],tblSource[id_src],tblSource[discontinuity])</f>
        <v>2015</v>
      </c>
      <c r="AD200" s="15" t="str">
        <f>_xlfn.XLOOKUP(tblMeasure[[#This Row],[id_src]],tblSource[id_src],tblSource[publication_frequency])</f>
        <v>Annual</v>
      </c>
      <c r="AE200" s="15">
        <f>_xlfn.XLOOKUP(tblMeasure[[#This Row],[id_src]],tblSource[id_src],tblSource[publication_lag_months])</f>
        <v>7</v>
      </c>
      <c r="AF200" s="25" t="str">
        <f>_xlfn.XLOOKUP(tblMeasure[[#This Row],[id_src]],tblSource[id_src],tblSource[data_providers])</f>
        <v>LA</v>
      </c>
      <c r="AG200" s="25" t="str">
        <f>_xlfn.XLOOKUP(tblMeasure[[#This Row],[id_src]],tblSource[id_src],tblSource[statistic_class])</f>
        <v>National</v>
      </c>
      <c r="AH200" s="25" t="str">
        <f>_xlfn.XLOOKUP(tblMeasure[[#This Row],[id_src]],tblSource[id_src],tblSource[methodology_link])</f>
        <v>https://files.digital.nhs.uk/publicationimport/pub22xxx/pub22240/pss-exp-eng-15-16-fin-dq.pdf</v>
      </c>
      <c r="AI200" s="25" t="str">
        <f>_xlfn.XLOOKUP(tblMeasure[[#This Row],[id_src]],tblSource[id_src],tblSource[quality_issues])</f>
        <v>https://files.digital.nhs.uk/publicationimport/pub22xxx/pub22240/pss-exp-eng-15-16-fin-dq.pdf</v>
      </c>
      <c r="AJ200" s="25">
        <f>VLOOKUP(tblMeasure[[#This Row],[msr_population_or_survey]],strlu_msr_population_or_survey,2,FALSE)</f>
        <v>1</v>
      </c>
      <c r="AK200" s="25">
        <f>VLOOKUP(tblMeasure[[#This Row],[msr_min_geo_resolution]],strlu_msr_min_geo_resolution,2,FALSE)</f>
        <v>1</v>
      </c>
      <c r="AL200" s="25">
        <f>(MAX(tblMeasure[[#This Row],[src_year_last_published]]-2010+1,0)+MIN(2010-tblMeasure[[#This Row],[src_year_first_published]],0)-MAX(tblMeasure[[#This Row],[src_year_last_published]]-2019,0))/10</f>
        <v>0.7</v>
      </c>
      <c r="AM200" s="25">
        <f>IF(OR(tblMeasure[[#This Row],[src_discontinuity]]="None",tblMeasure[[#This Row],[src_discontinuity]]=0),1,0)</f>
        <v>0</v>
      </c>
      <c r="AN200" s="25">
        <f>VLOOKUP(tblMeasure[[#This Row],[src_pub_frequency]],strlu_src_pub_frequency,2,FALSE)</f>
        <v>0.8</v>
      </c>
      <c r="AO200" s="25">
        <f>VLOOKUP(tblMeasure[[#This Row],[src_pub_lag_months]],strlu_src_pub_lag_months,2,FALSE)</f>
        <v>0.3</v>
      </c>
      <c r="AP200" s="25">
        <f>VLOOKUP(tblMeasure[[#This Row],[src_statistic_class]],strlu_src_statistic_class,2,FALSE)</f>
        <v>1</v>
      </c>
      <c r="AQ200" s="25">
        <f>IF(tblMeasure[[#This Row],[src_methodology_url]]="TBD",0,1)</f>
        <v>1</v>
      </c>
      <c r="AR200" s="25">
        <f>IF(tblMeasure[[#This Row],[src_quality_url]]="TBD",0,1)</f>
        <v>1</v>
      </c>
      <c r="AS200" s="85" cm="1">
        <f t="array" ref="AS200">SUMPRODUCT(TRANSPOSE(tblMeasure[[#This Row],[str_msr_population_or_survey]:[str_src_quality_url]]),str_weights)/str_weights_total</f>
        <v>0.79230769230769238</v>
      </c>
    </row>
    <row r="201" spans="1:45" hidden="1" x14ac:dyDescent="0.15">
      <c r="A201" s="30">
        <v>199</v>
      </c>
      <c r="B201" s="15">
        <f>COUNTIF(requirement_measure_map!$D$3:$D$1514,measure!A201)</f>
        <v>3</v>
      </c>
      <c r="C201" s="30" t="s">
        <v>656</v>
      </c>
      <c r="D201" s="15" t="s">
        <v>372</v>
      </c>
      <c r="E201" s="15" t="s">
        <v>694</v>
      </c>
      <c r="F201" s="15" t="s">
        <v>797</v>
      </c>
      <c r="G201" s="29" t="s">
        <v>780</v>
      </c>
      <c r="H201" s="15"/>
      <c r="I201" s="15" t="s">
        <v>214</v>
      </c>
      <c r="J201" s="15" t="s">
        <v>215</v>
      </c>
      <c r="K201" s="15" t="s">
        <v>795</v>
      </c>
      <c r="L201" s="15" t="s">
        <v>217</v>
      </c>
      <c r="M201" s="15" t="s">
        <v>219</v>
      </c>
      <c r="N201" s="15" t="s">
        <v>219</v>
      </c>
      <c r="O201" s="15" t="s">
        <v>219</v>
      </c>
      <c r="P201" s="15" t="s">
        <v>219</v>
      </c>
      <c r="Q201" s="15" t="s">
        <v>219</v>
      </c>
      <c r="R201" s="15" t="s">
        <v>219</v>
      </c>
      <c r="S201" s="15" t="s">
        <v>219</v>
      </c>
      <c r="T201" s="15" t="s">
        <v>220</v>
      </c>
      <c r="U201" s="15" t="s">
        <v>219</v>
      </c>
      <c r="V201" s="15" t="s">
        <v>219</v>
      </c>
      <c r="W201" s="15">
        <v>10</v>
      </c>
      <c r="X201" s="15" t="str">
        <f>_xlfn.XLOOKUP(tblMeasure[[#This Row],[id_src]],tblSource[id_src],tblSource[org])</f>
        <v>NHS Digital</v>
      </c>
      <c r="Y201" s="15" t="str">
        <f>_xlfn.XLOOKUP(tblMeasure[[#This Row],[id_src]],tblSource[id_src],tblSource[source])</f>
        <v>Personal Social Services: Expenditure and Unit Costs</v>
      </c>
      <c r="Z201" s="15" t="str">
        <f>_xlfn.XLOOKUP(tblMeasure[[#This Row],[id_src]],tblSource[id_src],tblSource[url_source])</f>
        <v>https://digital.nhs.uk/data-and-information/publications/statistical/personal-social-services-expenditure-and-unit-costs</v>
      </c>
      <c r="AA201" s="15">
        <f>_xlfn.XLOOKUP(tblMeasure[[#This Row],[id_src]],tblSource[id_src],tblSource[year_first_published])</f>
        <v>2005</v>
      </c>
      <c r="AB201" s="15">
        <f>_xlfn.XLOOKUP(tblMeasure[[#This Row],[id_src]],tblSource[id_src],tblSource[year_last_published])</f>
        <v>2016</v>
      </c>
      <c r="AC201" s="15">
        <f>_xlfn.XLOOKUP(tblMeasure[[#This Row],[id_src]],tblSource[id_src],tblSource[discontinuity])</f>
        <v>2015</v>
      </c>
      <c r="AD201" s="15" t="str">
        <f>_xlfn.XLOOKUP(tblMeasure[[#This Row],[id_src]],tblSource[id_src],tblSource[publication_frequency])</f>
        <v>Annual</v>
      </c>
      <c r="AE201" s="15">
        <f>_xlfn.XLOOKUP(tblMeasure[[#This Row],[id_src]],tblSource[id_src],tblSource[publication_lag_months])</f>
        <v>7</v>
      </c>
      <c r="AF201" s="25" t="str">
        <f>_xlfn.XLOOKUP(tblMeasure[[#This Row],[id_src]],tblSource[id_src],tblSource[data_providers])</f>
        <v>LA</v>
      </c>
      <c r="AG201" s="25" t="str">
        <f>_xlfn.XLOOKUP(tblMeasure[[#This Row],[id_src]],tblSource[id_src],tblSource[statistic_class])</f>
        <v>National</v>
      </c>
      <c r="AH201" s="25" t="str">
        <f>_xlfn.XLOOKUP(tblMeasure[[#This Row],[id_src]],tblSource[id_src],tblSource[methodology_link])</f>
        <v>https://files.digital.nhs.uk/publicationimport/pub22xxx/pub22240/pss-exp-eng-15-16-fin-dq.pdf</v>
      </c>
      <c r="AI201" s="25" t="str">
        <f>_xlfn.XLOOKUP(tblMeasure[[#This Row],[id_src]],tblSource[id_src],tblSource[quality_issues])</f>
        <v>https://files.digital.nhs.uk/publicationimport/pub22xxx/pub22240/pss-exp-eng-15-16-fin-dq.pdf</v>
      </c>
      <c r="AJ201" s="25">
        <f>VLOOKUP(tblMeasure[[#This Row],[msr_population_or_survey]],strlu_msr_population_or_survey,2,FALSE)</f>
        <v>1</v>
      </c>
      <c r="AK201" s="25">
        <f>VLOOKUP(tblMeasure[[#This Row],[msr_min_geo_resolution]],strlu_msr_min_geo_resolution,2,FALSE)</f>
        <v>1</v>
      </c>
      <c r="AL201" s="25">
        <f>(MAX(tblMeasure[[#This Row],[src_year_last_published]]-2010+1,0)+MIN(2010-tblMeasure[[#This Row],[src_year_first_published]],0)-MAX(tblMeasure[[#This Row],[src_year_last_published]]-2019,0))/10</f>
        <v>0.7</v>
      </c>
      <c r="AM201" s="25">
        <f>IF(OR(tblMeasure[[#This Row],[src_discontinuity]]="None",tblMeasure[[#This Row],[src_discontinuity]]=0),1,0)</f>
        <v>0</v>
      </c>
      <c r="AN201" s="25">
        <f>VLOOKUP(tblMeasure[[#This Row],[src_pub_frequency]],strlu_src_pub_frequency,2,FALSE)</f>
        <v>0.8</v>
      </c>
      <c r="AO201" s="25">
        <f>VLOOKUP(tblMeasure[[#This Row],[src_pub_lag_months]],strlu_src_pub_lag_months,2,FALSE)</f>
        <v>0.3</v>
      </c>
      <c r="AP201" s="25">
        <f>VLOOKUP(tblMeasure[[#This Row],[src_statistic_class]],strlu_src_statistic_class,2,FALSE)</f>
        <v>1</v>
      </c>
      <c r="AQ201" s="25">
        <f>IF(tblMeasure[[#This Row],[src_methodology_url]]="TBD",0,1)</f>
        <v>1</v>
      </c>
      <c r="AR201" s="25">
        <f>IF(tblMeasure[[#This Row],[src_quality_url]]="TBD",0,1)</f>
        <v>1</v>
      </c>
      <c r="AS201" s="85" cm="1">
        <f t="array" ref="AS201">SUMPRODUCT(TRANSPOSE(tblMeasure[[#This Row],[str_msr_population_or_survey]:[str_src_quality_url]]),str_weights)/str_weights_total</f>
        <v>0.79230769230769238</v>
      </c>
    </row>
    <row r="202" spans="1:45" hidden="1" x14ac:dyDescent="0.15">
      <c r="A202" s="30">
        <v>200</v>
      </c>
      <c r="B202" s="15">
        <f>COUNTIF(requirement_measure_map!$D$3:$D$1514,measure!A202)</f>
        <v>3</v>
      </c>
      <c r="C202" s="30" t="s">
        <v>656</v>
      </c>
      <c r="D202" s="15" t="s">
        <v>372</v>
      </c>
      <c r="E202" s="15" t="s">
        <v>698</v>
      </c>
      <c r="F202" s="15" t="s">
        <v>798</v>
      </c>
      <c r="G202" s="29" t="s">
        <v>780</v>
      </c>
      <c r="H202" s="15"/>
      <c r="I202" s="15" t="s">
        <v>214</v>
      </c>
      <c r="J202" s="15" t="s">
        <v>215</v>
      </c>
      <c r="K202" s="15" t="s">
        <v>799</v>
      </c>
      <c r="L202" s="15" t="s">
        <v>217</v>
      </c>
      <c r="M202" s="15" t="s">
        <v>219</v>
      </c>
      <c r="N202" s="15" t="s">
        <v>219</v>
      </c>
      <c r="O202" s="15" t="s">
        <v>219</v>
      </c>
      <c r="P202" s="15" t="s">
        <v>219</v>
      </c>
      <c r="Q202" s="15" t="s">
        <v>219</v>
      </c>
      <c r="R202" s="15" t="s">
        <v>219</v>
      </c>
      <c r="S202" s="15" t="s">
        <v>218</v>
      </c>
      <c r="T202" s="15" t="s">
        <v>219</v>
      </c>
      <c r="U202" s="15" t="s">
        <v>220</v>
      </c>
      <c r="V202" s="15" t="s">
        <v>219</v>
      </c>
      <c r="W202" s="15">
        <v>10</v>
      </c>
      <c r="X202" s="15" t="str">
        <f>_xlfn.XLOOKUP(tblMeasure[[#This Row],[id_src]],tblSource[id_src],tblSource[org])</f>
        <v>NHS Digital</v>
      </c>
      <c r="Y202" s="15" t="str">
        <f>_xlfn.XLOOKUP(tblMeasure[[#This Row],[id_src]],tblSource[id_src],tblSource[source])</f>
        <v>Personal Social Services: Expenditure and Unit Costs</v>
      </c>
      <c r="Z202" s="15" t="str">
        <f>_xlfn.XLOOKUP(tblMeasure[[#This Row],[id_src]],tblSource[id_src],tblSource[url_source])</f>
        <v>https://digital.nhs.uk/data-and-information/publications/statistical/personal-social-services-expenditure-and-unit-costs</v>
      </c>
      <c r="AA202" s="15">
        <f>_xlfn.XLOOKUP(tblMeasure[[#This Row],[id_src]],tblSource[id_src],tblSource[year_first_published])</f>
        <v>2005</v>
      </c>
      <c r="AB202" s="15">
        <f>_xlfn.XLOOKUP(tblMeasure[[#This Row],[id_src]],tblSource[id_src],tblSource[year_last_published])</f>
        <v>2016</v>
      </c>
      <c r="AC202" s="15">
        <f>_xlfn.XLOOKUP(tblMeasure[[#This Row],[id_src]],tblSource[id_src],tblSource[discontinuity])</f>
        <v>2015</v>
      </c>
      <c r="AD202" s="15" t="str">
        <f>_xlfn.XLOOKUP(tblMeasure[[#This Row],[id_src]],tblSource[id_src],tblSource[publication_frequency])</f>
        <v>Annual</v>
      </c>
      <c r="AE202" s="15">
        <f>_xlfn.XLOOKUP(tblMeasure[[#This Row],[id_src]],tblSource[id_src],tblSource[publication_lag_months])</f>
        <v>7</v>
      </c>
      <c r="AF202" s="25" t="str">
        <f>_xlfn.XLOOKUP(tblMeasure[[#This Row],[id_src]],tblSource[id_src],tblSource[data_providers])</f>
        <v>LA</v>
      </c>
      <c r="AG202" s="25" t="str">
        <f>_xlfn.XLOOKUP(tblMeasure[[#This Row],[id_src]],tblSource[id_src],tblSource[statistic_class])</f>
        <v>National</v>
      </c>
      <c r="AH202" s="25" t="str">
        <f>_xlfn.XLOOKUP(tblMeasure[[#This Row],[id_src]],tblSource[id_src],tblSource[methodology_link])</f>
        <v>https://files.digital.nhs.uk/publicationimport/pub22xxx/pub22240/pss-exp-eng-15-16-fin-dq.pdf</v>
      </c>
      <c r="AI202" s="25" t="str">
        <f>_xlfn.XLOOKUP(tblMeasure[[#This Row],[id_src]],tblSource[id_src],tblSource[quality_issues])</f>
        <v>https://files.digital.nhs.uk/publicationimport/pub22xxx/pub22240/pss-exp-eng-15-16-fin-dq.pdf</v>
      </c>
      <c r="AJ202" s="25">
        <f>VLOOKUP(tblMeasure[[#This Row],[msr_population_or_survey]],strlu_msr_population_or_survey,2,FALSE)</f>
        <v>1</v>
      </c>
      <c r="AK202" s="25">
        <f>VLOOKUP(tblMeasure[[#This Row],[msr_min_geo_resolution]],strlu_msr_min_geo_resolution,2,FALSE)</f>
        <v>1</v>
      </c>
      <c r="AL202" s="25">
        <f>(MAX(tblMeasure[[#This Row],[src_year_last_published]]-2010+1,0)+MIN(2010-tblMeasure[[#This Row],[src_year_first_published]],0)-MAX(tblMeasure[[#This Row],[src_year_last_published]]-2019,0))/10</f>
        <v>0.7</v>
      </c>
      <c r="AM202" s="25">
        <f>IF(OR(tblMeasure[[#This Row],[src_discontinuity]]="None",tblMeasure[[#This Row],[src_discontinuity]]=0),1,0)</f>
        <v>0</v>
      </c>
      <c r="AN202" s="25">
        <f>VLOOKUP(tblMeasure[[#This Row],[src_pub_frequency]],strlu_src_pub_frequency,2,FALSE)</f>
        <v>0.8</v>
      </c>
      <c r="AO202" s="25">
        <f>VLOOKUP(tblMeasure[[#This Row],[src_pub_lag_months]],strlu_src_pub_lag_months,2,FALSE)</f>
        <v>0.3</v>
      </c>
      <c r="AP202" s="25">
        <f>VLOOKUP(tblMeasure[[#This Row],[src_statistic_class]],strlu_src_statistic_class,2,FALSE)</f>
        <v>1</v>
      </c>
      <c r="AQ202" s="25">
        <f>IF(tblMeasure[[#This Row],[src_methodology_url]]="TBD",0,1)</f>
        <v>1</v>
      </c>
      <c r="AR202" s="25">
        <f>IF(tblMeasure[[#This Row],[src_quality_url]]="TBD",0,1)</f>
        <v>1</v>
      </c>
      <c r="AS202" s="85" cm="1">
        <f t="array" ref="AS202">SUMPRODUCT(TRANSPOSE(tblMeasure[[#This Row],[str_msr_population_or_survey]:[str_src_quality_url]]),str_weights)/str_weights_total</f>
        <v>0.79230769230769238</v>
      </c>
    </row>
    <row r="203" spans="1:45" hidden="1" x14ac:dyDescent="0.15">
      <c r="A203" s="30">
        <v>201</v>
      </c>
      <c r="B203" s="15">
        <f>COUNTIF(requirement_measure_map!$D$3:$D$1514,measure!A203)</f>
        <v>0</v>
      </c>
      <c r="C203" s="30" t="s">
        <v>800</v>
      </c>
      <c r="D203" s="15" t="s">
        <v>801</v>
      </c>
      <c r="E203" s="15" t="s">
        <v>702</v>
      </c>
      <c r="F203" s="15" t="s">
        <v>802</v>
      </c>
      <c r="G203" s="29" t="s">
        <v>780</v>
      </c>
      <c r="H203" s="15"/>
      <c r="I203" s="15" t="s">
        <v>214</v>
      </c>
      <c r="J203" s="15" t="s">
        <v>215</v>
      </c>
      <c r="K203" s="15" t="s">
        <v>803</v>
      </c>
      <c r="L203" s="15" t="s">
        <v>233</v>
      </c>
      <c r="M203" s="15" t="s">
        <v>219</v>
      </c>
      <c r="N203" s="15" t="s">
        <v>219</v>
      </c>
      <c r="O203" s="15" t="s">
        <v>219</v>
      </c>
      <c r="P203" s="15" t="s">
        <v>219</v>
      </c>
      <c r="Q203" s="15" t="s">
        <v>219</v>
      </c>
      <c r="R203" s="15" t="s">
        <v>219</v>
      </c>
      <c r="S203" s="15" t="s">
        <v>219</v>
      </c>
      <c r="T203" s="15" t="s">
        <v>219</v>
      </c>
      <c r="U203" s="15" t="s">
        <v>219</v>
      </c>
      <c r="V203" s="15" t="s">
        <v>219</v>
      </c>
      <c r="W203" s="15">
        <v>10</v>
      </c>
      <c r="X203" s="15" t="str">
        <f>_xlfn.XLOOKUP(tblMeasure[[#This Row],[id_src]],tblSource[id_src],tblSource[org])</f>
        <v>NHS Digital</v>
      </c>
      <c r="Y203" s="15" t="str">
        <f>_xlfn.XLOOKUP(tblMeasure[[#This Row],[id_src]],tblSource[id_src],tblSource[source])</f>
        <v>Personal Social Services: Expenditure and Unit Costs</v>
      </c>
      <c r="Z203" s="15" t="str">
        <f>_xlfn.XLOOKUP(tblMeasure[[#This Row],[id_src]],tblSource[id_src],tblSource[url_source])</f>
        <v>https://digital.nhs.uk/data-and-information/publications/statistical/personal-social-services-expenditure-and-unit-costs</v>
      </c>
      <c r="AA203" s="15">
        <f>_xlfn.XLOOKUP(tblMeasure[[#This Row],[id_src]],tblSource[id_src],tblSource[year_first_published])</f>
        <v>2005</v>
      </c>
      <c r="AB203" s="15">
        <f>_xlfn.XLOOKUP(tblMeasure[[#This Row],[id_src]],tblSource[id_src],tblSource[year_last_published])</f>
        <v>2016</v>
      </c>
      <c r="AC203" s="15">
        <f>_xlfn.XLOOKUP(tblMeasure[[#This Row],[id_src]],tblSource[id_src],tblSource[discontinuity])</f>
        <v>2015</v>
      </c>
      <c r="AD203" s="15" t="str">
        <f>_xlfn.XLOOKUP(tblMeasure[[#This Row],[id_src]],tblSource[id_src],tblSource[publication_frequency])</f>
        <v>Annual</v>
      </c>
      <c r="AE203" s="15">
        <f>_xlfn.XLOOKUP(tblMeasure[[#This Row],[id_src]],tblSource[id_src],tblSource[publication_lag_months])</f>
        <v>7</v>
      </c>
      <c r="AF203" s="25" t="str">
        <f>_xlfn.XLOOKUP(tblMeasure[[#This Row],[id_src]],tblSource[id_src],tblSource[data_providers])</f>
        <v>LA</v>
      </c>
      <c r="AG203" s="25" t="str">
        <f>_xlfn.XLOOKUP(tblMeasure[[#This Row],[id_src]],tblSource[id_src],tblSource[statistic_class])</f>
        <v>National</v>
      </c>
      <c r="AH203" s="25" t="str">
        <f>_xlfn.XLOOKUP(tblMeasure[[#This Row],[id_src]],tblSource[id_src],tblSource[methodology_link])</f>
        <v>https://files.digital.nhs.uk/publicationimport/pub22xxx/pub22240/pss-exp-eng-15-16-fin-dq.pdf</v>
      </c>
      <c r="AI203" s="25" t="str">
        <f>_xlfn.XLOOKUP(tblMeasure[[#This Row],[id_src]],tblSource[id_src],tblSource[quality_issues])</f>
        <v>https://files.digital.nhs.uk/publicationimport/pub22xxx/pub22240/pss-exp-eng-15-16-fin-dq.pdf</v>
      </c>
      <c r="AJ203" s="25">
        <f>VLOOKUP(tblMeasure[[#This Row],[msr_population_or_survey]],strlu_msr_population_or_survey,2,FALSE)</f>
        <v>1</v>
      </c>
      <c r="AK203" s="25">
        <f>VLOOKUP(tblMeasure[[#This Row],[msr_min_geo_resolution]],strlu_msr_min_geo_resolution,2,FALSE)</f>
        <v>0</v>
      </c>
      <c r="AL203" s="25">
        <f>(MAX(tblMeasure[[#This Row],[src_year_last_published]]-2010+1,0)+MIN(2010-tblMeasure[[#This Row],[src_year_first_published]],0)-MAX(tblMeasure[[#This Row],[src_year_last_published]]-2019,0))/10</f>
        <v>0.7</v>
      </c>
      <c r="AM203" s="25">
        <f>IF(OR(tblMeasure[[#This Row],[src_discontinuity]]="None",tblMeasure[[#This Row],[src_discontinuity]]=0),1,0)</f>
        <v>0</v>
      </c>
      <c r="AN203" s="25">
        <f>VLOOKUP(tblMeasure[[#This Row],[src_pub_frequency]],strlu_src_pub_frequency,2,FALSE)</f>
        <v>0.8</v>
      </c>
      <c r="AO203" s="25">
        <f>VLOOKUP(tblMeasure[[#This Row],[src_pub_lag_months]],strlu_src_pub_lag_months,2,FALSE)</f>
        <v>0.3</v>
      </c>
      <c r="AP203" s="25">
        <f>VLOOKUP(tblMeasure[[#This Row],[src_statistic_class]],strlu_src_statistic_class,2,FALSE)</f>
        <v>1</v>
      </c>
      <c r="AQ203" s="25">
        <f>IF(tblMeasure[[#This Row],[src_methodology_url]]="TBD",0,1)</f>
        <v>1</v>
      </c>
      <c r="AR203" s="25">
        <f>IF(tblMeasure[[#This Row],[src_quality_url]]="TBD",0,1)</f>
        <v>1</v>
      </c>
      <c r="AS203" s="85" cm="1">
        <f t="array" ref="AS203">SUMPRODUCT(TRANSPOSE(tblMeasure[[#This Row],[str_msr_population_or_survey]:[str_src_quality_url]]),str_weights)/str_weights_total</f>
        <v>0.63846153846153852</v>
      </c>
    </row>
    <row r="204" spans="1:45" hidden="1" x14ac:dyDescent="0.15">
      <c r="A204" s="30">
        <v>202</v>
      </c>
      <c r="B204" s="15">
        <f>COUNTIF(requirement_measure_map!$D$3:$D$1514,measure!A204)</f>
        <v>1</v>
      </c>
      <c r="C204" s="30" t="s">
        <v>656</v>
      </c>
      <c r="D204" s="15" t="s">
        <v>804</v>
      </c>
      <c r="E204" s="15" t="s">
        <v>579</v>
      </c>
      <c r="F204" s="15" t="s">
        <v>805</v>
      </c>
      <c r="G204" s="29" t="s">
        <v>806</v>
      </c>
      <c r="H204" s="15" t="s">
        <v>807</v>
      </c>
      <c r="I204" s="15" t="s">
        <v>214</v>
      </c>
      <c r="J204" s="15" t="s">
        <v>215</v>
      </c>
      <c r="K204" s="15" t="s">
        <v>808</v>
      </c>
      <c r="L204" s="15" t="s">
        <v>233</v>
      </c>
      <c r="M204" s="15" t="s">
        <v>219</v>
      </c>
      <c r="N204" s="15" t="s">
        <v>219</v>
      </c>
      <c r="O204" s="15" t="s">
        <v>219</v>
      </c>
      <c r="P204" s="15" t="s">
        <v>219</v>
      </c>
      <c r="Q204" s="15" t="s">
        <v>219</v>
      </c>
      <c r="R204" s="15" t="s">
        <v>219</v>
      </c>
      <c r="S204" s="15" t="s">
        <v>220</v>
      </c>
      <c r="T204" s="15" t="s">
        <v>219</v>
      </c>
      <c r="U204" s="15" t="s">
        <v>219</v>
      </c>
      <c r="V204" s="15" t="s">
        <v>219</v>
      </c>
      <c r="W204" s="15">
        <v>11</v>
      </c>
      <c r="X204" s="15" t="str">
        <f>_xlfn.XLOOKUP(tblMeasure[[#This Row],[id_src]],tblSource[id_src],tblSource[org])</f>
        <v>NHS Digital</v>
      </c>
      <c r="Y204" s="15" t="str">
        <f>_xlfn.XLOOKUP(tblMeasure[[#This Row],[id_src]],tblSource[id_src],tblSource[source])</f>
        <v>Personal Social Services: Staff of Social Services Departments</v>
      </c>
      <c r="Z204" s="15" t="str">
        <f>_xlfn.XLOOKUP(tblMeasure[[#This Row],[id_src]],tblSource[id_src],tblSource[url_source])</f>
        <v>https://digital.nhs.uk/data-and-information/publications/statistical/personal-social-services-staff-of-social-services-departments</v>
      </c>
      <c r="AA204" s="15">
        <f>_xlfn.XLOOKUP(tblMeasure[[#This Row],[id_src]],tblSource[id_src],tblSource[year_first_published])</f>
        <v>2005</v>
      </c>
      <c r="AB204" s="15">
        <f>_xlfn.XLOOKUP(tblMeasure[[#This Row],[id_src]],tblSource[id_src],tblSource[year_last_published])</f>
        <v>2019</v>
      </c>
      <c r="AC204" s="15">
        <f>_xlfn.XLOOKUP(tblMeasure[[#This Row],[id_src]],tblSource[id_src],tblSource[discontinuity])</f>
        <v>2011</v>
      </c>
      <c r="AD204" s="15" t="str">
        <f>_xlfn.XLOOKUP(tblMeasure[[#This Row],[id_src]],tblSource[id_src],tblSource[publication_frequency])</f>
        <v>Annual</v>
      </c>
      <c r="AE204" s="15">
        <f>_xlfn.XLOOKUP(tblMeasure[[#This Row],[id_src]],tblSource[id_src],tblSource[publication_lag_months])</f>
        <v>5</v>
      </c>
      <c r="AF204" s="25" t="str">
        <f>_xlfn.XLOOKUP(tblMeasure[[#This Row],[id_src]],tblSource[id_src],tblSource[data_providers])</f>
        <v>Skills for Care, LA</v>
      </c>
      <c r="AG204" s="25" t="str">
        <f>_xlfn.XLOOKUP(tblMeasure[[#This Row],[id_src]],tblSource[id_src],tblSource[statistic_class])</f>
        <v>National</v>
      </c>
      <c r="AH204" s="25" t="str">
        <f>_xlfn.XLOOKUP(tblMeasure[[#This Row],[id_src]],tblSource[id_src],tblSource[methodology_link])</f>
        <v>https://digital.nhs.uk/data-and-information/publications/statistical/personal-social-services-staff-of-social-services-departments/england-2019/data-quality-statement</v>
      </c>
      <c r="AI204" s="25" t="str">
        <f>_xlfn.XLOOKUP(tblMeasure[[#This Row],[id_src]],tblSource[id_src],tblSource[quality_issues])</f>
        <v>https://digital.nhs.uk/data-and-information/publications/statistical/personal-social-services-staff-of-social-services-departments/england-2019/data-quality-statement</v>
      </c>
      <c r="AJ204" s="25">
        <f>VLOOKUP(tblMeasure[[#This Row],[msr_population_or_survey]],strlu_msr_population_or_survey,2,FALSE)</f>
        <v>1</v>
      </c>
      <c r="AK204" s="25">
        <f>VLOOKUP(tblMeasure[[#This Row],[msr_min_geo_resolution]],strlu_msr_min_geo_resolution,2,FALSE)</f>
        <v>0</v>
      </c>
      <c r="AL204" s="25">
        <f>(MAX(tblMeasure[[#This Row],[src_year_last_published]]-2010+1,0)+MIN(2010-tblMeasure[[#This Row],[src_year_first_published]],0)-MAX(tblMeasure[[#This Row],[src_year_last_published]]-2019,0))/10</f>
        <v>1</v>
      </c>
      <c r="AM204" s="25">
        <f>IF(OR(tblMeasure[[#This Row],[src_discontinuity]]="None",tblMeasure[[#This Row],[src_discontinuity]]=0),1,0)</f>
        <v>0</v>
      </c>
      <c r="AN204" s="25">
        <f>VLOOKUP(tblMeasure[[#This Row],[src_pub_frequency]],strlu_src_pub_frequency,2,FALSE)</f>
        <v>0.8</v>
      </c>
      <c r="AO204" s="25">
        <f>VLOOKUP(tblMeasure[[#This Row],[src_pub_lag_months]],strlu_src_pub_lag_months,2,FALSE)</f>
        <v>0.5</v>
      </c>
      <c r="AP204" s="25">
        <f>VLOOKUP(tblMeasure[[#This Row],[src_statistic_class]],strlu_src_statistic_class,2,FALSE)</f>
        <v>1</v>
      </c>
      <c r="AQ204" s="25">
        <f>IF(tblMeasure[[#This Row],[src_methodology_url]]="TBD",0,1)</f>
        <v>1</v>
      </c>
      <c r="AR204" s="25">
        <f>IF(tblMeasure[[#This Row],[src_quality_url]]="TBD",0,1)</f>
        <v>1</v>
      </c>
      <c r="AS204" s="85" cm="1">
        <f t="array" ref="AS204">SUMPRODUCT(TRANSPOSE(tblMeasure[[#This Row],[str_msr_population_or_survey]:[str_src_quality_url]]),str_weights)/str_weights_total</f>
        <v>0.7</v>
      </c>
    </row>
    <row r="205" spans="1:45" hidden="1" x14ac:dyDescent="0.15">
      <c r="A205" s="30">
        <v>203</v>
      </c>
      <c r="B205" s="15">
        <f>COUNTIF(requirement_measure_map!$D$3:$D$1514,measure!A205)</f>
        <v>1</v>
      </c>
      <c r="C205" s="30" t="s">
        <v>656</v>
      </c>
      <c r="D205" s="15" t="s">
        <v>809</v>
      </c>
      <c r="E205" s="15" t="s">
        <v>583</v>
      </c>
      <c r="F205" s="15" t="s">
        <v>810</v>
      </c>
      <c r="G205" s="29" t="s">
        <v>806</v>
      </c>
      <c r="H205" s="15" t="s">
        <v>807</v>
      </c>
      <c r="I205" s="15" t="s">
        <v>214</v>
      </c>
      <c r="J205" s="15" t="s">
        <v>215</v>
      </c>
      <c r="K205" s="15" t="s">
        <v>811</v>
      </c>
      <c r="L205" s="15" t="s">
        <v>217</v>
      </c>
      <c r="M205" s="15" t="s">
        <v>219</v>
      </c>
      <c r="N205" s="15" t="s">
        <v>219</v>
      </c>
      <c r="O205" s="15" t="s">
        <v>219</v>
      </c>
      <c r="P205" s="15" t="s">
        <v>219</v>
      </c>
      <c r="Q205" s="15" t="s">
        <v>219</v>
      </c>
      <c r="R205" s="15" t="s">
        <v>219</v>
      </c>
      <c r="S205" s="15" t="s">
        <v>220</v>
      </c>
      <c r="T205" s="15" t="s">
        <v>219</v>
      </c>
      <c r="U205" s="15" t="s">
        <v>243</v>
      </c>
      <c r="V205" s="15" t="s">
        <v>219</v>
      </c>
      <c r="W205" s="15">
        <v>11</v>
      </c>
      <c r="X205" s="15" t="str">
        <f>_xlfn.XLOOKUP(tblMeasure[[#This Row],[id_src]],tblSource[id_src],tblSource[org])</f>
        <v>NHS Digital</v>
      </c>
      <c r="Y205" s="15" t="str">
        <f>_xlfn.XLOOKUP(tblMeasure[[#This Row],[id_src]],tblSource[id_src],tblSource[source])</f>
        <v>Personal Social Services: Staff of Social Services Departments</v>
      </c>
      <c r="Z205" s="15" t="str">
        <f>_xlfn.XLOOKUP(tblMeasure[[#This Row],[id_src]],tblSource[id_src],tblSource[url_source])</f>
        <v>https://digital.nhs.uk/data-and-information/publications/statistical/personal-social-services-staff-of-social-services-departments</v>
      </c>
      <c r="AA205" s="15">
        <f>_xlfn.XLOOKUP(tblMeasure[[#This Row],[id_src]],tblSource[id_src],tblSource[year_first_published])</f>
        <v>2005</v>
      </c>
      <c r="AB205" s="15">
        <f>_xlfn.XLOOKUP(tblMeasure[[#This Row],[id_src]],tblSource[id_src],tblSource[year_last_published])</f>
        <v>2019</v>
      </c>
      <c r="AC205" s="15">
        <f>_xlfn.XLOOKUP(tblMeasure[[#This Row],[id_src]],tblSource[id_src],tblSource[discontinuity])</f>
        <v>2011</v>
      </c>
      <c r="AD205" s="15" t="str">
        <f>_xlfn.XLOOKUP(tblMeasure[[#This Row],[id_src]],tblSource[id_src],tblSource[publication_frequency])</f>
        <v>Annual</v>
      </c>
      <c r="AE205" s="15">
        <f>_xlfn.XLOOKUP(tblMeasure[[#This Row],[id_src]],tblSource[id_src],tblSource[publication_lag_months])</f>
        <v>5</v>
      </c>
      <c r="AF205" s="25" t="str">
        <f>_xlfn.XLOOKUP(tblMeasure[[#This Row],[id_src]],tblSource[id_src],tblSource[data_providers])</f>
        <v>Skills for Care, LA</v>
      </c>
      <c r="AG205" s="25" t="str">
        <f>_xlfn.XLOOKUP(tblMeasure[[#This Row],[id_src]],tblSource[id_src],tblSource[statistic_class])</f>
        <v>National</v>
      </c>
      <c r="AH205" s="25" t="str">
        <f>_xlfn.XLOOKUP(tblMeasure[[#This Row],[id_src]],tblSource[id_src],tblSource[methodology_link])</f>
        <v>https://digital.nhs.uk/data-and-information/publications/statistical/personal-social-services-staff-of-social-services-departments/england-2019/data-quality-statement</v>
      </c>
      <c r="AI205" s="25" t="str">
        <f>_xlfn.XLOOKUP(tblMeasure[[#This Row],[id_src]],tblSource[id_src],tblSource[quality_issues])</f>
        <v>https://digital.nhs.uk/data-and-information/publications/statistical/personal-social-services-staff-of-social-services-departments/england-2019/data-quality-statement</v>
      </c>
      <c r="AJ205" s="25">
        <f>VLOOKUP(tblMeasure[[#This Row],[msr_population_or_survey]],strlu_msr_population_or_survey,2,FALSE)</f>
        <v>1</v>
      </c>
      <c r="AK205" s="25">
        <f>VLOOKUP(tblMeasure[[#This Row],[msr_min_geo_resolution]],strlu_msr_min_geo_resolution,2,FALSE)</f>
        <v>1</v>
      </c>
      <c r="AL205" s="25">
        <f>(MAX(tblMeasure[[#This Row],[src_year_last_published]]-2010+1,0)+MIN(2010-tblMeasure[[#This Row],[src_year_first_published]],0)-MAX(tblMeasure[[#This Row],[src_year_last_published]]-2019,0))/10</f>
        <v>1</v>
      </c>
      <c r="AM205" s="25">
        <f>IF(OR(tblMeasure[[#This Row],[src_discontinuity]]="None",tblMeasure[[#This Row],[src_discontinuity]]=0),1,0)</f>
        <v>0</v>
      </c>
      <c r="AN205" s="25">
        <f>VLOOKUP(tblMeasure[[#This Row],[src_pub_frequency]],strlu_src_pub_frequency,2,FALSE)</f>
        <v>0.8</v>
      </c>
      <c r="AO205" s="25">
        <f>VLOOKUP(tblMeasure[[#This Row],[src_pub_lag_months]],strlu_src_pub_lag_months,2,FALSE)</f>
        <v>0.5</v>
      </c>
      <c r="AP205" s="25">
        <f>VLOOKUP(tblMeasure[[#This Row],[src_statistic_class]],strlu_src_statistic_class,2,FALSE)</f>
        <v>1</v>
      </c>
      <c r="AQ205" s="25">
        <f>IF(tblMeasure[[#This Row],[src_methodology_url]]="TBD",0,1)</f>
        <v>1</v>
      </c>
      <c r="AR205" s="25">
        <f>IF(tblMeasure[[#This Row],[src_quality_url]]="TBD",0,1)</f>
        <v>1</v>
      </c>
      <c r="AS205" s="85" cm="1">
        <f t="array" ref="AS205">SUMPRODUCT(TRANSPOSE(tblMeasure[[#This Row],[str_msr_population_or_survey]:[str_src_quality_url]]),str_weights)/str_weights_total</f>
        <v>0.85384615384615381</v>
      </c>
    </row>
    <row r="206" spans="1:45" hidden="1" x14ac:dyDescent="0.15">
      <c r="A206" s="30">
        <v>204</v>
      </c>
      <c r="B206" s="15">
        <f>COUNTIF(requirement_measure_map!$D$3:$D$1514,measure!A206)</f>
        <v>2</v>
      </c>
      <c r="C206" s="30" t="s">
        <v>656</v>
      </c>
      <c r="D206" s="15" t="s">
        <v>812</v>
      </c>
      <c r="E206" s="15" t="s">
        <v>586</v>
      </c>
      <c r="F206" s="15" t="s">
        <v>813</v>
      </c>
      <c r="G206" s="29" t="s">
        <v>806</v>
      </c>
      <c r="H206" s="15" t="s">
        <v>807</v>
      </c>
      <c r="I206" s="15" t="s">
        <v>214</v>
      </c>
      <c r="J206" s="15" t="s">
        <v>215</v>
      </c>
      <c r="K206" s="15" t="s">
        <v>814</v>
      </c>
      <c r="L206" s="15" t="s">
        <v>217</v>
      </c>
      <c r="M206" s="15" t="s">
        <v>219</v>
      </c>
      <c r="N206" s="15" t="s">
        <v>219</v>
      </c>
      <c r="O206" s="15" t="s">
        <v>219</v>
      </c>
      <c r="P206" s="15" t="s">
        <v>219</v>
      </c>
      <c r="Q206" s="15" t="s">
        <v>219</v>
      </c>
      <c r="R206" s="15" t="s">
        <v>219</v>
      </c>
      <c r="S206" s="15" t="s">
        <v>220</v>
      </c>
      <c r="T206" s="15" t="s">
        <v>219</v>
      </c>
      <c r="U206" s="15" t="s">
        <v>219</v>
      </c>
      <c r="V206" s="15" t="s">
        <v>219</v>
      </c>
      <c r="W206" s="15">
        <v>11</v>
      </c>
      <c r="X206" s="15" t="str">
        <f>_xlfn.XLOOKUP(tblMeasure[[#This Row],[id_src]],tblSource[id_src],tblSource[org])</f>
        <v>NHS Digital</v>
      </c>
      <c r="Y206" s="15" t="str">
        <f>_xlfn.XLOOKUP(tblMeasure[[#This Row],[id_src]],tblSource[id_src],tblSource[source])</f>
        <v>Personal Social Services: Staff of Social Services Departments</v>
      </c>
      <c r="Z206" s="15" t="str">
        <f>_xlfn.XLOOKUP(tblMeasure[[#This Row],[id_src]],tblSource[id_src],tblSource[url_source])</f>
        <v>https://digital.nhs.uk/data-and-information/publications/statistical/personal-social-services-staff-of-social-services-departments</v>
      </c>
      <c r="AA206" s="15">
        <f>_xlfn.XLOOKUP(tblMeasure[[#This Row],[id_src]],tblSource[id_src],tblSource[year_first_published])</f>
        <v>2005</v>
      </c>
      <c r="AB206" s="15">
        <f>_xlfn.XLOOKUP(tblMeasure[[#This Row],[id_src]],tblSource[id_src],tblSource[year_last_published])</f>
        <v>2019</v>
      </c>
      <c r="AC206" s="15">
        <f>_xlfn.XLOOKUP(tblMeasure[[#This Row],[id_src]],tblSource[id_src],tblSource[discontinuity])</f>
        <v>2011</v>
      </c>
      <c r="AD206" s="15" t="str">
        <f>_xlfn.XLOOKUP(tblMeasure[[#This Row],[id_src]],tblSource[id_src],tblSource[publication_frequency])</f>
        <v>Annual</v>
      </c>
      <c r="AE206" s="15">
        <f>_xlfn.XLOOKUP(tblMeasure[[#This Row],[id_src]],tblSource[id_src],tblSource[publication_lag_months])</f>
        <v>5</v>
      </c>
      <c r="AF206" s="25" t="str">
        <f>_xlfn.XLOOKUP(tblMeasure[[#This Row],[id_src]],tblSource[id_src],tblSource[data_providers])</f>
        <v>Skills for Care, LA</v>
      </c>
      <c r="AG206" s="25" t="str">
        <f>_xlfn.XLOOKUP(tblMeasure[[#This Row],[id_src]],tblSource[id_src],tblSource[statistic_class])</f>
        <v>National</v>
      </c>
      <c r="AH206" s="25" t="str">
        <f>_xlfn.XLOOKUP(tblMeasure[[#This Row],[id_src]],tblSource[id_src],tblSource[methodology_link])</f>
        <v>https://digital.nhs.uk/data-and-information/publications/statistical/personal-social-services-staff-of-social-services-departments/england-2019/data-quality-statement</v>
      </c>
      <c r="AI206" s="25" t="str">
        <f>_xlfn.XLOOKUP(tblMeasure[[#This Row],[id_src]],tblSource[id_src],tblSource[quality_issues])</f>
        <v>https://digital.nhs.uk/data-and-information/publications/statistical/personal-social-services-staff-of-social-services-departments/england-2019/data-quality-statement</v>
      </c>
      <c r="AJ206" s="25">
        <f>VLOOKUP(tblMeasure[[#This Row],[msr_population_or_survey]],strlu_msr_population_or_survey,2,FALSE)</f>
        <v>1</v>
      </c>
      <c r="AK206" s="25">
        <f>VLOOKUP(tblMeasure[[#This Row],[msr_min_geo_resolution]],strlu_msr_min_geo_resolution,2,FALSE)</f>
        <v>1</v>
      </c>
      <c r="AL206" s="25">
        <f>(MAX(tblMeasure[[#This Row],[src_year_last_published]]-2010+1,0)+MIN(2010-tblMeasure[[#This Row],[src_year_first_published]],0)-MAX(tblMeasure[[#This Row],[src_year_last_published]]-2019,0))/10</f>
        <v>1</v>
      </c>
      <c r="AM206" s="25">
        <f>IF(OR(tblMeasure[[#This Row],[src_discontinuity]]="None",tblMeasure[[#This Row],[src_discontinuity]]=0),1,0)</f>
        <v>0</v>
      </c>
      <c r="AN206" s="25">
        <f>VLOOKUP(tblMeasure[[#This Row],[src_pub_frequency]],strlu_src_pub_frequency,2,FALSE)</f>
        <v>0.8</v>
      </c>
      <c r="AO206" s="25">
        <f>VLOOKUP(tblMeasure[[#This Row],[src_pub_lag_months]],strlu_src_pub_lag_months,2,FALSE)</f>
        <v>0.5</v>
      </c>
      <c r="AP206" s="25">
        <f>VLOOKUP(tblMeasure[[#This Row],[src_statistic_class]],strlu_src_statistic_class,2,FALSE)</f>
        <v>1</v>
      </c>
      <c r="AQ206" s="25">
        <f>IF(tblMeasure[[#This Row],[src_methodology_url]]="TBD",0,1)</f>
        <v>1</v>
      </c>
      <c r="AR206" s="25">
        <f>IF(tblMeasure[[#This Row],[src_quality_url]]="TBD",0,1)</f>
        <v>1</v>
      </c>
      <c r="AS206" s="85" cm="1">
        <f t="array" ref="AS206">SUMPRODUCT(TRANSPOSE(tblMeasure[[#This Row],[str_msr_population_or_survey]:[str_src_quality_url]]),str_weights)/str_weights_total</f>
        <v>0.85384615384615381</v>
      </c>
    </row>
    <row r="207" spans="1:45" hidden="1" x14ac:dyDescent="0.15">
      <c r="A207" s="30">
        <v>205</v>
      </c>
      <c r="B207" s="15">
        <f>COUNTIF(requirement_measure_map!$D$3:$D$1514,measure!A207)</f>
        <v>2</v>
      </c>
      <c r="C207" s="30" t="s">
        <v>656</v>
      </c>
      <c r="D207" s="15" t="s">
        <v>809</v>
      </c>
      <c r="E207" s="15" t="s">
        <v>589</v>
      </c>
      <c r="F207" s="15" t="s">
        <v>815</v>
      </c>
      <c r="G207" s="29" t="s">
        <v>806</v>
      </c>
      <c r="H207" s="15" t="s">
        <v>807</v>
      </c>
      <c r="I207" s="15" t="s">
        <v>214</v>
      </c>
      <c r="J207" s="15" t="s">
        <v>215</v>
      </c>
      <c r="K207" s="15" t="s">
        <v>816</v>
      </c>
      <c r="L207" s="15" t="s">
        <v>217</v>
      </c>
      <c r="M207" s="15" t="s">
        <v>219</v>
      </c>
      <c r="N207" s="15" t="s">
        <v>219</v>
      </c>
      <c r="O207" s="15" t="s">
        <v>219</v>
      </c>
      <c r="P207" s="15" t="s">
        <v>219</v>
      </c>
      <c r="Q207" s="15" t="s">
        <v>219</v>
      </c>
      <c r="R207" s="15" t="s">
        <v>219</v>
      </c>
      <c r="S207" s="15" t="s">
        <v>220</v>
      </c>
      <c r="T207" s="15" t="s">
        <v>219</v>
      </c>
      <c r="U207" s="15" t="s">
        <v>219</v>
      </c>
      <c r="V207" s="15" t="s">
        <v>219</v>
      </c>
      <c r="W207" s="15">
        <v>11</v>
      </c>
      <c r="X207" s="15" t="str">
        <f>_xlfn.XLOOKUP(tblMeasure[[#This Row],[id_src]],tblSource[id_src],tblSource[org])</f>
        <v>NHS Digital</v>
      </c>
      <c r="Y207" s="15" t="str">
        <f>_xlfn.XLOOKUP(tblMeasure[[#This Row],[id_src]],tblSource[id_src],tblSource[source])</f>
        <v>Personal Social Services: Staff of Social Services Departments</v>
      </c>
      <c r="Z207" s="15" t="str">
        <f>_xlfn.XLOOKUP(tblMeasure[[#This Row],[id_src]],tblSource[id_src],tblSource[url_source])</f>
        <v>https://digital.nhs.uk/data-and-information/publications/statistical/personal-social-services-staff-of-social-services-departments</v>
      </c>
      <c r="AA207" s="15">
        <f>_xlfn.XLOOKUP(tblMeasure[[#This Row],[id_src]],tblSource[id_src],tblSource[year_first_published])</f>
        <v>2005</v>
      </c>
      <c r="AB207" s="15">
        <f>_xlfn.XLOOKUP(tblMeasure[[#This Row],[id_src]],tblSource[id_src],tblSource[year_last_published])</f>
        <v>2019</v>
      </c>
      <c r="AC207" s="15">
        <f>_xlfn.XLOOKUP(tblMeasure[[#This Row],[id_src]],tblSource[id_src],tblSource[discontinuity])</f>
        <v>2011</v>
      </c>
      <c r="AD207" s="15" t="str">
        <f>_xlfn.XLOOKUP(tblMeasure[[#This Row],[id_src]],tblSource[id_src],tblSource[publication_frequency])</f>
        <v>Annual</v>
      </c>
      <c r="AE207" s="15">
        <f>_xlfn.XLOOKUP(tblMeasure[[#This Row],[id_src]],tblSource[id_src],tblSource[publication_lag_months])</f>
        <v>5</v>
      </c>
      <c r="AF207" s="25" t="str">
        <f>_xlfn.XLOOKUP(tblMeasure[[#This Row],[id_src]],tblSource[id_src],tblSource[data_providers])</f>
        <v>Skills for Care, LA</v>
      </c>
      <c r="AG207" s="25" t="str">
        <f>_xlfn.XLOOKUP(tblMeasure[[#This Row],[id_src]],tblSource[id_src],tblSource[statistic_class])</f>
        <v>National</v>
      </c>
      <c r="AH207" s="25" t="str">
        <f>_xlfn.XLOOKUP(tblMeasure[[#This Row],[id_src]],tblSource[id_src],tblSource[methodology_link])</f>
        <v>https://digital.nhs.uk/data-and-information/publications/statistical/personal-social-services-staff-of-social-services-departments/england-2019/data-quality-statement</v>
      </c>
      <c r="AI207" s="25" t="str">
        <f>_xlfn.XLOOKUP(tblMeasure[[#This Row],[id_src]],tblSource[id_src],tblSource[quality_issues])</f>
        <v>https://digital.nhs.uk/data-and-information/publications/statistical/personal-social-services-staff-of-social-services-departments/england-2019/data-quality-statement</v>
      </c>
      <c r="AJ207" s="25">
        <f>VLOOKUP(tblMeasure[[#This Row],[msr_population_or_survey]],strlu_msr_population_or_survey,2,FALSE)</f>
        <v>1</v>
      </c>
      <c r="AK207" s="25">
        <f>VLOOKUP(tblMeasure[[#This Row],[msr_min_geo_resolution]],strlu_msr_min_geo_resolution,2,FALSE)</f>
        <v>1</v>
      </c>
      <c r="AL207" s="25">
        <f>(MAX(tblMeasure[[#This Row],[src_year_last_published]]-2010+1,0)+MIN(2010-tblMeasure[[#This Row],[src_year_first_published]],0)-MAX(tblMeasure[[#This Row],[src_year_last_published]]-2019,0))/10</f>
        <v>1</v>
      </c>
      <c r="AM207" s="25">
        <f>IF(OR(tblMeasure[[#This Row],[src_discontinuity]]="None",tblMeasure[[#This Row],[src_discontinuity]]=0),1,0)</f>
        <v>0</v>
      </c>
      <c r="AN207" s="25">
        <f>VLOOKUP(tblMeasure[[#This Row],[src_pub_frequency]],strlu_src_pub_frequency,2,FALSE)</f>
        <v>0.8</v>
      </c>
      <c r="AO207" s="25">
        <f>VLOOKUP(tblMeasure[[#This Row],[src_pub_lag_months]],strlu_src_pub_lag_months,2,FALSE)</f>
        <v>0.5</v>
      </c>
      <c r="AP207" s="25">
        <f>VLOOKUP(tblMeasure[[#This Row],[src_statistic_class]],strlu_src_statistic_class,2,FALSE)</f>
        <v>1</v>
      </c>
      <c r="AQ207" s="25">
        <f>IF(tblMeasure[[#This Row],[src_methodology_url]]="TBD",0,1)</f>
        <v>1</v>
      </c>
      <c r="AR207" s="25">
        <f>IF(tblMeasure[[#This Row],[src_quality_url]]="TBD",0,1)</f>
        <v>1</v>
      </c>
      <c r="AS207" s="85" cm="1">
        <f t="array" ref="AS207">SUMPRODUCT(TRANSPOSE(tblMeasure[[#This Row],[str_msr_population_or_survey]:[str_src_quality_url]]),str_weights)/str_weights_total</f>
        <v>0.85384615384615381</v>
      </c>
    </row>
    <row r="208" spans="1:45" hidden="1" x14ac:dyDescent="0.15">
      <c r="A208" s="30">
        <v>206</v>
      </c>
      <c r="B208" s="15">
        <f>COUNTIF(requirement_measure_map!$D$3:$D$1514,measure!A208)</f>
        <v>2</v>
      </c>
      <c r="C208" s="30" t="s">
        <v>656</v>
      </c>
      <c r="D208" s="15" t="s">
        <v>809</v>
      </c>
      <c r="E208" s="15" t="s">
        <v>592</v>
      </c>
      <c r="F208" s="15" t="s">
        <v>817</v>
      </c>
      <c r="G208" s="29" t="s">
        <v>806</v>
      </c>
      <c r="H208" s="15" t="s">
        <v>807</v>
      </c>
      <c r="I208" s="15" t="s">
        <v>214</v>
      </c>
      <c r="J208" s="15" t="s">
        <v>215</v>
      </c>
      <c r="K208" s="15" t="s">
        <v>818</v>
      </c>
      <c r="L208" s="15" t="s">
        <v>233</v>
      </c>
      <c r="M208" s="15" t="s">
        <v>219</v>
      </c>
      <c r="N208" s="15" t="s">
        <v>219</v>
      </c>
      <c r="O208" s="15" t="s">
        <v>219</v>
      </c>
      <c r="P208" s="15" t="s">
        <v>219</v>
      </c>
      <c r="Q208" s="15" t="s">
        <v>219</v>
      </c>
      <c r="R208" s="15" t="s">
        <v>219</v>
      </c>
      <c r="S208" s="15" t="s">
        <v>243</v>
      </c>
      <c r="T208" s="15" t="s">
        <v>219</v>
      </c>
      <c r="U208" s="15" t="s">
        <v>219</v>
      </c>
      <c r="V208" s="15" t="s">
        <v>219</v>
      </c>
      <c r="W208" s="15">
        <v>11</v>
      </c>
      <c r="X208" s="15" t="str">
        <f>_xlfn.XLOOKUP(tblMeasure[[#This Row],[id_src]],tblSource[id_src],tblSource[org])</f>
        <v>NHS Digital</v>
      </c>
      <c r="Y208" s="15" t="str">
        <f>_xlfn.XLOOKUP(tblMeasure[[#This Row],[id_src]],tblSource[id_src],tblSource[source])</f>
        <v>Personal Social Services: Staff of Social Services Departments</v>
      </c>
      <c r="Z208" s="15" t="str">
        <f>_xlfn.XLOOKUP(tblMeasure[[#This Row],[id_src]],tblSource[id_src],tblSource[url_source])</f>
        <v>https://digital.nhs.uk/data-and-information/publications/statistical/personal-social-services-staff-of-social-services-departments</v>
      </c>
      <c r="AA208" s="15">
        <f>_xlfn.XLOOKUP(tblMeasure[[#This Row],[id_src]],tblSource[id_src],tblSource[year_first_published])</f>
        <v>2005</v>
      </c>
      <c r="AB208" s="15">
        <f>_xlfn.XLOOKUP(tblMeasure[[#This Row],[id_src]],tblSource[id_src],tblSource[year_last_published])</f>
        <v>2019</v>
      </c>
      <c r="AC208" s="15">
        <f>_xlfn.XLOOKUP(tblMeasure[[#This Row],[id_src]],tblSource[id_src],tblSource[discontinuity])</f>
        <v>2011</v>
      </c>
      <c r="AD208" s="15" t="str">
        <f>_xlfn.XLOOKUP(tblMeasure[[#This Row],[id_src]],tblSource[id_src],tblSource[publication_frequency])</f>
        <v>Annual</v>
      </c>
      <c r="AE208" s="15">
        <f>_xlfn.XLOOKUP(tblMeasure[[#This Row],[id_src]],tblSource[id_src],tblSource[publication_lag_months])</f>
        <v>5</v>
      </c>
      <c r="AF208" s="25" t="str">
        <f>_xlfn.XLOOKUP(tblMeasure[[#This Row],[id_src]],tblSource[id_src],tblSource[data_providers])</f>
        <v>Skills for Care, LA</v>
      </c>
      <c r="AG208" s="25" t="str">
        <f>_xlfn.XLOOKUP(tblMeasure[[#This Row],[id_src]],tblSource[id_src],tblSource[statistic_class])</f>
        <v>National</v>
      </c>
      <c r="AH208" s="25" t="str">
        <f>_xlfn.XLOOKUP(tblMeasure[[#This Row],[id_src]],tblSource[id_src],tblSource[methodology_link])</f>
        <v>https://digital.nhs.uk/data-and-information/publications/statistical/personal-social-services-staff-of-social-services-departments/england-2019/data-quality-statement</v>
      </c>
      <c r="AI208" s="25" t="str">
        <f>_xlfn.XLOOKUP(tblMeasure[[#This Row],[id_src]],tblSource[id_src],tblSource[quality_issues])</f>
        <v>https://digital.nhs.uk/data-and-information/publications/statistical/personal-social-services-staff-of-social-services-departments/england-2019/data-quality-statement</v>
      </c>
      <c r="AJ208" s="25">
        <f>VLOOKUP(tblMeasure[[#This Row],[msr_population_or_survey]],strlu_msr_population_or_survey,2,FALSE)</f>
        <v>1</v>
      </c>
      <c r="AK208" s="25">
        <f>VLOOKUP(tblMeasure[[#This Row],[msr_min_geo_resolution]],strlu_msr_min_geo_resolution,2,FALSE)</f>
        <v>0</v>
      </c>
      <c r="AL208" s="25">
        <f>(MAX(tblMeasure[[#This Row],[src_year_last_published]]-2010+1,0)+MIN(2010-tblMeasure[[#This Row],[src_year_first_published]],0)-MAX(tblMeasure[[#This Row],[src_year_last_published]]-2019,0))/10</f>
        <v>1</v>
      </c>
      <c r="AM208" s="25">
        <f>IF(OR(tblMeasure[[#This Row],[src_discontinuity]]="None",tblMeasure[[#This Row],[src_discontinuity]]=0),1,0)</f>
        <v>0</v>
      </c>
      <c r="AN208" s="25">
        <f>VLOOKUP(tblMeasure[[#This Row],[src_pub_frequency]],strlu_src_pub_frequency,2,FALSE)</f>
        <v>0.8</v>
      </c>
      <c r="AO208" s="25">
        <f>VLOOKUP(tblMeasure[[#This Row],[src_pub_lag_months]],strlu_src_pub_lag_months,2,FALSE)</f>
        <v>0.5</v>
      </c>
      <c r="AP208" s="25">
        <f>VLOOKUP(tblMeasure[[#This Row],[src_statistic_class]],strlu_src_statistic_class,2,FALSE)</f>
        <v>1</v>
      </c>
      <c r="AQ208" s="25">
        <f>IF(tblMeasure[[#This Row],[src_methodology_url]]="TBD",0,1)</f>
        <v>1</v>
      </c>
      <c r="AR208" s="25">
        <f>IF(tblMeasure[[#This Row],[src_quality_url]]="TBD",0,1)</f>
        <v>1</v>
      </c>
      <c r="AS208" s="85" cm="1">
        <f t="array" ref="AS208">SUMPRODUCT(TRANSPOSE(tblMeasure[[#This Row],[str_msr_population_or_survey]:[str_src_quality_url]]),str_weights)/str_weights_total</f>
        <v>0.7</v>
      </c>
    </row>
    <row r="209" spans="1:45" hidden="1" x14ac:dyDescent="0.15">
      <c r="A209" s="30">
        <v>207</v>
      </c>
      <c r="B209" s="15">
        <f>COUNTIF(requirement_measure_map!$D$3:$D$1514,measure!A209)</f>
        <v>5</v>
      </c>
      <c r="C209" s="30" t="s">
        <v>656</v>
      </c>
      <c r="D209" s="15" t="s">
        <v>809</v>
      </c>
      <c r="E209" s="15" t="s">
        <v>595</v>
      </c>
      <c r="F209" s="15" t="s">
        <v>819</v>
      </c>
      <c r="G209" s="29" t="s">
        <v>806</v>
      </c>
      <c r="H209" s="15" t="s">
        <v>807</v>
      </c>
      <c r="I209" s="15" t="s">
        <v>214</v>
      </c>
      <c r="J209" s="15" t="s">
        <v>215</v>
      </c>
      <c r="K209" s="15" t="s">
        <v>820</v>
      </c>
      <c r="L209" s="15" t="s">
        <v>233</v>
      </c>
      <c r="M209" s="15" t="s">
        <v>219</v>
      </c>
      <c r="N209" s="15" t="s">
        <v>219</v>
      </c>
      <c r="O209" s="15" t="s">
        <v>219</v>
      </c>
      <c r="P209" s="15" t="s">
        <v>219</v>
      </c>
      <c r="Q209" s="15" t="s">
        <v>219</v>
      </c>
      <c r="R209" s="15" t="s">
        <v>219</v>
      </c>
      <c r="S209" s="15" t="s">
        <v>243</v>
      </c>
      <c r="T209" s="15" t="s">
        <v>219</v>
      </c>
      <c r="U209" s="15" t="s">
        <v>243</v>
      </c>
      <c r="V209" s="15" t="s">
        <v>219</v>
      </c>
      <c r="W209" s="15">
        <v>11</v>
      </c>
      <c r="X209" s="15" t="str">
        <f>_xlfn.XLOOKUP(tblMeasure[[#This Row],[id_src]],tblSource[id_src],tblSource[org])</f>
        <v>NHS Digital</v>
      </c>
      <c r="Y209" s="15" t="str">
        <f>_xlfn.XLOOKUP(tblMeasure[[#This Row],[id_src]],tblSource[id_src],tblSource[source])</f>
        <v>Personal Social Services: Staff of Social Services Departments</v>
      </c>
      <c r="Z209" s="15" t="str">
        <f>_xlfn.XLOOKUP(tblMeasure[[#This Row],[id_src]],tblSource[id_src],tblSource[url_source])</f>
        <v>https://digital.nhs.uk/data-and-information/publications/statistical/personal-social-services-staff-of-social-services-departments</v>
      </c>
      <c r="AA209" s="15">
        <f>_xlfn.XLOOKUP(tblMeasure[[#This Row],[id_src]],tblSource[id_src],tblSource[year_first_published])</f>
        <v>2005</v>
      </c>
      <c r="AB209" s="15">
        <f>_xlfn.XLOOKUP(tblMeasure[[#This Row],[id_src]],tblSource[id_src],tblSource[year_last_published])</f>
        <v>2019</v>
      </c>
      <c r="AC209" s="15">
        <f>_xlfn.XLOOKUP(tblMeasure[[#This Row],[id_src]],tblSource[id_src],tblSource[discontinuity])</f>
        <v>2011</v>
      </c>
      <c r="AD209" s="15" t="str">
        <f>_xlfn.XLOOKUP(tblMeasure[[#This Row],[id_src]],tblSource[id_src],tblSource[publication_frequency])</f>
        <v>Annual</v>
      </c>
      <c r="AE209" s="15">
        <f>_xlfn.XLOOKUP(tblMeasure[[#This Row],[id_src]],tblSource[id_src],tblSource[publication_lag_months])</f>
        <v>5</v>
      </c>
      <c r="AF209" s="25" t="str">
        <f>_xlfn.XLOOKUP(tblMeasure[[#This Row],[id_src]],tblSource[id_src],tblSource[data_providers])</f>
        <v>Skills for Care, LA</v>
      </c>
      <c r="AG209" s="25" t="str">
        <f>_xlfn.XLOOKUP(tblMeasure[[#This Row],[id_src]],tblSource[id_src],tblSource[statistic_class])</f>
        <v>National</v>
      </c>
      <c r="AH209" s="25" t="str">
        <f>_xlfn.XLOOKUP(tblMeasure[[#This Row],[id_src]],tblSource[id_src],tblSource[methodology_link])</f>
        <v>https://digital.nhs.uk/data-and-information/publications/statistical/personal-social-services-staff-of-social-services-departments/england-2019/data-quality-statement</v>
      </c>
      <c r="AI209" s="25" t="str">
        <f>_xlfn.XLOOKUP(tblMeasure[[#This Row],[id_src]],tblSource[id_src],tblSource[quality_issues])</f>
        <v>https://digital.nhs.uk/data-and-information/publications/statistical/personal-social-services-staff-of-social-services-departments/england-2019/data-quality-statement</v>
      </c>
      <c r="AJ209" s="25">
        <f>VLOOKUP(tblMeasure[[#This Row],[msr_population_or_survey]],strlu_msr_population_or_survey,2,FALSE)</f>
        <v>1</v>
      </c>
      <c r="AK209" s="25">
        <f>VLOOKUP(tblMeasure[[#This Row],[msr_min_geo_resolution]],strlu_msr_min_geo_resolution,2,FALSE)</f>
        <v>0</v>
      </c>
      <c r="AL209" s="25">
        <f>(MAX(tblMeasure[[#This Row],[src_year_last_published]]-2010+1,0)+MIN(2010-tblMeasure[[#This Row],[src_year_first_published]],0)-MAX(tblMeasure[[#This Row],[src_year_last_published]]-2019,0))/10</f>
        <v>1</v>
      </c>
      <c r="AM209" s="25">
        <f>IF(OR(tblMeasure[[#This Row],[src_discontinuity]]="None",tblMeasure[[#This Row],[src_discontinuity]]=0),1,0)</f>
        <v>0</v>
      </c>
      <c r="AN209" s="25">
        <f>VLOOKUP(tblMeasure[[#This Row],[src_pub_frequency]],strlu_src_pub_frequency,2,FALSE)</f>
        <v>0.8</v>
      </c>
      <c r="AO209" s="25">
        <f>VLOOKUP(tblMeasure[[#This Row],[src_pub_lag_months]],strlu_src_pub_lag_months,2,FALSE)</f>
        <v>0.5</v>
      </c>
      <c r="AP209" s="25">
        <f>VLOOKUP(tblMeasure[[#This Row],[src_statistic_class]],strlu_src_statistic_class,2,FALSE)</f>
        <v>1</v>
      </c>
      <c r="AQ209" s="25">
        <f>IF(tblMeasure[[#This Row],[src_methodology_url]]="TBD",0,1)</f>
        <v>1</v>
      </c>
      <c r="AR209" s="25">
        <f>IF(tblMeasure[[#This Row],[src_quality_url]]="TBD",0,1)</f>
        <v>1</v>
      </c>
      <c r="AS209" s="85" cm="1">
        <f t="array" ref="AS209">SUMPRODUCT(TRANSPOSE(tblMeasure[[#This Row],[str_msr_population_or_survey]:[str_src_quality_url]]),str_weights)/str_weights_total</f>
        <v>0.7</v>
      </c>
    </row>
    <row r="210" spans="1:45" hidden="1" x14ac:dyDescent="0.15">
      <c r="A210" s="30">
        <v>208</v>
      </c>
      <c r="B210" s="15">
        <f>COUNTIF(requirement_measure_map!$D$3:$D$1514,measure!A210)</f>
        <v>4</v>
      </c>
      <c r="C210" s="30" t="s">
        <v>656</v>
      </c>
      <c r="D210" s="15" t="s">
        <v>809</v>
      </c>
      <c r="E210" s="15" t="s">
        <v>598</v>
      </c>
      <c r="F210" s="15" t="s">
        <v>821</v>
      </c>
      <c r="G210" s="29" t="s">
        <v>806</v>
      </c>
      <c r="H210" s="15" t="s">
        <v>807</v>
      </c>
      <c r="I210" s="15" t="s">
        <v>214</v>
      </c>
      <c r="J210" s="15" t="s">
        <v>215</v>
      </c>
      <c r="K210" s="15" t="s">
        <v>822</v>
      </c>
      <c r="L210" s="15" t="s">
        <v>217</v>
      </c>
      <c r="M210" s="15" t="s">
        <v>219</v>
      </c>
      <c r="N210" s="15" t="s">
        <v>219</v>
      </c>
      <c r="O210" s="15" t="s">
        <v>219</v>
      </c>
      <c r="P210" s="15" t="s">
        <v>219</v>
      </c>
      <c r="Q210" s="15" t="s">
        <v>219</v>
      </c>
      <c r="R210" s="15" t="s">
        <v>219</v>
      </c>
      <c r="S210" s="15" t="s">
        <v>220</v>
      </c>
      <c r="T210" s="15" t="s">
        <v>219</v>
      </c>
      <c r="U210" s="15" t="s">
        <v>267</v>
      </c>
      <c r="V210" s="15" t="s">
        <v>219</v>
      </c>
      <c r="W210" s="15">
        <v>11</v>
      </c>
      <c r="X210" s="15" t="str">
        <f>_xlfn.XLOOKUP(tblMeasure[[#This Row],[id_src]],tblSource[id_src],tblSource[org])</f>
        <v>NHS Digital</v>
      </c>
      <c r="Y210" s="15" t="str">
        <f>_xlfn.XLOOKUP(tblMeasure[[#This Row],[id_src]],tblSource[id_src],tblSource[source])</f>
        <v>Personal Social Services: Staff of Social Services Departments</v>
      </c>
      <c r="Z210" s="15" t="str">
        <f>_xlfn.XLOOKUP(tblMeasure[[#This Row],[id_src]],tblSource[id_src],tblSource[url_source])</f>
        <v>https://digital.nhs.uk/data-and-information/publications/statistical/personal-social-services-staff-of-social-services-departments</v>
      </c>
      <c r="AA210" s="15">
        <f>_xlfn.XLOOKUP(tblMeasure[[#This Row],[id_src]],tblSource[id_src],tblSource[year_first_published])</f>
        <v>2005</v>
      </c>
      <c r="AB210" s="15">
        <f>_xlfn.XLOOKUP(tblMeasure[[#This Row],[id_src]],tblSource[id_src],tblSource[year_last_published])</f>
        <v>2019</v>
      </c>
      <c r="AC210" s="15">
        <f>_xlfn.XLOOKUP(tblMeasure[[#This Row],[id_src]],tblSource[id_src],tblSource[discontinuity])</f>
        <v>2011</v>
      </c>
      <c r="AD210" s="15" t="str">
        <f>_xlfn.XLOOKUP(tblMeasure[[#This Row],[id_src]],tblSource[id_src],tblSource[publication_frequency])</f>
        <v>Annual</v>
      </c>
      <c r="AE210" s="15">
        <f>_xlfn.XLOOKUP(tblMeasure[[#This Row],[id_src]],tblSource[id_src],tblSource[publication_lag_months])</f>
        <v>5</v>
      </c>
      <c r="AF210" s="25" t="str">
        <f>_xlfn.XLOOKUP(tblMeasure[[#This Row],[id_src]],tblSource[id_src],tblSource[data_providers])</f>
        <v>Skills for Care, LA</v>
      </c>
      <c r="AG210" s="25" t="str">
        <f>_xlfn.XLOOKUP(tblMeasure[[#This Row],[id_src]],tblSource[id_src],tblSource[statistic_class])</f>
        <v>National</v>
      </c>
      <c r="AH210" s="25" t="str">
        <f>_xlfn.XLOOKUP(tblMeasure[[#This Row],[id_src]],tblSource[id_src],tblSource[methodology_link])</f>
        <v>https://digital.nhs.uk/data-and-information/publications/statistical/personal-social-services-staff-of-social-services-departments/england-2019/data-quality-statement</v>
      </c>
      <c r="AI210" s="25" t="str">
        <f>_xlfn.XLOOKUP(tblMeasure[[#This Row],[id_src]],tblSource[id_src],tblSource[quality_issues])</f>
        <v>https://digital.nhs.uk/data-and-information/publications/statistical/personal-social-services-staff-of-social-services-departments/england-2019/data-quality-statement</v>
      </c>
      <c r="AJ210" s="25">
        <f>VLOOKUP(tblMeasure[[#This Row],[msr_population_or_survey]],strlu_msr_population_or_survey,2,FALSE)</f>
        <v>1</v>
      </c>
      <c r="AK210" s="25">
        <f>VLOOKUP(tblMeasure[[#This Row],[msr_min_geo_resolution]],strlu_msr_min_geo_resolution,2,FALSE)</f>
        <v>1</v>
      </c>
      <c r="AL210" s="25">
        <f>(MAX(tblMeasure[[#This Row],[src_year_last_published]]-2010+1,0)+MIN(2010-tblMeasure[[#This Row],[src_year_first_published]],0)-MAX(tblMeasure[[#This Row],[src_year_last_published]]-2019,0))/10</f>
        <v>1</v>
      </c>
      <c r="AM210" s="25">
        <f>IF(OR(tblMeasure[[#This Row],[src_discontinuity]]="None",tblMeasure[[#This Row],[src_discontinuity]]=0),1,0)</f>
        <v>0</v>
      </c>
      <c r="AN210" s="25">
        <f>VLOOKUP(tblMeasure[[#This Row],[src_pub_frequency]],strlu_src_pub_frequency,2,FALSE)</f>
        <v>0.8</v>
      </c>
      <c r="AO210" s="25">
        <f>VLOOKUP(tblMeasure[[#This Row],[src_pub_lag_months]],strlu_src_pub_lag_months,2,FALSE)</f>
        <v>0.5</v>
      </c>
      <c r="AP210" s="25">
        <f>VLOOKUP(tblMeasure[[#This Row],[src_statistic_class]],strlu_src_statistic_class,2,FALSE)</f>
        <v>1</v>
      </c>
      <c r="AQ210" s="25">
        <f>IF(tblMeasure[[#This Row],[src_methodology_url]]="TBD",0,1)</f>
        <v>1</v>
      </c>
      <c r="AR210" s="25">
        <f>IF(tblMeasure[[#This Row],[src_quality_url]]="TBD",0,1)</f>
        <v>1</v>
      </c>
      <c r="AS210" s="85" cm="1">
        <f t="array" ref="AS210">SUMPRODUCT(TRANSPOSE(tblMeasure[[#This Row],[str_msr_population_or_survey]:[str_src_quality_url]]),str_weights)/str_weights_total</f>
        <v>0.85384615384615381</v>
      </c>
    </row>
    <row r="211" spans="1:45" hidden="1" x14ac:dyDescent="0.15">
      <c r="A211" s="30">
        <v>209</v>
      </c>
      <c r="B211" s="15">
        <f>COUNTIF(requirement_measure_map!$D$3:$D$1514,measure!A211)</f>
        <v>2</v>
      </c>
      <c r="C211" s="30" t="s">
        <v>656</v>
      </c>
      <c r="D211" s="15" t="s">
        <v>823</v>
      </c>
      <c r="E211" s="15" t="s">
        <v>601</v>
      </c>
      <c r="F211" s="15" t="s">
        <v>824</v>
      </c>
      <c r="G211" s="29" t="s">
        <v>806</v>
      </c>
      <c r="H211" s="15" t="s">
        <v>807</v>
      </c>
      <c r="I211" s="15" t="s">
        <v>214</v>
      </c>
      <c r="J211" s="15" t="s">
        <v>215</v>
      </c>
      <c r="K211" s="15" t="s">
        <v>825</v>
      </c>
      <c r="L211" s="15" t="s">
        <v>233</v>
      </c>
      <c r="M211" s="15" t="s">
        <v>219</v>
      </c>
      <c r="N211" s="15" t="s">
        <v>219</v>
      </c>
      <c r="O211" s="15" t="s">
        <v>219</v>
      </c>
      <c r="P211" s="15" t="s">
        <v>219</v>
      </c>
      <c r="Q211" s="15" t="s">
        <v>219</v>
      </c>
      <c r="R211" s="15" t="s">
        <v>219</v>
      </c>
      <c r="S211" s="15" t="s">
        <v>220</v>
      </c>
      <c r="T211" s="15" t="s">
        <v>219</v>
      </c>
      <c r="U211" s="15" t="s">
        <v>219</v>
      </c>
      <c r="V211" s="15" t="s">
        <v>219</v>
      </c>
      <c r="W211" s="15">
        <v>11</v>
      </c>
      <c r="X211" s="15" t="str">
        <f>_xlfn.XLOOKUP(tblMeasure[[#This Row],[id_src]],tblSource[id_src],tblSource[org])</f>
        <v>NHS Digital</v>
      </c>
      <c r="Y211" s="15" t="str">
        <f>_xlfn.XLOOKUP(tblMeasure[[#This Row],[id_src]],tblSource[id_src],tblSource[source])</f>
        <v>Personal Social Services: Staff of Social Services Departments</v>
      </c>
      <c r="Z211" s="15" t="str">
        <f>_xlfn.XLOOKUP(tblMeasure[[#This Row],[id_src]],tblSource[id_src],tblSource[url_source])</f>
        <v>https://digital.nhs.uk/data-and-information/publications/statistical/personal-social-services-staff-of-social-services-departments</v>
      </c>
      <c r="AA211" s="15">
        <f>_xlfn.XLOOKUP(tblMeasure[[#This Row],[id_src]],tblSource[id_src],tblSource[year_first_published])</f>
        <v>2005</v>
      </c>
      <c r="AB211" s="15">
        <f>_xlfn.XLOOKUP(tblMeasure[[#This Row],[id_src]],tblSource[id_src],tblSource[year_last_published])</f>
        <v>2019</v>
      </c>
      <c r="AC211" s="15">
        <f>_xlfn.XLOOKUP(tblMeasure[[#This Row],[id_src]],tblSource[id_src],tblSource[discontinuity])</f>
        <v>2011</v>
      </c>
      <c r="AD211" s="15" t="str">
        <f>_xlfn.XLOOKUP(tblMeasure[[#This Row],[id_src]],tblSource[id_src],tblSource[publication_frequency])</f>
        <v>Annual</v>
      </c>
      <c r="AE211" s="15">
        <f>_xlfn.XLOOKUP(tblMeasure[[#This Row],[id_src]],tblSource[id_src],tblSource[publication_lag_months])</f>
        <v>5</v>
      </c>
      <c r="AF211" s="25" t="str">
        <f>_xlfn.XLOOKUP(tblMeasure[[#This Row],[id_src]],tblSource[id_src],tblSource[data_providers])</f>
        <v>Skills for Care, LA</v>
      </c>
      <c r="AG211" s="25" t="str">
        <f>_xlfn.XLOOKUP(tblMeasure[[#This Row],[id_src]],tblSource[id_src],tblSource[statistic_class])</f>
        <v>National</v>
      </c>
      <c r="AH211" s="25" t="str">
        <f>_xlfn.XLOOKUP(tblMeasure[[#This Row],[id_src]],tblSource[id_src],tblSource[methodology_link])</f>
        <v>https://digital.nhs.uk/data-and-information/publications/statistical/personal-social-services-staff-of-social-services-departments/england-2019/data-quality-statement</v>
      </c>
      <c r="AI211" s="25" t="str">
        <f>_xlfn.XLOOKUP(tblMeasure[[#This Row],[id_src]],tblSource[id_src],tblSource[quality_issues])</f>
        <v>https://digital.nhs.uk/data-and-information/publications/statistical/personal-social-services-staff-of-social-services-departments/england-2019/data-quality-statement</v>
      </c>
      <c r="AJ211" s="25">
        <f>VLOOKUP(tblMeasure[[#This Row],[msr_population_or_survey]],strlu_msr_population_or_survey,2,FALSE)</f>
        <v>1</v>
      </c>
      <c r="AK211" s="25">
        <f>VLOOKUP(tblMeasure[[#This Row],[msr_min_geo_resolution]],strlu_msr_min_geo_resolution,2,FALSE)</f>
        <v>0</v>
      </c>
      <c r="AL211" s="25">
        <f>(MAX(tblMeasure[[#This Row],[src_year_last_published]]-2010+1,0)+MIN(2010-tblMeasure[[#This Row],[src_year_first_published]],0)-MAX(tblMeasure[[#This Row],[src_year_last_published]]-2019,0))/10</f>
        <v>1</v>
      </c>
      <c r="AM211" s="25">
        <f>IF(OR(tblMeasure[[#This Row],[src_discontinuity]]="None",tblMeasure[[#This Row],[src_discontinuity]]=0),1,0)</f>
        <v>0</v>
      </c>
      <c r="AN211" s="25">
        <f>VLOOKUP(tblMeasure[[#This Row],[src_pub_frequency]],strlu_src_pub_frequency,2,FALSE)</f>
        <v>0.8</v>
      </c>
      <c r="AO211" s="25">
        <f>VLOOKUP(tblMeasure[[#This Row],[src_pub_lag_months]],strlu_src_pub_lag_months,2,FALSE)</f>
        <v>0.5</v>
      </c>
      <c r="AP211" s="25">
        <f>VLOOKUP(tblMeasure[[#This Row],[src_statistic_class]],strlu_src_statistic_class,2,FALSE)</f>
        <v>1</v>
      </c>
      <c r="AQ211" s="25">
        <f>IF(tblMeasure[[#This Row],[src_methodology_url]]="TBD",0,1)</f>
        <v>1</v>
      </c>
      <c r="AR211" s="25">
        <f>IF(tblMeasure[[#This Row],[src_quality_url]]="TBD",0,1)</f>
        <v>1</v>
      </c>
      <c r="AS211" s="85" cm="1">
        <f t="array" ref="AS211">SUMPRODUCT(TRANSPOSE(tblMeasure[[#This Row],[str_msr_population_or_survey]:[str_src_quality_url]]),str_weights)/str_weights_total</f>
        <v>0.7</v>
      </c>
    </row>
    <row r="212" spans="1:45" hidden="1" x14ac:dyDescent="0.15">
      <c r="A212" s="30">
        <v>210</v>
      </c>
      <c r="B212" s="15">
        <f>COUNTIF(requirement_measure_map!$D$3:$D$1514,measure!A212)</f>
        <v>3</v>
      </c>
      <c r="C212" s="30" t="s">
        <v>656</v>
      </c>
      <c r="D212" s="15" t="s">
        <v>823</v>
      </c>
      <c r="E212" s="15" t="s">
        <v>604</v>
      </c>
      <c r="F212" s="15" t="s">
        <v>826</v>
      </c>
      <c r="G212" s="29" t="s">
        <v>806</v>
      </c>
      <c r="H212" s="15" t="s">
        <v>807</v>
      </c>
      <c r="I212" s="15" t="s">
        <v>214</v>
      </c>
      <c r="J212" s="15" t="s">
        <v>215</v>
      </c>
      <c r="K212" s="15" t="s">
        <v>827</v>
      </c>
      <c r="L212" s="15" t="s">
        <v>233</v>
      </c>
      <c r="M212" s="15" t="s">
        <v>219</v>
      </c>
      <c r="N212" s="15" t="s">
        <v>219</v>
      </c>
      <c r="O212" s="15" t="s">
        <v>219</v>
      </c>
      <c r="P212" s="15" t="s">
        <v>219</v>
      </c>
      <c r="Q212" s="15" t="s">
        <v>219</v>
      </c>
      <c r="R212" s="15" t="s">
        <v>219</v>
      </c>
      <c r="S212" s="15" t="s">
        <v>220</v>
      </c>
      <c r="T212" s="15" t="s">
        <v>219</v>
      </c>
      <c r="U212" s="15" t="s">
        <v>219</v>
      </c>
      <c r="V212" s="15" t="s">
        <v>219</v>
      </c>
      <c r="W212" s="15">
        <v>11</v>
      </c>
      <c r="X212" s="15" t="str">
        <f>_xlfn.XLOOKUP(tblMeasure[[#This Row],[id_src]],tblSource[id_src],tblSource[org])</f>
        <v>NHS Digital</v>
      </c>
      <c r="Y212" s="15" t="str">
        <f>_xlfn.XLOOKUP(tblMeasure[[#This Row],[id_src]],tblSource[id_src],tblSource[source])</f>
        <v>Personal Social Services: Staff of Social Services Departments</v>
      </c>
      <c r="Z212" s="15" t="str">
        <f>_xlfn.XLOOKUP(tblMeasure[[#This Row],[id_src]],tblSource[id_src],tblSource[url_source])</f>
        <v>https://digital.nhs.uk/data-and-information/publications/statistical/personal-social-services-staff-of-social-services-departments</v>
      </c>
      <c r="AA212" s="15">
        <f>_xlfn.XLOOKUP(tblMeasure[[#This Row],[id_src]],tblSource[id_src],tblSource[year_first_published])</f>
        <v>2005</v>
      </c>
      <c r="AB212" s="15">
        <f>_xlfn.XLOOKUP(tblMeasure[[#This Row],[id_src]],tblSource[id_src],tblSource[year_last_published])</f>
        <v>2019</v>
      </c>
      <c r="AC212" s="15">
        <f>_xlfn.XLOOKUP(tblMeasure[[#This Row],[id_src]],tblSource[id_src],tblSource[discontinuity])</f>
        <v>2011</v>
      </c>
      <c r="AD212" s="15" t="str">
        <f>_xlfn.XLOOKUP(tblMeasure[[#This Row],[id_src]],tblSource[id_src],tblSource[publication_frequency])</f>
        <v>Annual</v>
      </c>
      <c r="AE212" s="15">
        <f>_xlfn.XLOOKUP(tblMeasure[[#This Row],[id_src]],tblSource[id_src],tblSource[publication_lag_months])</f>
        <v>5</v>
      </c>
      <c r="AF212" s="25" t="str">
        <f>_xlfn.XLOOKUP(tblMeasure[[#This Row],[id_src]],tblSource[id_src],tblSource[data_providers])</f>
        <v>Skills for Care, LA</v>
      </c>
      <c r="AG212" s="25" t="str">
        <f>_xlfn.XLOOKUP(tblMeasure[[#This Row],[id_src]],tblSource[id_src],tblSource[statistic_class])</f>
        <v>National</v>
      </c>
      <c r="AH212" s="25" t="str">
        <f>_xlfn.XLOOKUP(tblMeasure[[#This Row],[id_src]],tblSource[id_src],tblSource[methodology_link])</f>
        <v>https://digital.nhs.uk/data-and-information/publications/statistical/personal-social-services-staff-of-social-services-departments/england-2019/data-quality-statement</v>
      </c>
      <c r="AI212" s="25" t="str">
        <f>_xlfn.XLOOKUP(tblMeasure[[#This Row],[id_src]],tblSource[id_src],tblSource[quality_issues])</f>
        <v>https://digital.nhs.uk/data-and-information/publications/statistical/personal-social-services-staff-of-social-services-departments/england-2019/data-quality-statement</v>
      </c>
      <c r="AJ212" s="25">
        <f>VLOOKUP(tblMeasure[[#This Row],[msr_population_or_survey]],strlu_msr_population_or_survey,2,FALSE)</f>
        <v>1</v>
      </c>
      <c r="AK212" s="25">
        <f>VLOOKUP(tblMeasure[[#This Row],[msr_min_geo_resolution]],strlu_msr_min_geo_resolution,2,FALSE)</f>
        <v>0</v>
      </c>
      <c r="AL212" s="25">
        <f>(MAX(tblMeasure[[#This Row],[src_year_last_published]]-2010+1,0)+MIN(2010-tblMeasure[[#This Row],[src_year_first_published]],0)-MAX(tblMeasure[[#This Row],[src_year_last_published]]-2019,0))/10</f>
        <v>1</v>
      </c>
      <c r="AM212" s="25">
        <f>IF(OR(tblMeasure[[#This Row],[src_discontinuity]]="None",tblMeasure[[#This Row],[src_discontinuity]]=0),1,0)</f>
        <v>0</v>
      </c>
      <c r="AN212" s="25">
        <f>VLOOKUP(tblMeasure[[#This Row],[src_pub_frequency]],strlu_src_pub_frequency,2,FALSE)</f>
        <v>0.8</v>
      </c>
      <c r="AO212" s="25">
        <f>VLOOKUP(tblMeasure[[#This Row],[src_pub_lag_months]],strlu_src_pub_lag_months,2,FALSE)</f>
        <v>0.5</v>
      </c>
      <c r="AP212" s="25">
        <f>VLOOKUP(tblMeasure[[#This Row],[src_statistic_class]],strlu_src_statistic_class,2,FALSE)</f>
        <v>1</v>
      </c>
      <c r="AQ212" s="25">
        <f>IF(tblMeasure[[#This Row],[src_methodology_url]]="TBD",0,1)</f>
        <v>1</v>
      </c>
      <c r="AR212" s="25">
        <f>IF(tblMeasure[[#This Row],[src_quality_url]]="TBD",0,1)</f>
        <v>1</v>
      </c>
      <c r="AS212" s="85" cm="1">
        <f t="array" ref="AS212">SUMPRODUCT(TRANSPOSE(tblMeasure[[#This Row],[str_msr_population_or_survey]:[str_src_quality_url]]),str_weights)/str_weights_total</f>
        <v>0.7</v>
      </c>
    </row>
    <row r="213" spans="1:45" hidden="1" x14ac:dyDescent="0.15">
      <c r="A213" s="30">
        <v>211</v>
      </c>
      <c r="B213" s="15">
        <f>COUNTIF(requirement_measure_map!$D$3:$D$1514,measure!A213)</f>
        <v>2</v>
      </c>
      <c r="C213" s="30" t="s">
        <v>656</v>
      </c>
      <c r="D213" s="15" t="s">
        <v>823</v>
      </c>
      <c r="E213" s="15" t="s">
        <v>789</v>
      </c>
      <c r="F213" s="15" t="s">
        <v>828</v>
      </c>
      <c r="G213" s="29" t="s">
        <v>806</v>
      </c>
      <c r="H213" s="15" t="s">
        <v>807</v>
      </c>
      <c r="I213" s="15" t="s">
        <v>214</v>
      </c>
      <c r="J213" s="15" t="s">
        <v>215</v>
      </c>
      <c r="K213" s="15" t="s">
        <v>829</v>
      </c>
      <c r="L213" s="15" t="s">
        <v>217</v>
      </c>
      <c r="M213" s="15" t="s">
        <v>219</v>
      </c>
      <c r="N213" s="15" t="s">
        <v>219</v>
      </c>
      <c r="O213" s="15" t="s">
        <v>219</v>
      </c>
      <c r="P213" s="15" t="s">
        <v>219</v>
      </c>
      <c r="Q213" s="15" t="s">
        <v>219</v>
      </c>
      <c r="R213" s="15" t="s">
        <v>219</v>
      </c>
      <c r="S213" s="15" t="s">
        <v>220</v>
      </c>
      <c r="T213" s="15" t="s">
        <v>219</v>
      </c>
      <c r="U213" s="15" t="s">
        <v>219</v>
      </c>
      <c r="V213" s="15" t="s">
        <v>219</v>
      </c>
      <c r="W213" s="15">
        <v>11</v>
      </c>
      <c r="X213" s="15" t="str">
        <f>_xlfn.XLOOKUP(tblMeasure[[#This Row],[id_src]],tblSource[id_src],tblSource[org])</f>
        <v>NHS Digital</v>
      </c>
      <c r="Y213" s="15" t="str">
        <f>_xlfn.XLOOKUP(tblMeasure[[#This Row],[id_src]],tblSource[id_src],tblSource[source])</f>
        <v>Personal Social Services: Staff of Social Services Departments</v>
      </c>
      <c r="Z213" s="15" t="str">
        <f>_xlfn.XLOOKUP(tblMeasure[[#This Row],[id_src]],tblSource[id_src],tblSource[url_source])</f>
        <v>https://digital.nhs.uk/data-and-information/publications/statistical/personal-social-services-staff-of-social-services-departments</v>
      </c>
      <c r="AA213" s="15">
        <f>_xlfn.XLOOKUP(tblMeasure[[#This Row],[id_src]],tblSource[id_src],tblSource[year_first_published])</f>
        <v>2005</v>
      </c>
      <c r="AB213" s="15">
        <f>_xlfn.XLOOKUP(tblMeasure[[#This Row],[id_src]],tblSource[id_src],tblSource[year_last_published])</f>
        <v>2019</v>
      </c>
      <c r="AC213" s="15">
        <f>_xlfn.XLOOKUP(tblMeasure[[#This Row],[id_src]],tblSource[id_src],tblSource[discontinuity])</f>
        <v>2011</v>
      </c>
      <c r="AD213" s="15" t="str">
        <f>_xlfn.XLOOKUP(tblMeasure[[#This Row],[id_src]],tblSource[id_src],tblSource[publication_frequency])</f>
        <v>Annual</v>
      </c>
      <c r="AE213" s="15">
        <f>_xlfn.XLOOKUP(tblMeasure[[#This Row],[id_src]],tblSource[id_src],tblSource[publication_lag_months])</f>
        <v>5</v>
      </c>
      <c r="AF213" s="25" t="str">
        <f>_xlfn.XLOOKUP(tblMeasure[[#This Row],[id_src]],tblSource[id_src],tblSource[data_providers])</f>
        <v>Skills for Care, LA</v>
      </c>
      <c r="AG213" s="25" t="str">
        <f>_xlfn.XLOOKUP(tblMeasure[[#This Row],[id_src]],tblSource[id_src],tblSource[statistic_class])</f>
        <v>National</v>
      </c>
      <c r="AH213" s="25" t="str">
        <f>_xlfn.XLOOKUP(tblMeasure[[#This Row],[id_src]],tblSource[id_src],tblSource[methodology_link])</f>
        <v>https://digital.nhs.uk/data-and-information/publications/statistical/personal-social-services-staff-of-social-services-departments/england-2019/data-quality-statement</v>
      </c>
      <c r="AI213" s="25" t="str">
        <f>_xlfn.XLOOKUP(tblMeasure[[#This Row],[id_src]],tblSource[id_src],tblSource[quality_issues])</f>
        <v>https://digital.nhs.uk/data-and-information/publications/statistical/personal-social-services-staff-of-social-services-departments/england-2019/data-quality-statement</v>
      </c>
      <c r="AJ213" s="25">
        <f>VLOOKUP(tblMeasure[[#This Row],[msr_population_or_survey]],strlu_msr_population_or_survey,2,FALSE)</f>
        <v>1</v>
      </c>
      <c r="AK213" s="25">
        <f>VLOOKUP(tblMeasure[[#This Row],[msr_min_geo_resolution]],strlu_msr_min_geo_resolution,2,FALSE)</f>
        <v>1</v>
      </c>
      <c r="AL213" s="25">
        <f>(MAX(tblMeasure[[#This Row],[src_year_last_published]]-2010+1,0)+MIN(2010-tblMeasure[[#This Row],[src_year_first_published]],0)-MAX(tblMeasure[[#This Row],[src_year_last_published]]-2019,0))/10</f>
        <v>1</v>
      </c>
      <c r="AM213" s="25">
        <f>IF(OR(tblMeasure[[#This Row],[src_discontinuity]]="None",tblMeasure[[#This Row],[src_discontinuity]]=0),1,0)</f>
        <v>0</v>
      </c>
      <c r="AN213" s="25">
        <f>VLOOKUP(tblMeasure[[#This Row],[src_pub_frequency]],strlu_src_pub_frequency,2,FALSE)</f>
        <v>0.8</v>
      </c>
      <c r="AO213" s="25">
        <f>VLOOKUP(tblMeasure[[#This Row],[src_pub_lag_months]],strlu_src_pub_lag_months,2,FALSE)</f>
        <v>0.5</v>
      </c>
      <c r="AP213" s="25">
        <f>VLOOKUP(tblMeasure[[#This Row],[src_statistic_class]],strlu_src_statistic_class,2,FALSE)</f>
        <v>1</v>
      </c>
      <c r="AQ213" s="25">
        <f>IF(tblMeasure[[#This Row],[src_methodology_url]]="TBD",0,1)</f>
        <v>1</v>
      </c>
      <c r="AR213" s="25">
        <f>IF(tblMeasure[[#This Row],[src_quality_url]]="TBD",0,1)</f>
        <v>1</v>
      </c>
      <c r="AS213" s="85" cm="1">
        <f t="array" ref="AS213">SUMPRODUCT(TRANSPOSE(tblMeasure[[#This Row],[str_msr_population_or_survey]:[str_src_quality_url]]),str_weights)/str_weights_total</f>
        <v>0.85384615384615381</v>
      </c>
    </row>
    <row r="214" spans="1:45" hidden="1" x14ac:dyDescent="0.15">
      <c r="A214" s="30">
        <v>212</v>
      </c>
      <c r="B214" s="15">
        <f>COUNTIF(requirement_measure_map!$D$3:$D$1514,measure!A214)</f>
        <v>2</v>
      </c>
      <c r="C214" s="30" t="s">
        <v>656</v>
      </c>
      <c r="D214" s="15" t="s">
        <v>823</v>
      </c>
      <c r="E214" s="15" t="s">
        <v>678</v>
      </c>
      <c r="F214" s="15" t="s">
        <v>830</v>
      </c>
      <c r="G214" s="29" t="s">
        <v>806</v>
      </c>
      <c r="H214" s="15" t="s">
        <v>807</v>
      </c>
      <c r="I214" s="15" t="s">
        <v>214</v>
      </c>
      <c r="J214" s="15" t="s">
        <v>215</v>
      </c>
      <c r="K214" s="15" t="s">
        <v>831</v>
      </c>
      <c r="L214" s="15" t="s">
        <v>233</v>
      </c>
      <c r="M214" s="15" t="s">
        <v>219</v>
      </c>
      <c r="N214" s="15" t="s">
        <v>219</v>
      </c>
      <c r="O214" s="15" t="s">
        <v>219</v>
      </c>
      <c r="P214" s="15" t="s">
        <v>219</v>
      </c>
      <c r="Q214" s="15" t="s">
        <v>219</v>
      </c>
      <c r="R214" s="15" t="s">
        <v>219</v>
      </c>
      <c r="S214" s="15" t="s">
        <v>220</v>
      </c>
      <c r="T214" s="15" t="s">
        <v>219</v>
      </c>
      <c r="U214" s="15" t="s">
        <v>219</v>
      </c>
      <c r="V214" s="15" t="s">
        <v>219</v>
      </c>
      <c r="W214" s="15">
        <v>11</v>
      </c>
      <c r="X214" s="15" t="str">
        <f>_xlfn.XLOOKUP(tblMeasure[[#This Row],[id_src]],tblSource[id_src],tblSource[org])</f>
        <v>NHS Digital</v>
      </c>
      <c r="Y214" s="15" t="str">
        <f>_xlfn.XLOOKUP(tblMeasure[[#This Row],[id_src]],tblSource[id_src],tblSource[source])</f>
        <v>Personal Social Services: Staff of Social Services Departments</v>
      </c>
      <c r="Z214" s="15" t="str">
        <f>_xlfn.XLOOKUP(tblMeasure[[#This Row],[id_src]],tblSource[id_src],tblSource[url_source])</f>
        <v>https://digital.nhs.uk/data-and-information/publications/statistical/personal-social-services-staff-of-social-services-departments</v>
      </c>
      <c r="AA214" s="15">
        <f>_xlfn.XLOOKUP(tblMeasure[[#This Row],[id_src]],tblSource[id_src],tblSource[year_first_published])</f>
        <v>2005</v>
      </c>
      <c r="AB214" s="15">
        <f>_xlfn.XLOOKUP(tblMeasure[[#This Row],[id_src]],tblSource[id_src],tblSource[year_last_published])</f>
        <v>2019</v>
      </c>
      <c r="AC214" s="15">
        <f>_xlfn.XLOOKUP(tblMeasure[[#This Row],[id_src]],tblSource[id_src],tblSource[discontinuity])</f>
        <v>2011</v>
      </c>
      <c r="AD214" s="15" t="str">
        <f>_xlfn.XLOOKUP(tblMeasure[[#This Row],[id_src]],tblSource[id_src],tblSource[publication_frequency])</f>
        <v>Annual</v>
      </c>
      <c r="AE214" s="15">
        <f>_xlfn.XLOOKUP(tblMeasure[[#This Row],[id_src]],tblSource[id_src],tblSource[publication_lag_months])</f>
        <v>5</v>
      </c>
      <c r="AF214" s="25" t="str">
        <f>_xlfn.XLOOKUP(tblMeasure[[#This Row],[id_src]],tblSource[id_src],tblSource[data_providers])</f>
        <v>Skills for Care, LA</v>
      </c>
      <c r="AG214" s="25" t="str">
        <f>_xlfn.XLOOKUP(tblMeasure[[#This Row],[id_src]],tblSource[id_src],tblSource[statistic_class])</f>
        <v>National</v>
      </c>
      <c r="AH214" s="25" t="str">
        <f>_xlfn.XLOOKUP(tblMeasure[[#This Row],[id_src]],tblSource[id_src],tblSource[methodology_link])</f>
        <v>https://digital.nhs.uk/data-and-information/publications/statistical/personal-social-services-staff-of-social-services-departments/england-2019/data-quality-statement</v>
      </c>
      <c r="AI214" s="25" t="str">
        <f>_xlfn.XLOOKUP(tblMeasure[[#This Row],[id_src]],tblSource[id_src],tblSource[quality_issues])</f>
        <v>https://digital.nhs.uk/data-and-information/publications/statistical/personal-social-services-staff-of-social-services-departments/england-2019/data-quality-statement</v>
      </c>
      <c r="AJ214" s="25">
        <f>VLOOKUP(tblMeasure[[#This Row],[msr_population_or_survey]],strlu_msr_population_or_survey,2,FALSE)</f>
        <v>1</v>
      </c>
      <c r="AK214" s="25">
        <f>VLOOKUP(tblMeasure[[#This Row],[msr_min_geo_resolution]],strlu_msr_min_geo_resolution,2,FALSE)</f>
        <v>0</v>
      </c>
      <c r="AL214" s="25">
        <f>(MAX(tblMeasure[[#This Row],[src_year_last_published]]-2010+1,0)+MIN(2010-tblMeasure[[#This Row],[src_year_first_published]],0)-MAX(tblMeasure[[#This Row],[src_year_last_published]]-2019,0))/10</f>
        <v>1</v>
      </c>
      <c r="AM214" s="25">
        <f>IF(OR(tblMeasure[[#This Row],[src_discontinuity]]="None",tblMeasure[[#This Row],[src_discontinuity]]=0),1,0)</f>
        <v>0</v>
      </c>
      <c r="AN214" s="25">
        <f>VLOOKUP(tblMeasure[[#This Row],[src_pub_frequency]],strlu_src_pub_frequency,2,FALSE)</f>
        <v>0.8</v>
      </c>
      <c r="AO214" s="25">
        <f>VLOOKUP(tblMeasure[[#This Row],[src_pub_lag_months]],strlu_src_pub_lag_months,2,FALSE)</f>
        <v>0.5</v>
      </c>
      <c r="AP214" s="25">
        <f>VLOOKUP(tblMeasure[[#This Row],[src_statistic_class]],strlu_src_statistic_class,2,FALSE)</f>
        <v>1</v>
      </c>
      <c r="AQ214" s="25">
        <f>IF(tblMeasure[[#This Row],[src_methodology_url]]="TBD",0,1)</f>
        <v>1</v>
      </c>
      <c r="AR214" s="25">
        <f>IF(tblMeasure[[#This Row],[src_quality_url]]="TBD",0,1)</f>
        <v>1</v>
      </c>
      <c r="AS214" s="85" cm="1">
        <f t="array" ref="AS214">SUMPRODUCT(TRANSPOSE(tblMeasure[[#This Row],[str_msr_population_or_survey]:[str_src_quality_url]]),str_weights)/str_weights_total</f>
        <v>0.7</v>
      </c>
    </row>
    <row r="215" spans="1:45" hidden="1" x14ac:dyDescent="0.15">
      <c r="A215" s="30">
        <v>213</v>
      </c>
      <c r="B215" s="15">
        <f>COUNTIF(requirement_measure_map!$D$3:$D$1514,measure!A215)</f>
        <v>2</v>
      </c>
      <c r="C215" s="30" t="s">
        <v>656</v>
      </c>
      <c r="D215" s="15" t="s">
        <v>823</v>
      </c>
      <c r="E215" s="15" t="s">
        <v>682</v>
      </c>
      <c r="F215" s="15" t="s">
        <v>832</v>
      </c>
      <c r="G215" s="29" t="s">
        <v>806</v>
      </c>
      <c r="H215" s="15" t="s">
        <v>807</v>
      </c>
      <c r="I215" s="15" t="s">
        <v>214</v>
      </c>
      <c r="J215" s="15" t="s">
        <v>215</v>
      </c>
      <c r="K215" s="15" t="s">
        <v>833</v>
      </c>
      <c r="L215" s="15" t="s">
        <v>217</v>
      </c>
      <c r="M215" s="15" t="s">
        <v>219</v>
      </c>
      <c r="N215" s="15" t="s">
        <v>219</v>
      </c>
      <c r="O215" s="15" t="s">
        <v>219</v>
      </c>
      <c r="P215" s="15" t="s">
        <v>219</v>
      </c>
      <c r="Q215" s="15" t="s">
        <v>219</v>
      </c>
      <c r="R215" s="15" t="s">
        <v>219</v>
      </c>
      <c r="S215" s="15" t="s">
        <v>220</v>
      </c>
      <c r="T215" s="15" t="s">
        <v>219</v>
      </c>
      <c r="U215" s="15" t="s">
        <v>219</v>
      </c>
      <c r="V215" s="15" t="s">
        <v>219</v>
      </c>
      <c r="W215" s="15">
        <v>11</v>
      </c>
      <c r="X215" s="15" t="str">
        <f>_xlfn.XLOOKUP(tblMeasure[[#This Row],[id_src]],tblSource[id_src],tblSource[org])</f>
        <v>NHS Digital</v>
      </c>
      <c r="Y215" s="15" t="str">
        <f>_xlfn.XLOOKUP(tblMeasure[[#This Row],[id_src]],tblSource[id_src],tblSource[source])</f>
        <v>Personal Social Services: Staff of Social Services Departments</v>
      </c>
      <c r="Z215" s="15" t="str">
        <f>_xlfn.XLOOKUP(tblMeasure[[#This Row],[id_src]],tblSource[id_src],tblSource[url_source])</f>
        <v>https://digital.nhs.uk/data-and-information/publications/statistical/personal-social-services-staff-of-social-services-departments</v>
      </c>
      <c r="AA215" s="15">
        <f>_xlfn.XLOOKUP(tblMeasure[[#This Row],[id_src]],tblSource[id_src],tblSource[year_first_published])</f>
        <v>2005</v>
      </c>
      <c r="AB215" s="15">
        <f>_xlfn.XLOOKUP(tblMeasure[[#This Row],[id_src]],tblSource[id_src],tblSource[year_last_published])</f>
        <v>2019</v>
      </c>
      <c r="AC215" s="15">
        <f>_xlfn.XLOOKUP(tblMeasure[[#This Row],[id_src]],tblSource[id_src],tblSource[discontinuity])</f>
        <v>2011</v>
      </c>
      <c r="AD215" s="15" t="str">
        <f>_xlfn.XLOOKUP(tblMeasure[[#This Row],[id_src]],tblSource[id_src],tblSource[publication_frequency])</f>
        <v>Annual</v>
      </c>
      <c r="AE215" s="15">
        <f>_xlfn.XLOOKUP(tblMeasure[[#This Row],[id_src]],tblSource[id_src],tblSource[publication_lag_months])</f>
        <v>5</v>
      </c>
      <c r="AF215" s="25" t="str">
        <f>_xlfn.XLOOKUP(tblMeasure[[#This Row],[id_src]],tblSource[id_src],tblSource[data_providers])</f>
        <v>Skills for Care, LA</v>
      </c>
      <c r="AG215" s="25" t="str">
        <f>_xlfn.XLOOKUP(tblMeasure[[#This Row],[id_src]],tblSource[id_src],tblSource[statistic_class])</f>
        <v>National</v>
      </c>
      <c r="AH215" s="25" t="str">
        <f>_xlfn.XLOOKUP(tblMeasure[[#This Row],[id_src]],tblSource[id_src],tblSource[methodology_link])</f>
        <v>https://digital.nhs.uk/data-and-information/publications/statistical/personal-social-services-staff-of-social-services-departments/england-2019/data-quality-statement</v>
      </c>
      <c r="AI215" s="25" t="str">
        <f>_xlfn.XLOOKUP(tblMeasure[[#This Row],[id_src]],tblSource[id_src],tblSource[quality_issues])</f>
        <v>https://digital.nhs.uk/data-and-information/publications/statistical/personal-social-services-staff-of-social-services-departments/england-2019/data-quality-statement</v>
      </c>
      <c r="AJ215" s="25">
        <f>VLOOKUP(tblMeasure[[#This Row],[msr_population_or_survey]],strlu_msr_population_or_survey,2,FALSE)</f>
        <v>1</v>
      </c>
      <c r="AK215" s="25">
        <f>VLOOKUP(tblMeasure[[#This Row],[msr_min_geo_resolution]],strlu_msr_min_geo_resolution,2,FALSE)</f>
        <v>1</v>
      </c>
      <c r="AL215" s="25">
        <f>(MAX(tblMeasure[[#This Row],[src_year_last_published]]-2010+1,0)+MIN(2010-tblMeasure[[#This Row],[src_year_first_published]],0)-MAX(tblMeasure[[#This Row],[src_year_last_published]]-2019,0))/10</f>
        <v>1</v>
      </c>
      <c r="AM215" s="25">
        <f>IF(OR(tblMeasure[[#This Row],[src_discontinuity]]="None",tblMeasure[[#This Row],[src_discontinuity]]=0),1,0)</f>
        <v>0</v>
      </c>
      <c r="AN215" s="25">
        <f>VLOOKUP(tblMeasure[[#This Row],[src_pub_frequency]],strlu_src_pub_frequency,2,FALSE)</f>
        <v>0.8</v>
      </c>
      <c r="AO215" s="25">
        <f>VLOOKUP(tblMeasure[[#This Row],[src_pub_lag_months]],strlu_src_pub_lag_months,2,FALSE)</f>
        <v>0.5</v>
      </c>
      <c r="AP215" s="25">
        <f>VLOOKUP(tblMeasure[[#This Row],[src_statistic_class]],strlu_src_statistic_class,2,FALSE)</f>
        <v>1</v>
      </c>
      <c r="AQ215" s="25">
        <f>IF(tblMeasure[[#This Row],[src_methodology_url]]="TBD",0,1)</f>
        <v>1</v>
      </c>
      <c r="AR215" s="25">
        <f>IF(tblMeasure[[#This Row],[src_quality_url]]="TBD",0,1)</f>
        <v>1</v>
      </c>
      <c r="AS215" s="85" cm="1">
        <f t="array" ref="AS215">SUMPRODUCT(TRANSPOSE(tblMeasure[[#This Row],[str_msr_population_or_survey]:[str_src_quality_url]]),str_weights)/str_weights_total</f>
        <v>0.85384615384615381</v>
      </c>
    </row>
    <row r="216" spans="1:45" hidden="1" x14ac:dyDescent="0.15">
      <c r="A216" s="30">
        <v>214</v>
      </c>
      <c r="B216" s="15">
        <f>COUNTIF(requirement_measure_map!$D$3:$D$1514,measure!A216)</f>
        <v>2</v>
      </c>
      <c r="C216" s="30" t="s">
        <v>656</v>
      </c>
      <c r="D216" s="15" t="s">
        <v>823</v>
      </c>
      <c r="E216" s="15" t="s">
        <v>686</v>
      </c>
      <c r="F216" s="15" t="s">
        <v>834</v>
      </c>
      <c r="G216" s="29" t="s">
        <v>806</v>
      </c>
      <c r="H216" s="15" t="s">
        <v>807</v>
      </c>
      <c r="I216" s="15" t="s">
        <v>214</v>
      </c>
      <c r="J216" s="15" t="s">
        <v>215</v>
      </c>
      <c r="K216" s="15" t="s">
        <v>835</v>
      </c>
      <c r="L216" s="15" t="s">
        <v>233</v>
      </c>
      <c r="M216" s="15" t="s">
        <v>219</v>
      </c>
      <c r="N216" s="15" t="s">
        <v>219</v>
      </c>
      <c r="O216" s="15" t="s">
        <v>219</v>
      </c>
      <c r="P216" s="15" t="s">
        <v>219</v>
      </c>
      <c r="Q216" s="15" t="s">
        <v>219</v>
      </c>
      <c r="R216" s="15" t="s">
        <v>219</v>
      </c>
      <c r="S216" s="15" t="s">
        <v>220</v>
      </c>
      <c r="T216" s="15" t="s">
        <v>219</v>
      </c>
      <c r="U216" s="15" t="s">
        <v>219</v>
      </c>
      <c r="V216" s="15" t="s">
        <v>219</v>
      </c>
      <c r="W216" s="15">
        <v>11</v>
      </c>
      <c r="X216" s="15" t="str">
        <f>_xlfn.XLOOKUP(tblMeasure[[#This Row],[id_src]],tblSource[id_src],tblSource[org])</f>
        <v>NHS Digital</v>
      </c>
      <c r="Y216" s="15" t="str">
        <f>_xlfn.XLOOKUP(tblMeasure[[#This Row],[id_src]],tblSource[id_src],tblSource[source])</f>
        <v>Personal Social Services: Staff of Social Services Departments</v>
      </c>
      <c r="Z216" s="15" t="str">
        <f>_xlfn.XLOOKUP(tblMeasure[[#This Row],[id_src]],tblSource[id_src],tblSource[url_source])</f>
        <v>https://digital.nhs.uk/data-and-information/publications/statistical/personal-social-services-staff-of-social-services-departments</v>
      </c>
      <c r="AA216" s="15">
        <f>_xlfn.XLOOKUP(tblMeasure[[#This Row],[id_src]],tblSource[id_src],tblSource[year_first_published])</f>
        <v>2005</v>
      </c>
      <c r="AB216" s="15">
        <f>_xlfn.XLOOKUP(tblMeasure[[#This Row],[id_src]],tblSource[id_src],tblSource[year_last_published])</f>
        <v>2019</v>
      </c>
      <c r="AC216" s="15">
        <f>_xlfn.XLOOKUP(tblMeasure[[#This Row],[id_src]],tblSource[id_src],tblSource[discontinuity])</f>
        <v>2011</v>
      </c>
      <c r="AD216" s="15" t="str">
        <f>_xlfn.XLOOKUP(tblMeasure[[#This Row],[id_src]],tblSource[id_src],tblSource[publication_frequency])</f>
        <v>Annual</v>
      </c>
      <c r="AE216" s="15">
        <f>_xlfn.XLOOKUP(tblMeasure[[#This Row],[id_src]],tblSource[id_src],tblSource[publication_lag_months])</f>
        <v>5</v>
      </c>
      <c r="AF216" s="25" t="str">
        <f>_xlfn.XLOOKUP(tblMeasure[[#This Row],[id_src]],tblSource[id_src],tblSource[data_providers])</f>
        <v>Skills for Care, LA</v>
      </c>
      <c r="AG216" s="25" t="str">
        <f>_xlfn.XLOOKUP(tblMeasure[[#This Row],[id_src]],tblSource[id_src],tblSource[statistic_class])</f>
        <v>National</v>
      </c>
      <c r="AH216" s="25" t="str">
        <f>_xlfn.XLOOKUP(tblMeasure[[#This Row],[id_src]],tblSource[id_src],tblSource[methodology_link])</f>
        <v>https://digital.nhs.uk/data-and-information/publications/statistical/personal-social-services-staff-of-social-services-departments/england-2019/data-quality-statement</v>
      </c>
      <c r="AI216" s="25" t="str">
        <f>_xlfn.XLOOKUP(tblMeasure[[#This Row],[id_src]],tblSource[id_src],tblSource[quality_issues])</f>
        <v>https://digital.nhs.uk/data-and-information/publications/statistical/personal-social-services-staff-of-social-services-departments/england-2019/data-quality-statement</v>
      </c>
      <c r="AJ216" s="25">
        <f>VLOOKUP(tblMeasure[[#This Row],[msr_population_or_survey]],strlu_msr_population_or_survey,2,FALSE)</f>
        <v>1</v>
      </c>
      <c r="AK216" s="25">
        <f>VLOOKUP(tblMeasure[[#This Row],[msr_min_geo_resolution]],strlu_msr_min_geo_resolution,2,FALSE)</f>
        <v>0</v>
      </c>
      <c r="AL216" s="25">
        <f>(MAX(tblMeasure[[#This Row],[src_year_last_published]]-2010+1,0)+MIN(2010-tblMeasure[[#This Row],[src_year_first_published]],0)-MAX(tblMeasure[[#This Row],[src_year_last_published]]-2019,0))/10</f>
        <v>1</v>
      </c>
      <c r="AM216" s="25">
        <f>IF(OR(tblMeasure[[#This Row],[src_discontinuity]]="None",tblMeasure[[#This Row],[src_discontinuity]]=0),1,0)</f>
        <v>0</v>
      </c>
      <c r="AN216" s="25">
        <f>VLOOKUP(tblMeasure[[#This Row],[src_pub_frequency]],strlu_src_pub_frequency,2,FALSE)</f>
        <v>0.8</v>
      </c>
      <c r="AO216" s="25">
        <f>VLOOKUP(tblMeasure[[#This Row],[src_pub_lag_months]],strlu_src_pub_lag_months,2,FALSE)</f>
        <v>0.5</v>
      </c>
      <c r="AP216" s="25">
        <f>VLOOKUP(tblMeasure[[#This Row],[src_statistic_class]],strlu_src_statistic_class,2,FALSE)</f>
        <v>1</v>
      </c>
      <c r="AQ216" s="25">
        <f>IF(tblMeasure[[#This Row],[src_methodology_url]]="TBD",0,1)</f>
        <v>1</v>
      </c>
      <c r="AR216" s="25">
        <f>IF(tblMeasure[[#This Row],[src_quality_url]]="TBD",0,1)</f>
        <v>1</v>
      </c>
      <c r="AS216" s="85" cm="1">
        <f t="array" ref="AS216">SUMPRODUCT(TRANSPOSE(tblMeasure[[#This Row],[str_msr_population_or_survey]:[str_src_quality_url]]),str_weights)/str_weights_total</f>
        <v>0.7</v>
      </c>
    </row>
    <row r="217" spans="1:45" hidden="1" x14ac:dyDescent="0.15">
      <c r="A217" s="30">
        <v>215</v>
      </c>
      <c r="B217" s="15">
        <f>COUNTIF(requirement_measure_map!$D$3:$D$1514,measure!A217)</f>
        <v>2</v>
      </c>
      <c r="C217" s="30" t="s">
        <v>656</v>
      </c>
      <c r="D217" s="15" t="s">
        <v>823</v>
      </c>
      <c r="E217" s="15" t="s">
        <v>690</v>
      </c>
      <c r="F217" s="15" t="s">
        <v>836</v>
      </c>
      <c r="G217" s="29" t="s">
        <v>806</v>
      </c>
      <c r="H217" s="15" t="s">
        <v>807</v>
      </c>
      <c r="I217" s="15" t="s">
        <v>214</v>
      </c>
      <c r="J217" s="15" t="s">
        <v>215</v>
      </c>
      <c r="K217" s="15" t="s">
        <v>837</v>
      </c>
      <c r="L217" s="15" t="s">
        <v>217</v>
      </c>
      <c r="M217" s="15" t="s">
        <v>219</v>
      </c>
      <c r="N217" s="15" t="s">
        <v>219</v>
      </c>
      <c r="O217" s="15" t="s">
        <v>219</v>
      </c>
      <c r="P217" s="15" t="s">
        <v>219</v>
      </c>
      <c r="Q217" s="15" t="s">
        <v>219</v>
      </c>
      <c r="R217" s="15" t="s">
        <v>219</v>
      </c>
      <c r="S217" s="15" t="s">
        <v>220</v>
      </c>
      <c r="T217" s="15" t="s">
        <v>219</v>
      </c>
      <c r="U217" s="15" t="s">
        <v>219</v>
      </c>
      <c r="V217" s="15" t="s">
        <v>219</v>
      </c>
      <c r="W217" s="15">
        <v>11</v>
      </c>
      <c r="X217" s="15" t="str">
        <f>_xlfn.XLOOKUP(tblMeasure[[#This Row],[id_src]],tblSource[id_src],tblSource[org])</f>
        <v>NHS Digital</v>
      </c>
      <c r="Y217" s="15" t="str">
        <f>_xlfn.XLOOKUP(tblMeasure[[#This Row],[id_src]],tblSource[id_src],tblSource[source])</f>
        <v>Personal Social Services: Staff of Social Services Departments</v>
      </c>
      <c r="Z217" s="15" t="str">
        <f>_xlfn.XLOOKUP(tblMeasure[[#This Row],[id_src]],tblSource[id_src],tblSource[url_source])</f>
        <v>https://digital.nhs.uk/data-and-information/publications/statistical/personal-social-services-staff-of-social-services-departments</v>
      </c>
      <c r="AA217" s="15">
        <f>_xlfn.XLOOKUP(tblMeasure[[#This Row],[id_src]],tblSource[id_src],tblSource[year_first_published])</f>
        <v>2005</v>
      </c>
      <c r="AB217" s="15">
        <f>_xlfn.XLOOKUP(tblMeasure[[#This Row],[id_src]],tblSource[id_src],tblSource[year_last_published])</f>
        <v>2019</v>
      </c>
      <c r="AC217" s="15">
        <f>_xlfn.XLOOKUP(tblMeasure[[#This Row],[id_src]],tblSource[id_src],tblSource[discontinuity])</f>
        <v>2011</v>
      </c>
      <c r="AD217" s="15" t="str">
        <f>_xlfn.XLOOKUP(tblMeasure[[#This Row],[id_src]],tblSource[id_src],tblSource[publication_frequency])</f>
        <v>Annual</v>
      </c>
      <c r="AE217" s="15">
        <f>_xlfn.XLOOKUP(tblMeasure[[#This Row],[id_src]],tblSource[id_src],tblSource[publication_lag_months])</f>
        <v>5</v>
      </c>
      <c r="AF217" s="25" t="str">
        <f>_xlfn.XLOOKUP(tblMeasure[[#This Row],[id_src]],tblSource[id_src],tblSource[data_providers])</f>
        <v>Skills for Care, LA</v>
      </c>
      <c r="AG217" s="25" t="str">
        <f>_xlfn.XLOOKUP(tblMeasure[[#This Row],[id_src]],tblSource[id_src],tblSource[statistic_class])</f>
        <v>National</v>
      </c>
      <c r="AH217" s="25" t="str">
        <f>_xlfn.XLOOKUP(tblMeasure[[#This Row],[id_src]],tblSource[id_src],tblSource[methodology_link])</f>
        <v>https://digital.nhs.uk/data-and-information/publications/statistical/personal-social-services-staff-of-social-services-departments/england-2019/data-quality-statement</v>
      </c>
      <c r="AI217" s="25" t="str">
        <f>_xlfn.XLOOKUP(tblMeasure[[#This Row],[id_src]],tblSource[id_src],tblSource[quality_issues])</f>
        <v>https://digital.nhs.uk/data-and-information/publications/statistical/personal-social-services-staff-of-social-services-departments/england-2019/data-quality-statement</v>
      </c>
      <c r="AJ217" s="25">
        <f>VLOOKUP(tblMeasure[[#This Row],[msr_population_or_survey]],strlu_msr_population_or_survey,2,FALSE)</f>
        <v>1</v>
      </c>
      <c r="AK217" s="25">
        <f>VLOOKUP(tblMeasure[[#This Row],[msr_min_geo_resolution]],strlu_msr_min_geo_resolution,2,FALSE)</f>
        <v>1</v>
      </c>
      <c r="AL217" s="25">
        <f>(MAX(tblMeasure[[#This Row],[src_year_last_published]]-2010+1,0)+MIN(2010-tblMeasure[[#This Row],[src_year_first_published]],0)-MAX(tblMeasure[[#This Row],[src_year_last_published]]-2019,0))/10</f>
        <v>1</v>
      </c>
      <c r="AM217" s="25">
        <f>IF(OR(tblMeasure[[#This Row],[src_discontinuity]]="None",tblMeasure[[#This Row],[src_discontinuity]]=0),1,0)</f>
        <v>0</v>
      </c>
      <c r="AN217" s="25">
        <f>VLOOKUP(tblMeasure[[#This Row],[src_pub_frequency]],strlu_src_pub_frequency,2,FALSE)</f>
        <v>0.8</v>
      </c>
      <c r="AO217" s="25">
        <f>VLOOKUP(tblMeasure[[#This Row],[src_pub_lag_months]],strlu_src_pub_lag_months,2,FALSE)</f>
        <v>0.5</v>
      </c>
      <c r="AP217" s="25">
        <f>VLOOKUP(tblMeasure[[#This Row],[src_statistic_class]],strlu_src_statistic_class,2,FALSE)</f>
        <v>1</v>
      </c>
      <c r="AQ217" s="25">
        <f>IF(tblMeasure[[#This Row],[src_methodology_url]]="TBD",0,1)</f>
        <v>1</v>
      </c>
      <c r="AR217" s="25">
        <f>IF(tblMeasure[[#This Row],[src_quality_url]]="TBD",0,1)</f>
        <v>1</v>
      </c>
      <c r="AS217" s="85" cm="1">
        <f t="array" ref="AS217">SUMPRODUCT(TRANSPOSE(tblMeasure[[#This Row],[str_msr_population_or_survey]:[str_src_quality_url]]),str_weights)/str_weights_total</f>
        <v>0.85384615384615381</v>
      </c>
    </row>
    <row r="218" spans="1:45" hidden="1" x14ac:dyDescent="0.15">
      <c r="A218" s="30">
        <v>216</v>
      </c>
      <c r="B218" s="15">
        <f>COUNTIF(requirement_measure_map!$D$3:$D$1514,measure!A218)</f>
        <v>0</v>
      </c>
      <c r="C218" s="30" t="s">
        <v>293</v>
      </c>
      <c r="D218" s="15" t="s">
        <v>823</v>
      </c>
      <c r="E218" s="15" t="s">
        <v>694</v>
      </c>
      <c r="F218" s="15" t="s">
        <v>838</v>
      </c>
      <c r="G218" s="29" t="s">
        <v>806</v>
      </c>
      <c r="H218" s="15" t="s">
        <v>807</v>
      </c>
      <c r="I218" s="15" t="s">
        <v>214</v>
      </c>
      <c r="J218" s="15" t="s">
        <v>215</v>
      </c>
      <c r="K218" s="15" t="s">
        <v>837</v>
      </c>
      <c r="L218" s="15" t="s">
        <v>217</v>
      </c>
      <c r="M218" s="15" t="s">
        <v>219</v>
      </c>
      <c r="N218" s="15" t="s">
        <v>219</v>
      </c>
      <c r="O218" s="15" t="s">
        <v>219</v>
      </c>
      <c r="P218" s="15" t="s">
        <v>219</v>
      </c>
      <c r="Q218" s="15" t="s">
        <v>219</v>
      </c>
      <c r="R218" s="15" t="s">
        <v>219</v>
      </c>
      <c r="S218" s="15" t="s">
        <v>220</v>
      </c>
      <c r="T218" s="15" t="s">
        <v>219</v>
      </c>
      <c r="U218" s="15" t="s">
        <v>219</v>
      </c>
      <c r="V218" s="15" t="s">
        <v>219</v>
      </c>
      <c r="W218" s="15">
        <v>11</v>
      </c>
      <c r="X218" s="15" t="str">
        <f>_xlfn.XLOOKUP(tblMeasure[[#This Row],[id_src]],tblSource[id_src],tblSource[org])</f>
        <v>NHS Digital</v>
      </c>
      <c r="Y218" s="15" t="str">
        <f>_xlfn.XLOOKUP(tblMeasure[[#This Row],[id_src]],tblSource[id_src],tblSource[source])</f>
        <v>Personal Social Services: Staff of Social Services Departments</v>
      </c>
      <c r="Z218" s="15" t="str">
        <f>_xlfn.XLOOKUP(tblMeasure[[#This Row],[id_src]],tblSource[id_src],tblSource[url_source])</f>
        <v>https://digital.nhs.uk/data-and-information/publications/statistical/personal-social-services-staff-of-social-services-departments</v>
      </c>
      <c r="AA218" s="15">
        <f>_xlfn.XLOOKUP(tblMeasure[[#This Row],[id_src]],tblSource[id_src],tblSource[year_first_published])</f>
        <v>2005</v>
      </c>
      <c r="AB218" s="15">
        <f>_xlfn.XLOOKUP(tblMeasure[[#This Row],[id_src]],tblSource[id_src],tblSource[year_last_published])</f>
        <v>2019</v>
      </c>
      <c r="AC218" s="15">
        <f>_xlfn.XLOOKUP(tblMeasure[[#This Row],[id_src]],tblSource[id_src],tblSource[discontinuity])</f>
        <v>2011</v>
      </c>
      <c r="AD218" s="15" t="str">
        <f>_xlfn.XLOOKUP(tblMeasure[[#This Row],[id_src]],tblSource[id_src],tblSource[publication_frequency])</f>
        <v>Annual</v>
      </c>
      <c r="AE218" s="15">
        <f>_xlfn.XLOOKUP(tblMeasure[[#This Row],[id_src]],tblSource[id_src],tblSource[publication_lag_months])</f>
        <v>5</v>
      </c>
      <c r="AF218" s="25" t="str">
        <f>_xlfn.XLOOKUP(tblMeasure[[#This Row],[id_src]],tblSource[id_src],tblSource[data_providers])</f>
        <v>Skills for Care, LA</v>
      </c>
      <c r="AG218" s="25" t="str">
        <f>_xlfn.XLOOKUP(tblMeasure[[#This Row],[id_src]],tblSource[id_src],tblSource[statistic_class])</f>
        <v>National</v>
      </c>
      <c r="AH218" s="25" t="str">
        <f>_xlfn.XLOOKUP(tblMeasure[[#This Row],[id_src]],tblSource[id_src],tblSource[methodology_link])</f>
        <v>https://digital.nhs.uk/data-and-information/publications/statistical/personal-social-services-staff-of-social-services-departments/england-2019/data-quality-statement</v>
      </c>
      <c r="AI218" s="25" t="str">
        <f>_xlfn.XLOOKUP(tblMeasure[[#This Row],[id_src]],tblSource[id_src],tblSource[quality_issues])</f>
        <v>https://digital.nhs.uk/data-and-information/publications/statistical/personal-social-services-staff-of-social-services-departments/england-2019/data-quality-statement</v>
      </c>
      <c r="AJ218" s="25">
        <f>VLOOKUP(tblMeasure[[#This Row],[msr_population_or_survey]],strlu_msr_population_or_survey,2,FALSE)</f>
        <v>1</v>
      </c>
      <c r="AK218" s="25">
        <f>VLOOKUP(tblMeasure[[#This Row],[msr_min_geo_resolution]],strlu_msr_min_geo_resolution,2,FALSE)</f>
        <v>1</v>
      </c>
      <c r="AL218" s="25">
        <f>(MAX(tblMeasure[[#This Row],[src_year_last_published]]-2010+1,0)+MIN(2010-tblMeasure[[#This Row],[src_year_first_published]],0)-MAX(tblMeasure[[#This Row],[src_year_last_published]]-2019,0))/10</f>
        <v>1</v>
      </c>
      <c r="AM218" s="25">
        <f>IF(OR(tblMeasure[[#This Row],[src_discontinuity]]="None",tblMeasure[[#This Row],[src_discontinuity]]=0),1,0)</f>
        <v>0</v>
      </c>
      <c r="AN218" s="25">
        <f>VLOOKUP(tblMeasure[[#This Row],[src_pub_frequency]],strlu_src_pub_frequency,2,FALSE)</f>
        <v>0.8</v>
      </c>
      <c r="AO218" s="25">
        <f>VLOOKUP(tblMeasure[[#This Row],[src_pub_lag_months]],strlu_src_pub_lag_months,2,FALSE)</f>
        <v>0.5</v>
      </c>
      <c r="AP218" s="25">
        <f>VLOOKUP(tblMeasure[[#This Row],[src_statistic_class]],strlu_src_statistic_class,2,FALSE)</f>
        <v>1</v>
      </c>
      <c r="AQ218" s="25">
        <f>IF(tblMeasure[[#This Row],[src_methodology_url]]="TBD",0,1)</f>
        <v>1</v>
      </c>
      <c r="AR218" s="25">
        <f>IF(tblMeasure[[#This Row],[src_quality_url]]="TBD",0,1)</f>
        <v>1</v>
      </c>
      <c r="AS218" s="85" cm="1">
        <f t="array" ref="AS218">SUMPRODUCT(TRANSPOSE(tblMeasure[[#This Row],[str_msr_population_or_survey]:[str_src_quality_url]]),str_weights)/str_weights_total</f>
        <v>0.85384615384615381</v>
      </c>
    </row>
    <row r="219" spans="1:45" hidden="1" x14ac:dyDescent="0.15">
      <c r="A219" s="30">
        <v>217</v>
      </c>
      <c r="B219" s="15">
        <f>COUNTIF(requirement_measure_map!$D$3:$D$1514,measure!A219)</f>
        <v>1</v>
      </c>
      <c r="C219" s="30" t="s">
        <v>656</v>
      </c>
      <c r="D219" s="15" t="s">
        <v>823</v>
      </c>
      <c r="E219" s="15" t="s">
        <v>698</v>
      </c>
      <c r="F219" s="15" t="s">
        <v>839</v>
      </c>
      <c r="G219" s="29" t="s">
        <v>806</v>
      </c>
      <c r="H219" s="15" t="s">
        <v>807</v>
      </c>
      <c r="I219" s="15" t="s">
        <v>214</v>
      </c>
      <c r="J219" s="15" t="s">
        <v>215</v>
      </c>
      <c r="K219" s="15" t="s">
        <v>840</v>
      </c>
      <c r="L219" s="15" t="s">
        <v>287</v>
      </c>
      <c r="M219" s="15" t="s">
        <v>219</v>
      </c>
      <c r="N219" s="15" t="s">
        <v>219</v>
      </c>
      <c r="O219" s="15" t="s">
        <v>219</v>
      </c>
      <c r="P219" s="15" t="s">
        <v>219</v>
      </c>
      <c r="Q219" s="15" t="s">
        <v>219</v>
      </c>
      <c r="R219" s="15" t="s">
        <v>219</v>
      </c>
      <c r="S219" s="15" t="s">
        <v>220</v>
      </c>
      <c r="T219" s="15" t="s">
        <v>219</v>
      </c>
      <c r="U219" s="15" t="s">
        <v>219</v>
      </c>
      <c r="V219" s="15" t="s">
        <v>219</v>
      </c>
      <c r="W219" s="15">
        <v>11</v>
      </c>
      <c r="X219" s="15" t="str">
        <f>_xlfn.XLOOKUP(tblMeasure[[#This Row],[id_src]],tblSource[id_src],tblSource[org])</f>
        <v>NHS Digital</v>
      </c>
      <c r="Y219" s="15" t="str">
        <f>_xlfn.XLOOKUP(tblMeasure[[#This Row],[id_src]],tblSource[id_src],tblSource[source])</f>
        <v>Personal Social Services: Staff of Social Services Departments</v>
      </c>
      <c r="Z219" s="15" t="str">
        <f>_xlfn.XLOOKUP(tblMeasure[[#This Row],[id_src]],tblSource[id_src],tblSource[url_source])</f>
        <v>https://digital.nhs.uk/data-and-information/publications/statistical/personal-social-services-staff-of-social-services-departments</v>
      </c>
      <c r="AA219" s="15">
        <f>_xlfn.XLOOKUP(tblMeasure[[#This Row],[id_src]],tblSource[id_src],tblSource[year_first_published])</f>
        <v>2005</v>
      </c>
      <c r="AB219" s="15">
        <f>_xlfn.XLOOKUP(tblMeasure[[#This Row],[id_src]],tblSource[id_src],tblSource[year_last_published])</f>
        <v>2019</v>
      </c>
      <c r="AC219" s="15">
        <f>_xlfn.XLOOKUP(tblMeasure[[#This Row],[id_src]],tblSource[id_src],tblSource[discontinuity])</f>
        <v>2011</v>
      </c>
      <c r="AD219" s="15" t="str">
        <f>_xlfn.XLOOKUP(tblMeasure[[#This Row],[id_src]],tblSource[id_src],tblSource[publication_frequency])</f>
        <v>Annual</v>
      </c>
      <c r="AE219" s="15">
        <f>_xlfn.XLOOKUP(tblMeasure[[#This Row],[id_src]],tblSource[id_src],tblSource[publication_lag_months])</f>
        <v>5</v>
      </c>
      <c r="AF219" s="25" t="str">
        <f>_xlfn.XLOOKUP(tblMeasure[[#This Row],[id_src]],tblSource[id_src],tblSource[data_providers])</f>
        <v>Skills for Care, LA</v>
      </c>
      <c r="AG219" s="25" t="str">
        <f>_xlfn.XLOOKUP(tblMeasure[[#This Row],[id_src]],tblSource[id_src],tblSource[statistic_class])</f>
        <v>National</v>
      </c>
      <c r="AH219" s="25" t="str">
        <f>_xlfn.XLOOKUP(tblMeasure[[#This Row],[id_src]],tblSource[id_src],tblSource[methodology_link])</f>
        <v>https://digital.nhs.uk/data-and-information/publications/statistical/personal-social-services-staff-of-social-services-departments/england-2019/data-quality-statement</v>
      </c>
      <c r="AI219" s="25" t="str">
        <f>_xlfn.XLOOKUP(tblMeasure[[#This Row],[id_src]],tblSource[id_src],tblSource[quality_issues])</f>
        <v>https://digital.nhs.uk/data-and-information/publications/statistical/personal-social-services-staff-of-social-services-departments/england-2019/data-quality-statement</v>
      </c>
      <c r="AJ219" s="25">
        <f>VLOOKUP(tblMeasure[[#This Row],[msr_population_or_survey]],strlu_msr_population_or_survey,2,FALSE)</f>
        <v>1</v>
      </c>
      <c r="AK219" s="25">
        <f>VLOOKUP(tblMeasure[[#This Row],[msr_min_geo_resolution]],strlu_msr_min_geo_resolution,2,FALSE)</f>
        <v>0.5</v>
      </c>
      <c r="AL219" s="25">
        <f>(MAX(tblMeasure[[#This Row],[src_year_last_published]]-2010+1,0)+MIN(2010-tblMeasure[[#This Row],[src_year_first_published]],0)-MAX(tblMeasure[[#This Row],[src_year_last_published]]-2019,0))/10</f>
        <v>1</v>
      </c>
      <c r="AM219" s="25">
        <f>IF(OR(tblMeasure[[#This Row],[src_discontinuity]]="None",tblMeasure[[#This Row],[src_discontinuity]]=0),1,0)</f>
        <v>0</v>
      </c>
      <c r="AN219" s="25">
        <f>VLOOKUP(tblMeasure[[#This Row],[src_pub_frequency]],strlu_src_pub_frequency,2,FALSE)</f>
        <v>0.8</v>
      </c>
      <c r="AO219" s="25">
        <f>VLOOKUP(tblMeasure[[#This Row],[src_pub_lag_months]],strlu_src_pub_lag_months,2,FALSE)</f>
        <v>0.5</v>
      </c>
      <c r="AP219" s="25">
        <f>VLOOKUP(tblMeasure[[#This Row],[src_statistic_class]],strlu_src_statistic_class,2,FALSE)</f>
        <v>1</v>
      </c>
      <c r="AQ219" s="25">
        <f>IF(tblMeasure[[#This Row],[src_methodology_url]]="TBD",0,1)</f>
        <v>1</v>
      </c>
      <c r="AR219" s="25">
        <f>IF(tblMeasure[[#This Row],[src_quality_url]]="TBD",0,1)</f>
        <v>1</v>
      </c>
      <c r="AS219" s="85" cm="1">
        <f t="array" ref="AS219">SUMPRODUCT(TRANSPOSE(tblMeasure[[#This Row],[str_msr_population_or_survey]:[str_src_quality_url]]),str_weights)/str_weights_total</f>
        <v>0.77692307692307694</v>
      </c>
    </row>
    <row r="220" spans="1:45" hidden="1" x14ac:dyDescent="0.15">
      <c r="A220" s="30">
        <v>218</v>
      </c>
      <c r="B220" s="15">
        <f>COUNTIF(requirement_measure_map!$D$3:$D$1514,measure!A220)</f>
        <v>0</v>
      </c>
      <c r="C220" s="30" t="s">
        <v>841</v>
      </c>
      <c r="D220" s="15" t="s">
        <v>823</v>
      </c>
      <c r="E220" s="15" t="s">
        <v>702</v>
      </c>
      <c r="F220" s="15" t="s">
        <v>842</v>
      </c>
      <c r="G220" s="29" t="s">
        <v>806</v>
      </c>
      <c r="H220" s="15" t="s">
        <v>807</v>
      </c>
      <c r="I220" s="15" t="s">
        <v>214</v>
      </c>
      <c r="J220" s="15" t="s">
        <v>215</v>
      </c>
      <c r="K220" s="15" t="s">
        <v>840</v>
      </c>
      <c r="L220" s="15" t="s">
        <v>233</v>
      </c>
      <c r="M220" s="15" t="s">
        <v>219</v>
      </c>
      <c r="N220" s="15" t="s">
        <v>219</v>
      </c>
      <c r="O220" s="15" t="s">
        <v>219</v>
      </c>
      <c r="P220" s="15" t="s">
        <v>219</v>
      </c>
      <c r="Q220" s="15" t="s">
        <v>219</v>
      </c>
      <c r="R220" s="15" t="s">
        <v>219</v>
      </c>
      <c r="S220" s="15" t="s">
        <v>220</v>
      </c>
      <c r="T220" s="15" t="s">
        <v>219</v>
      </c>
      <c r="U220" s="15" t="s">
        <v>219</v>
      </c>
      <c r="V220" s="15" t="s">
        <v>219</v>
      </c>
      <c r="W220" s="15">
        <v>11</v>
      </c>
      <c r="X220" s="15" t="str">
        <f>_xlfn.XLOOKUP(tblMeasure[[#This Row],[id_src]],tblSource[id_src],tblSource[org])</f>
        <v>NHS Digital</v>
      </c>
      <c r="Y220" s="15" t="str">
        <f>_xlfn.XLOOKUP(tblMeasure[[#This Row],[id_src]],tblSource[id_src],tblSource[source])</f>
        <v>Personal Social Services: Staff of Social Services Departments</v>
      </c>
      <c r="Z220" s="15" t="str">
        <f>_xlfn.XLOOKUP(tblMeasure[[#This Row],[id_src]],tblSource[id_src],tblSource[url_source])</f>
        <v>https://digital.nhs.uk/data-and-information/publications/statistical/personal-social-services-staff-of-social-services-departments</v>
      </c>
      <c r="AA220" s="15">
        <f>_xlfn.XLOOKUP(tblMeasure[[#This Row],[id_src]],tblSource[id_src],tblSource[year_first_published])</f>
        <v>2005</v>
      </c>
      <c r="AB220" s="15">
        <f>_xlfn.XLOOKUP(tblMeasure[[#This Row],[id_src]],tblSource[id_src],tblSource[year_last_published])</f>
        <v>2019</v>
      </c>
      <c r="AC220" s="15">
        <f>_xlfn.XLOOKUP(tblMeasure[[#This Row],[id_src]],tblSource[id_src],tblSource[discontinuity])</f>
        <v>2011</v>
      </c>
      <c r="AD220" s="15" t="str">
        <f>_xlfn.XLOOKUP(tblMeasure[[#This Row],[id_src]],tblSource[id_src],tblSource[publication_frequency])</f>
        <v>Annual</v>
      </c>
      <c r="AE220" s="15">
        <f>_xlfn.XLOOKUP(tblMeasure[[#This Row],[id_src]],tblSource[id_src],tblSource[publication_lag_months])</f>
        <v>5</v>
      </c>
      <c r="AF220" s="25" t="str">
        <f>_xlfn.XLOOKUP(tblMeasure[[#This Row],[id_src]],tblSource[id_src],tblSource[data_providers])</f>
        <v>Skills for Care, LA</v>
      </c>
      <c r="AG220" s="25" t="str">
        <f>_xlfn.XLOOKUP(tblMeasure[[#This Row],[id_src]],tblSource[id_src],tblSource[statistic_class])</f>
        <v>National</v>
      </c>
      <c r="AH220" s="25" t="str">
        <f>_xlfn.XLOOKUP(tblMeasure[[#This Row],[id_src]],tblSource[id_src],tblSource[methodology_link])</f>
        <v>https://digital.nhs.uk/data-and-information/publications/statistical/personal-social-services-staff-of-social-services-departments/england-2019/data-quality-statement</v>
      </c>
      <c r="AI220" s="25" t="str">
        <f>_xlfn.XLOOKUP(tblMeasure[[#This Row],[id_src]],tblSource[id_src],tblSource[quality_issues])</f>
        <v>https://digital.nhs.uk/data-and-information/publications/statistical/personal-social-services-staff-of-social-services-departments/england-2019/data-quality-statement</v>
      </c>
      <c r="AJ220" s="25">
        <f>VLOOKUP(tblMeasure[[#This Row],[msr_population_or_survey]],strlu_msr_population_or_survey,2,FALSE)</f>
        <v>1</v>
      </c>
      <c r="AK220" s="25">
        <f>VLOOKUP(tblMeasure[[#This Row],[msr_min_geo_resolution]],strlu_msr_min_geo_resolution,2,FALSE)</f>
        <v>0</v>
      </c>
      <c r="AL220" s="25">
        <f>(MAX(tblMeasure[[#This Row],[src_year_last_published]]-2010+1,0)+MIN(2010-tblMeasure[[#This Row],[src_year_first_published]],0)-MAX(tblMeasure[[#This Row],[src_year_last_published]]-2019,0))/10</f>
        <v>1</v>
      </c>
      <c r="AM220" s="25">
        <f>IF(OR(tblMeasure[[#This Row],[src_discontinuity]]="None",tblMeasure[[#This Row],[src_discontinuity]]=0),1,0)</f>
        <v>0</v>
      </c>
      <c r="AN220" s="25">
        <f>VLOOKUP(tblMeasure[[#This Row],[src_pub_frequency]],strlu_src_pub_frequency,2,FALSE)</f>
        <v>0.8</v>
      </c>
      <c r="AO220" s="25">
        <f>VLOOKUP(tblMeasure[[#This Row],[src_pub_lag_months]],strlu_src_pub_lag_months,2,FALSE)</f>
        <v>0.5</v>
      </c>
      <c r="AP220" s="25">
        <f>VLOOKUP(tblMeasure[[#This Row],[src_statistic_class]],strlu_src_statistic_class,2,FALSE)</f>
        <v>1</v>
      </c>
      <c r="AQ220" s="25">
        <f>IF(tblMeasure[[#This Row],[src_methodology_url]]="TBD",0,1)</f>
        <v>1</v>
      </c>
      <c r="AR220" s="25">
        <f>IF(tblMeasure[[#This Row],[src_quality_url]]="TBD",0,1)</f>
        <v>1</v>
      </c>
      <c r="AS220" s="85" cm="1">
        <f t="array" ref="AS220">SUMPRODUCT(TRANSPOSE(tblMeasure[[#This Row],[str_msr_population_or_survey]:[str_src_quality_url]]),str_weights)/str_weights_total</f>
        <v>0.7</v>
      </c>
    </row>
    <row r="221" spans="1:45" hidden="1" x14ac:dyDescent="0.15">
      <c r="A221" s="30">
        <v>219</v>
      </c>
      <c r="B221" s="15">
        <f>COUNTIF(requirement_measure_map!$D$3:$D$1514,measure!A221)</f>
        <v>0</v>
      </c>
      <c r="C221" s="30" t="s">
        <v>843</v>
      </c>
      <c r="D221" s="15" t="s">
        <v>823</v>
      </c>
      <c r="E221" s="15" t="s">
        <v>705</v>
      </c>
      <c r="F221" s="15" t="s">
        <v>844</v>
      </c>
      <c r="G221" s="29" t="s">
        <v>806</v>
      </c>
      <c r="H221" s="15" t="s">
        <v>807</v>
      </c>
      <c r="I221" s="15" t="s">
        <v>214</v>
      </c>
      <c r="J221" s="15" t="s">
        <v>215</v>
      </c>
      <c r="K221" s="15" t="s">
        <v>840</v>
      </c>
      <c r="L221" s="15" t="s">
        <v>233</v>
      </c>
      <c r="M221" s="15" t="s">
        <v>219</v>
      </c>
      <c r="N221" s="15" t="s">
        <v>219</v>
      </c>
      <c r="O221" s="15" t="s">
        <v>219</v>
      </c>
      <c r="P221" s="15" t="s">
        <v>219</v>
      </c>
      <c r="Q221" s="15" t="s">
        <v>219</v>
      </c>
      <c r="R221" s="15" t="s">
        <v>219</v>
      </c>
      <c r="S221" s="15" t="s">
        <v>220</v>
      </c>
      <c r="T221" s="15" t="s">
        <v>219</v>
      </c>
      <c r="U221" s="15" t="s">
        <v>219</v>
      </c>
      <c r="V221" s="15" t="s">
        <v>219</v>
      </c>
      <c r="W221" s="15">
        <v>11</v>
      </c>
      <c r="X221" s="15" t="str">
        <f>_xlfn.XLOOKUP(tblMeasure[[#This Row],[id_src]],tblSource[id_src],tblSource[org])</f>
        <v>NHS Digital</v>
      </c>
      <c r="Y221" s="15" t="str">
        <f>_xlfn.XLOOKUP(tblMeasure[[#This Row],[id_src]],tblSource[id_src],tblSource[source])</f>
        <v>Personal Social Services: Staff of Social Services Departments</v>
      </c>
      <c r="Z221" s="15" t="str">
        <f>_xlfn.XLOOKUP(tblMeasure[[#This Row],[id_src]],tblSource[id_src],tblSource[url_source])</f>
        <v>https://digital.nhs.uk/data-and-information/publications/statistical/personal-social-services-staff-of-social-services-departments</v>
      </c>
      <c r="AA221" s="15">
        <f>_xlfn.XLOOKUP(tblMeasure[[#This Row],[id_src]],tblSource[id_src],tblSource[year_first_published])</f>
        <v>2005</v>
      </c>
      <c r="AB221" s="15">
        <f>_xlfn.XLOOKUP(tblMeasure[[#This Row],[id_src]],tblSource[id_src],tblSource[year_last_published])</f>
        <v>2019</v>
      </c>
      <c r="AC221" s="15">
        <f>_xlfn.XLOOKUP(tblMeasure[[#This Row],[id_src]],tblSource[id_src],tblSource[discontinuity])</f>
        <v>2011</v>
      </c>
      <c r="AD221" s="15" t="str">
        <f>_xlfn.XLOOKUP(tblMeasure[[#This Row],[id_src]],tblSource[id_src],tblSource[publication_frequency])</f>
        <v>Annual</v>
      </c>
      <c r="AE221" s="15">
        <f>_xlfn.XLOOKUP(tblMeasure[[#This Row],[id_src]],tblSource[id_src],tblSource[publication_lag_months])</f>
        <v>5</v>
      </c>
      <c r="AF221" s="25" t="str">
        <f>_xlfn.XLOOKUP(tblMeasure[[#This Row],[id_src]],tblSource[id_src],tblSource[data_providers])</f>
        <v>Skills for Care, LA</v>
      </c>
      <c r="AG221" s="25" t="str">
        <f>_xlfn.XLOOKUP(tblMeasure[[#This Row],[id_src]],tblSource[id_src],tblSource[statistic_class])</f>
        <v>National</v>
      </c>
      <c r="AH221" s="25" t="str">
        <f>_xlfn.XLOOKUP(tblMeasure[[#This Row],[id_src]],tblSource[id_src],tblSource[methodology_link])</f>
        <v>https://digital.nhs.uk/data-and-information/publications/statistical/personal-social-services-staff-of-social-services-departments/england-2019/data-quality-statement</v>
      </c>
      <c r="AI221" s="25" t="str">
        <f>_xlfn.XLOOKUP(tblMeasure[[#This Row],[id_src]],tblSource[id_src],tblSource[quality_issues])</f>
        <v>https://digital.nhs.uk/data-and-information/publications/statistical/personal-social-services-staff-of-social-services-departments/england-2019/data-quality-statement</v>
      </c>
      <c r="AJ221" s="25">
        <f>VLOOKUP(tblMeasure[[#This Row],[msr_population_or_survey]],strlu_msr_population_or_survey,2,FALSE)</f>
        <v>1</v>
      </c>
      <c r="AK221" s="25">
        <f>VLOOKUP(tblMeasure[[#This Row],[msr_min_geo_resolution]],strlu_msr_min_geo_resolution,2,FALSE)</f>
        <v>0</v>
      </c>
      <c r="AL221" s="25">
        <f>(MAX(tblMeasure[[#This Row],[src_year_last_published]]-2010+1,0)+MIN(2010-tblMeasure[[#This Row],[src_year_first_published]],0)-MAX(tblMeasure[[#This Row],[src_year_last_published]]-2019,0))/10</f>
        <v>1</v>
      </c>
      <c r="AM221" s="25">
        <f>IF(OR(tblMeasure[[#This Row],[src_discontinuity]]="None",tblMeasure[[#This Row],[src_discontinuity]]=0),1,0)</f>
        <v>0</v>
      </c>
      <c r="AN221" s="25">
        <f>VLOOKUP(tblMeasure[[#This Row],[src_pub_frequency]],strlu_src_pub_frequency,2,FALSE)</f>
        <v>0.8</v>
      </c>
      <c r="AO221" s="25">
        <f>VLOOKUP(tblMeasure[[#This Row],[src_pub_lag_months]],strlu_src_pub_lag_months,2,FALSE)</f>
        <v>0.5</v>
      </c>
      <c r="AP221" s="25">
        <f>VLOOKUP(tblMeasure[[#This Row],[src_statistic_class]],strlu_src_statistic_class,2,FALSE)</f>
        <v>1</v>
      </c>
      <c r="AQ221" s="25">
        <f>IF(tblMeasure[[#This Row],[src_methodology_url]]="TBD",0,1)</f>
        <v>1</v>
      </c>
      <c r="AR221" s="25">
        <f>IF(tblMeasure[[#This Row],[src_quality_url]]="TBD",0,1)</f>
        <v>1</v>
      </c>
      <c r="AS221" s="85" cm="1">
        <f t="array" ref="AS221">SUMPRODUCT(TRANSPOSE(tblMeasure[[#This Row],[str_msr_population_or_survey]:[str_src_quality_url]]),str_weights)/str_weights_total</f>
        <v>0.7</v>
      </c>
    </row>
    <row r="222" spans="1:45" hidden="1" x14ac:dyDescent="0.15">
      <c r="A222" s="30">
        <v>220</v>
      </c>
      <c r="B222" s="15">
        <f>COUNTIF(requirement_measure_map!$D$3:$D$1514,measure!A222)</f>
        <v>3</v>
      </c>
      <c r="C222" s="30" t="s">
        <v>656</v>
      </c>
      <c r="D222" s="15" t="s">
        <v>823</v>
      </c>
      <c r="E222" s="15" t="s">
        <v>709</v>
      </c>
      <c r="F222" s="15" t="s">
        <v>845</v>
      </c>
      <c r="G222" s="29" t="s">
        <v>806</v>
      </c>
      <c r="H222" s="15" t="s">
        <v>807</v>
      </c>
      <c r="I222" s="15" t="s">
        <v>214</v>
      </c>
      <c r="J222" s="15" t="s">
        <v>215</v>
      </c>
      <c r="K222" s="15" t="s">
        <v>846</v>
      </c>
      <c r="L222" s="15" t="s">
        <v>217</v>
      </c>
      <c r="M222" s="15" t="s">
        <v>219</v>
      </c>
      <c r="N222" s="15" t="s">
        <v>219</v>
      </c>
      <c r="O222" s="15" t="s">
        <v>219</v>
      </c>
      <c r="P222" s="15" t="s">
        <v>219</v>
      </c>
      <c r="Q222" s="15" t="s">
        <v>219</v>
      </c>
      <c r="R222" s="15" t="s">
        <v>219</v>
      </c>
      <c r="S222" s="15" t="s">
        <v>220</v>
      </c>
      <c r="T222" s="15" t="s">
        <v>219</v>
      </c>
      <c r="U222" s="15" t="s">
        <v>219</v>
      </c>
      <c r="V222" s="15" t="s">
        <v>219</v>
      </c>
      <c r="W222" s="15">
        <v>11</v>
      </c>
      <c r="X222" s="15" t="str">
        <f>_xlfn.XLOOKUP(tblMeasure[[#This Row],[id_src]],tblSource[id_src],tblSource[org])</f>
        <v>NHS Digital</v>
      </c>
      <c r="Y222" s="15" t="str">
        <f>_xlfn.XLOOKUP(tblMeasure[[#This Row],[id_src]],tblSource[id_src],tblSource[source])</f>
        <v>Personal Social Services: Staff of Social Services Departments</v>
      </c>
      <c r="Z222" s="15" t="str">
        <f>_xlfn.XLOOKUP(tblMeasure[[#This Row],[id_src]],tblSource[id_src],tblSource[url_source])</f>
        <v>https://digital.nhs.uk/data-and-information/publications/statistical/personal-social-services-staff-of-social-services-departments</v>
      </c>
      <c r="AA222" s="15">
        <f>_xlfn.XLOOKUP(tblMeasure[[#This Row],[id_src]],tblSource[id_src],tblSource[year_first_published])</f>
        <v>2005</v>
      </c>
      <c r="AB222" s="15">
        <f>_xlfn.XLOOKUP(tblMeasure[[#This Row],[id_src]],tblSource[id_src],tblSource[year_last_published])</f>
        <v>2019</v>
      </c>
      <c r="AC222" s="15">
        <f>_xlfn.XLOOKUP(tblMeasure[[#This Row],[id_src]],tblSource[id_src],tblSource[discontinuity])</f>
        <v>2011</v>
      </c>
      <c r="AD222" s="15" t="str">
        <f>_xlfn.XLOOKUP(tblMeasure[[#This Row],[id_src]],tblSource[id_src],tblSource[publication_frequency])</f>
        <v>Annual</v>
      </c>
      <c r="AE222" s="15">
        <f>_xlfn.XLOOKUP(tblMeasure[[#This Row],[id_src]],tblSource[id_src],tblSource[publication_lag_months])</f>
        <v>5</v>
      </c>
      <c r="AF222" s="25" t="str">
        <f>_xlfn.XLOOKUP(tblMeasure[[#This Row],[id_src]],tblSource[id_src],tblSource[data_providers])</f>
        <v>Skills for Care, LA</v>
      </c>
      <c r="AG222" s="25" t="str">
        <f>_xlfn.XLOOKUP(tblMeasure[[#This Row],[id_src]],tblSource[id_src],tblSource[statistic_class])</f>
        <v>National</v>
      </c>
      <c r="AH222" s="25" t="str">
        <f>_xlfn.XLOOKUP(tblMeasure[[#This Row],[id_src]],tblSource[id_src],tblSource[methodology_link])</f>
        <v>https://digital.nhs.uk/data-and-information/publications/statistical/personal-social-services-staff-of-social-services-departments/england-2019/data-quality-statement</v>
      </c>
      <c r="AI222" s="25" t="str">
        <f>_xlfn.XLOOKUP(tblMeasure[[#This Row],[id_src]],tblSource[id_src],tblSource[quality_issues])</f>
        <v>https://digital.nhs.uk/data-and-information/publications/statistical/personal-social-services-staff-of-social-services-departments/england-2019/data-quality-statement</v>
      </c>
      <c r="AJ222" s="25">
        <f>VLOOKUP(tblMeasure[[#This Row],[msr_population_or_survey]],strlu_msr_population_or_survey,2,FALSE)</f>
        <v>1</v>
      </c>
      <c r="AK222" s="25">
        <f>VLOOKUP(tblMeasure[[#This Row],[msr_min_geo_resolution]],strlu_msr_min_geo_resolution,2,FALSE)</f>
        <v>1</v>
      </c>
      <c r="AL222" s="25">
        <f>(MAX(tblMeasure[[#This Row],[src_year_last_published]]-2010+1,0)+MIN(2010-tblMeasure[[#This Row],[src_year_first_published]],0)-MAX(tblMeasure[[#This Row],[src_year_last_published]]-2019,0))/10</f>
        <v>1</v>
      </c>
      <c r="AM222" s="25">
        <f>IF(OR(tblMeasure[[#This Row],[src_discontinuity]]="None",tblMeasure[[#This Row],[src_discontinuity]]=0),1,0)</f>
        <v>0</v>
      </c>
      <c r="AN222" s="25">
        <f>VLOOKUP(tblMeasure[[#This Row],[src_pub_frequency]],strlu_src_pub_frequency,2,FALSE)</f>
        <v>0.8</v>
      </c>
      <c r="AO222" s="25">
        <f>VLOOKUP(tblMeasure[[#This Row],[src_pub_lag_months]],strlu_src_pub_lag_months,2,FALSE)</f>
        <v>0.5</v>
      </c>
      <c r="AP222" s="25">
        <f>VLOOKUP(tblMeasure[[#This Row],[src_statistic_class]],strlu_src_statistic_class,2,FALSE)</f>
        <v>1</v>
      </c>
      <c r="AQ222" s="25">
        <f>IF(tblMeasure[[#This Row],[src_methodology_url]]="TBD",0,1)</f>
        <v>1</v>
      </c>
      <c r="AR222" s="25">
        <f>IF(tblMeasure[[#This Row],[src_quality_url]]="TBD",0,1)</f>
        <v>1</v>
      </c>
      <c r="AS222" s="85" cm="1">
        <f t="array" ref="AS222">SUMPRODUCT(TRANSPOSE(tblMeasure[[#This Row],[str_msr_population_or_survey]:[str_src_quality_url]]),str_weights)/str_weights_total</f>
        <v>0.85384615384615381</v>
      </c>
    </row>
    <row r="223" spans="1:45" hidden="1" x14ac:dyDescent="0.15">
      <c r="A223" s="30">
        <v>221</v>
      </c>
      <c r="B223" s="15">
        <f>COUNTIF(requirement_measure_map!$D$3:$D$1514,measure!A223)</f>
        <v>0</v>
      </c>
      <c r="C223" s="30" t="s">
        <v>847</v>
      </c>
      <c r="D223" s="15" t="s">
        <v>823</v>
      </c>
      <c r="E223" s="15" t="s">
        <v>713</v>
      </c>
      <c r="F223" s="15" t="s">
        <v>848</v>
      </c>
      <c r="G223" s="29" t="s">
        <v>806</v>
      </c>
      <c r="H223" s="15" t="s">
        <v>807</v>
      </c>
      <c r="I223" s="15" t="s">
        <v>214</v>
      </c>
      <c r="J223" s="15" t="s">
        <v>215</v>
      </c>
      <c r="K223" s="15" t="s">
        <v>846</v>
      </c>
      <c r="L223" s="15" t="s">
        <v>233</v>
      </c>
      <c r="M223" s="15" t="s">
        <v>219</v>
      </c>
      <c r="N223" s="15" t="s">
        <v>219</v>
      </c>
      <c r="O223" s="15" t="s">
        <v>219</v>
      </c>
      <c r="P223" s="15" t="s">
        <v>219</v>
      </c>
      <c r="Q223" s="15" t="s">
        <v>219</v>
      </c>
      <c r="R223" s="15" t="s">
        <v>219</v>
      </c>
      <c r="S223" s="15" t="s">
        <v>220</v>
      </c>
      <c r="T223" s="15" t="s">
        <v>219</v>
      </c>
      <c r="U223" s="15" t="s">
        <v>219</v>
      </c>
      <c r="V223" s="15" t="s">
        <v>219</v>
      </c>
      <c r="W223" s="15">
        <v>11</v>
      </c>
      <c r="X223" s="15" t="str">
        <f>_xlfn.XLOOKUP(tblMeasure[[#This Row],[id_src]],tblSource[id_src],tblSource[org])</f>
        <v>NHS Digital</v>
      </c>
      <c r="Y223" s="15" t="str">
        <f>_xlfn.XLOOKUP(tblMeasure[[#This Row],[id_src]],tblSource[id_src],tblSource[source])</f>
        <v>Personal Social Services: Staff of Social Services Departments</v>
      </c>
      <c r="Z223" s="15" t="str">
        <f>_xlfn.XLOOKUP(tblMeasure[[#This Row],[id_src]],tblSource[id_src],tblSource[url_source])</f>
        <v>https://digital.nhs.uk/data-and-information/publications/statistical/personal-social-services-staff-of-social-services-departments</v>
      </c>
      <c r="AA223" s="15">
        <f>_xlfn.XLOOKUP(tblMeasure[[#This Row],[id_src]],tblSource[id_src],tblSource[year_first_published])</f>
        <v>2005</v>
      </c>
      <c r="AB223" s="15">
        <f>_xlfn.XLOOKUP(tblMeasure[[#This Row],[id_src]],tblSource[id_src],tblSource[year_last_published])</f>
        <v>2019</v>
      </c>
      <c r="AC223" s="15">
        <f>_xlfn.XLOOKUP(tblMeasure[[#This Row],[id_src]],tblSource[id_src],tblSource[discontinuity])</f>
        <v>2011</v>
      </c>
      <c r="AD223" s="15" t="str">
        <f>_xlfn.XLOOKUP(tblMeasure[[#This Row],[id_src]],tblSource[id_src],tblSource[publication_frequency])</f>
        <v>Annual</v>
      </c>
      <c r="AE223" s="15">
        <f>_xlfn.XLOOKUP(tblMeasure[[#This Row],[id_src]],tblSource[id_src],tblSource[publication_lag_months])</f>
        <v>5</v>
      </c>
      <c r="AF223" s="25" t="str">
        <f>_xlfn.XLOOKUP(tblMeasure[[#This Row],[id_src]],tblSource[id_src],tblSource[data_providers])</f>
        <v>Skills for Care, LA</v>
      </c>
      <c r="AG223" s="25" t="str">
        <f>_xlfn.XLOOKUP(tblMeasure[[#This Row],[id_src]],tblSource[id_src],tblSource[statistic_class])</f>
        <v>National</v>
      </c>
      <c r="AH223" s="25" t="str">
        <f>_xlfn.XLOOKUP(tblMeasure[[#This Row],[id_src]],tblSource[id_src],tblSource[methodology_link])</f>
        <v>https://digital.nhs.uk/data-and-information/publications/statistical/personal-social-services-staff-of-social-services-departments/england-2019/data-quality-statement</v>
      </c>
      <c r="AI223" s="25" t="str">
        <f>_xlfn.XLOOKUP(tblMeasure[[#This Row],[id_src]],tblSource[id_src],tblSource[quality_issues])</f>
        <v>https://digital.nhs.uk/data-and-information/publications/statistical/personal-social-services-staff-of-social-services-departments/england-2019/data-quality-statement</v>
      </c>
      <c r="AJ223" s="25">
        <f>VLOOKUP(tblMeasure[[#This Row],[msr_population_or_survey]],strlu_msr_population_or_survey,2,FALSE)</f>
        <v>1</v>
      </c>
      <c r="AK223" s="25">
        <f>VLOOKUP(tblMeasure[[#This Row],[msr_min_geo_resolution]],strlu_msr_min_geo_resolution,2,FALSE)</f>
        <v>0</v>
      </c>
      <c r="AL223" s="25">
        <f>(MAX(tblMeasure[[#This Row],[src_year_last_published]]-2010+1,0)+MIN(2010-tblMeasure[[#This Row],[src_year_first_published]],0)-MAX(tblMeasure[[#This Row],[src_year_last_published]]-2019,0))/10</f>
        <v>1</v>
      </c>
      <c r="AM223" s="25">
        <f>IF(OR(tblMeasure[[#This Row],[src_discontinuity]]="None",tblMeasure[[#This Row],[src_discontinuity]]=0),1,0)</f>
        <v>0</v>
      </c>
      <c r="AN223" s="25">
        <f>VLOOKUP(tblMeasure[[#This Row],[src_pub_frequency]],strlu_src_pub_frequency,2,FALSE)</f>
        <v>0.8</v>
      </c>
      <c r="AO223" s="25">
        <f>VLOOKUP(tblMeasure[[#This Row],[src_pub_lag_months]],strlu_src_pub_lag_months,2,FALSE)</f>
        <v>0.5</v>
      </c>
      <c r="AP223" s="25">
        <f>VLOOKUP(tblMeasure[[#This Row],[src_statistic_class]],strlu_src_statistic_class,2,FALSE)</f>
        <v>1</v>
      </c>
      <c r="AQ223" s="25">
        <f>IF(tblMeasure[[#This Row],[src_methodology_url]]="TBD",0,1)</f>
        <v>1</v>
      </c>
      <c r="AR223" s="25">
        <f>IF(tblMeasure[[#This Row],[src_quality_url]]="TBD",0,1)</f>
        <v>1</v>
      </c>
      <c r="AS223" s="85" cm="1">
        <f t="array" ref="AS223">SUMPRODUCT(TRANSPOSE(tblMeasure[[#This Row],[str_msr_population_or_survey]:[str_src_quality_url]]),str_weights)/str_weights_total</f>
        <v>0.7</v>
      </c>
    </row>
    <row r="224" spans="1:45" hidden="1" x14ac:dyDescent="0.15">
      <c r="A224" s="30">
        <v>222</v>
      </c>
      <c r="B224" s="15">
        <f>COUNTIF(requirement_measure_map!$D$3:$D$1514,measure!A224)</f>
        <v>2</v>
      </c>
      <c r="C224" s="30" t="s">
        <v>656</v>
      </c>
      <c r="D224" s="15" t="s">
        <v>823</v>
      </c>
      <c r="E224" s="15" t="s">
        <v>717</v>
      </c>
      <c r="F224" s="15" t="s">
        <v>849</v>
      </c>
      <c r="G224" s="29" t="s">
        <v>806</v>
      </c>
      <c r="H224" s="15" t="s">
        <v>807</v>
      </c>
      <c r="I224" s="15" t="s">
        <v>214</v>
      </c>
      <c r="J224" s="15" t="s">
        <v>215</v>
      </c>
      <c r="K224" s="15" t="s">
        <v>850</v>
      </c>
      <c r="L224" s="15" t="s">
        <v>233</v>
      </c>
      <c r="M224" s="15" t="s">
        <v>219</v>
      </c>
      <c r="N224" s="15" t="s">
        <v>219</v>
      </c>
      <c r="O224" s="15" t="s">
        <v>219</v>
      </c>
      <c r="P224" s="15" t="s">
        <v>219</v>
      </c>
      <c r="Q224" s="15" t="s">
        <v>219</v>
      </c>
      <c r="R224" s="15" t="s">
        <v>219</v>
      </c>
      <c r="S224" s="15" t="s">
        <v>220</v>
      </c>
      <c r="T224" s="15" t="s">
        <v>219</v>
      </c>
      <c r="U224" s="15" t="s">
        <v>219</v>
      </c>
      <c r="V224" s="15" t="s">
        <v>219</v>
      </c>
      <c r="W224" s="15">
        <v>11</v>
      </c>
      <c r="X224" s="15" t="str">
        <f>_xlfn.XLOOKUP(tblMeasure[[#This Row],[id_src]],tblSource[id_src],tblSource[org])</f>
        <v>NHS Digital</v>
      </c>
      <c r="Y224" s="15" t="str">
        <f>_xlfn.XLOOKUP(tblMeasure[[#This Row],[id_src]],tblSource[id_src],tblSource[source])</f>
        <v>Personal Social Services: Staff of Social Services Departments</v>
      </c>
      <c r="Z224" s="15" t="str">
        <f>_xlfn.XLOOKUP(tblMeasure[[#This Row],[id_src]],tblSource[id_src],tblSource[url_source])</f>
        <v>https://digital.nhs.uk/data-and-information/publications/statistical/personal-social-services-staff-of-social-services-departments</v>
      </c>
      <c r="AA224" s="15">
        <f>_xlfn.XLOOKUP(tblMeasure[[#This Row],[id_src]],tblSource[id_src],tblSource[year_first_published])</f>
        <v>2005</v>
      </c>
      <c r="AB224" s="15">
        <f>_xlfn.XLOOKUP(tblMeasure[[#This Row],[id_src]],tblSource[id_src],tblSource[year_last_published])</f>
        <v>2019</v>
      </c>
      <c r="AC224" s="15">
        <f>_xlfn.XLOOKUP(tblMeasure[[#This Row],[id_src]],tblSource[id_src],tblSource[discontinuity])</f>
        <v>2011</v>
      </c>
      <c r="AD224" s="15" t="str">
        <f>_xlfn.XLOOKUP(tblMeasure[[#This Row],[id_src]],tblSource[id_src],tblSource[publication_frequency])</f>
        <v>Annual</v>
      </c>
      <c r="AE224" s="15">
        <f>_xlfn.XLOOKUP(tblMeasure[[#This Row],[id_src]],tblSource[id_src],tblSource[publication_lag_months])</f>
        <v>5</v>
      </c>
      <c r="AF224" s="25" t="str">
        <f>_xlfn.XLOOKUP(tblMeasure[[#This Row],[id_src]],tblSource[id_src],tblSource[data_providers])</f>
        <v>Skills for Care, LA</v>
      </c>
      <c r="AG224" s="25" t="str">
        <f>_xlfn.XLOOKUP(tblMeasure[[#This Row],[id_src]],tblSource[id_src],tblSource[statistic_class])</f>
        <v>National</v>
      </c>
      <c r="AH224" s="25" t="str">
        <f>_xlfn.XLOOKUP(tblMeasure[[#This Row],[id_src]],tblSource[id_src],tblSource[methodology_link])</f>
        <v>https://digital.nhs.uk/data-and-information/publications/statistical/personal-social-services-staff-of-social-services-departments/england-2019/data-quality-statement</v>
      </c>
      <c r="AI224" s="25" t="str">
        <f>_xlfn.XLOOKUP(tblMeasure[[#This Row],[id_src]],tblSource[id_src],tblSource[quality_issues])</f>
        <v>https://digital.nhs.uk/data-and-information/publications/statistical/personal-social-services-staff-of-social-services-departments/england-2019/data-quality-statement</v>
      </c>
      <c r="AJ224" s="25">
        <f>VLOOKUP(tblMeasure[[#This Row],[msr_population_or_survey]],strlu_msr_population_or_survey,2,FALSE)</f>
        <v>1</v>
      </c>
      <c r="AK224" s="25">
        <f>VLOOKUP(tblMeasure[[#This Row],[msr_min_geo_resolution]],strlu_msr_min_geo_resolution,2,FALSE)</f>
        <v>0</v>
      </c>
      <c r="AL224" s="25">
        <f>(MAX(tblMeasure[[#This Row],[src_year_last_published]]-2010+1,0)+MIN(2010-tblMeasure[[#This Row],[src_year_first_published]],0)-MAX(tblMeasure[[#This Row],[src_year_last_published]]-2019,0))/10</f>
        <v>1</v>
      </c>
      <c r="AM224" s="25">
        <f>IF(OR(tblMeasure[[#This Row],[src_discontinuity]]="None",tblMeasure[[#This Row],[src_discontinuity]]=0),1,0)</f>
        <v>0</v>
      </c>
      <c r="AN224" s="25">
        <f>VLOOKUP(tblMeasure[[#This Row],[src_pub_frequency]],strlu_src_pub_frequency,2,FALSE)</f>
        <v>0.8</v>
      </c>
      <c r="AO224" s="25">
        <f>VLOOKUP(tblMeasure[[#This Row],[src_pub_lag_months]],strlu_src_pub_lag_months,2,FALSE)</f>
        <v>0.5</v>
      </c>
      <c r="AP224" s="25">
        <f>VLOOKUP(tblMeasure[[#This Row],[src_statistic_class]],strlu_src_statistic_class,2,FALSE)</f>
        <v>1</v>
      </c>
      <c r="AQ224" s="25">
        <f>IF(tblMeasure[[#This Row],[src_methodology_url]]="TBD",0,1)</f>
        <v>1</v>
      </c>
      <c r="AR224" s="25">
        <f>IF(tblMeasure[[#This Row],[src_quality_url]]="TBD",0,1)</f>
        <v>1</v>
      </c>
      <c r="AS224" s="85" cm="1">
        <f t="array" ref="AS224">SUMPRODUCT(TRANSPOSE(tblMeasure[[#This Row],[str_msr_population_or_survey]:[str_src_quality_url]]),str_weights)/str_weights_total</f>
        <v>0.7</v>
      </c>
    </row>
    <row r="225" spans="1:45" hidden="1" x14ac:dyDescent="0.15">
      <c r="A225" s="30">
        <v>223</v>
      </c>
      <c r="B225" s="15">
        <f>COUNTIF(requirement_measure_map!$D$3:$D$1514,measure!A225)</f>
        <v>2</v>
      </c>
      <c r="C225" s="30" t="s">
        <v>656</v>
      </c>
      <c r="D225" s="15" t="s">
        <v>823</v>
      </c>
      <c r="E225" s="15" t="s">
        <v>721</v>
      </c>
      <c r="F225" s="15" t="s">
        <v>851</v>
      </c>
      <c r="G225" s="29" t="s">
        <v>806</v>
      </c>
      <c r="H225" s="15" t="s">
        <v>807</v>
      </c>
      <c r="I225" s="15" t="s">
        <v>214</v>
      </c>
      <c r="J225" s="15" t="s">
        <v>215</v>
      </c>
      <c r="K225" s="15" t="s">
        <v>852</v>
      </c>
      <c r="L225" s="15" t="s">
        <v>217</v>
      </c>
      <c r="M225" s="15" t="s">
        <v>219</v>
      </c>
      <c r="N225" s="15" t="s">
        <v>219</v>
      </c>
      <c r="O225" s="15" t="s">
        <v>219</v>
      </c>
      <c r="P225" s="15" t="s">
        <v>219</v>
      </c>
      <c r="Q225" s="15" t="s">
        <v>219</v>
      </c>
      <c r="R225" s="15" t="s">
        <v>219</v>
      </c>
      <c r="S225" s="15" t="s">
        <v>220</v>
      </c>
      <c r="T225" s="15" t="s">
        <v>219</v>
      </c>
      <c r="U225" s="15" t="s">
        <v>219</v>
      </c>
      <c r="V225" s="15" t="s">
        <v>219</v>
      </c>
      <c r="W225" s="15">
        <v>11</v>
      </c>
      <c r="X225" s="15" t="str">
        <f>_xlfn.XLOOKUP(tblMeasure[[#This Row],[id_src]],tblSource[id_src],tblSource[org])</f>
        <v>NHS Digital</v>
      </c>
      <c r="Y225" s="15" t="str">
        <f>_xlfn.XLOOKUP(tblMeasure[[#This Row],[id_src]],tblSource[id_src],tblSource[source])</f>
        <v>Personal Social Services: Staff of Social Services Departments</v>
      </c>
      <c r="Z225" s="15" t="str">
        <f>_xlfn.XLOOKUP(tblMeasure[[#This Row],[id_src]],tblSource[id_src],tblSource[url_source])</f>
        <v>https://digital.nhs.uk/data-and-information/publications/statistical/personal-social-services-staff-of-social-services-departments</v>
      </c>
      <c r="AA225" s="15">
        <f>_xlfn.XLOOKUP(tblMeasure[[#This Row],[id_src]],tblSource[id_src],tblSource[year_first_published])</f>
        <v>2005</v>
      </c>
      <c r="AB225" s="15">
        <f>_xlfn.XLOOKUP(tblMeasure[[#This Row],[id_src]],tblSource[id_src],tblSource[year_last_published])</f>
        <v>2019</v>
      </c>
      <c r="AC225" s="15">
        <f>_xlfn.XLOOKUP(tblMeasure[[#This Row],[id_src]],tblSource[id_src],tblSource[discontinuity])</f>
        <v>2011</v>
      </c>
      <c r="AD225" s="15" t="str">
        <f>_xlfn.XLOOKUP(tblMeasure[[#This Row],[id_src]],tblSource[id_src],tblSource[publication_frequency])</f>
        <v>Annual</v>
      </c>
      <c r="AE225" s="15">
        <f>_xlfn.XLOOKUP(tblMeasure[[#This Row],[id_src]],tblSource[id_src],tblSource[publication_lag_months])</f>
        <v>5</v>
      </c>
      <c r="AF225" s="25" t="str">
        <f>_xlfn.XLOOKUP(tblMeasure[[#This Row],[id_src]],tblSource[id_src],tblSource[data_providers])</f>
        <v>Skills for Care, LA</v>
      </c>
      <c r="AG225" s="25" t="str">
        <f>_xlfn.XLOOKUP(tblMeasure[[#This Row],[id_src]],tblSource[id_src],tblSource[statistic_class])</f>
        <v>National</v>
      </c>
      <c r="AH225" s="25" t="str">
        <f>_xlfn.XLOOKUP(tblMeasure[[#This Row],[id_src]],tblSource[id_src],tblSource[methodology_link])</f>
        <v>https://digital.nhs.uk/data-and-information/publications/statistical/personal-social-services-staff-of-social-services-departments/england-2019/data-quality-statement</v>
      </c>
      <c r="AI225" s="25" t="str">
        <f>_xlfn.XLOOKUP(tblMeasure[[#This Row],[id_src]],tblSource[id_src],tblSource[quality_issues])</f>
        <v>https://digital.nhs.uk/data-and-information/publications/statistical/personal-social-services-staff-of-social-services-departments/england-2019/data-quality-statement</v>
      </c>
      <c r="AJ225" s="25">
        <f>VLOOKUP(tblMeasure[[#This Row],[msr_population_or_survey]],strlu_msr_population_or_survey,2,FALSE)</f>
        <v>1</v>
      </c>
      <c r="AK225" s="25">
        <f>VLOOKUP(tblMeasure[[#This Row],[msr_min_geo_resolution]],strlu_msr_min_geo_resolution,2,FALSE)</f>
        <v>1</v>
      </c>
      <c r="AL225" s="25">
        <f>(MAX(tblMeasure[[#This Row],[src_year_last_published]]-2010+1,0)+MIN(2010-tblMeasure[[#This Row],[src_year_first_published]],0)-MAX(tblMeasure[[#This Row],[src_year_last_published]]-2019,0))/10</f>
        <v>1</v>
      </c>
      <c r="AM225" s="25">
        <f>IF(OR(tblMeasure[[#This Row],[src_discontinuity]]="None",tblMeasure[[#This Row],[src_discontinuity]]=0),1,0)</f>
        <v>0</v>
      </c>
      <c r="AN225" s="25">
        <f>VLOOKUP(tblMeasure[[#This Row],[src_pub_frequency]],strlu_src_pub_frequency,2,FALSE)</f>
        <v>0.8</v>
      </c>
      <c r="AO225" s="25">
        <f>VLOOKUP(tblMeasure[[#This Row],[src_pub_lag_months]],strlu_src_pub_lag_months,2,FALSE)</f>
        <v>0.5</v>
      </c>
      <c r="AP225" s="25">
        <f>VLOOKUP(tblMeasure[[#This Row],[src_statistic_class]],strlu_src_statistic_class,2,FALSE)</f>
        <v>1</v>
      </c>
      <c r="AQ225" s="25">
        <f>IF(tblMeasure[[#This Row],[src_methodology_url]]="TBD",0,1)</f>
        <v>1</v>
      </c>
      <c r="AR225" s="25">
        <f>IF(tblMeasure[[#This Row],[src_quality_url]]="TBD",0,1)</f>
        <v>1</v>
      </c>
      <c r="AS225" s="85" cm="1">
        <f t="array" ref="AS225">SUMPRODUCT(TRANSPOSE(tblMeasure[[#This Row],[str_msr_population_or_survey]:[str_src_quality_url]]),str_weights)/str_weights_total</f>
        <v>0.85384615384615381</v>
      </c>
    </row>
    <row r="226" spans="1:45" hidden="1" x14ac:dyDescent="0.15">
      <c r="A226" s="30">
        <v>224</v>
      </c>
      <c r="B226" s="15">
        <f>COUNTIF(requirement_measure_map!$D$3:$D$1514,measure!A226)</f>
        <v>2</v>
      </c>
      <c r="C226" s="30" t="s">
        <v>656</v>
      </c>
      <c r="D226" s="15" t="s">
        <v>823</v>
      </c>
      <c r="E226" s="15" t="s">
        <v>725</v>
      </c>
      <c r="F226" s="15" t="s">
        <v>853</v>
      </c>
      <c r="G226" s="29" t="s">
        <v>806</v>
      </c>
      <c r="H226" s="15" t="s">
        <v>807</v>
      </c>
      <c r="I226" s="15" t="s">
        <v>214</v>
      </c>
      <c r="J226" s="15" t="s">
        <v>215</v>
      </c>
      <c r="K226" s="15" t="s">
        <v>854</v>
      </c>
      <c r="L226" s="15" t="s">
        <v>233</v>
      </c>
      <c r="M226" s="15" t="s">
        <v>219</v>
      </c>
      <c r="N226" s="15" t="s">
        <v>219</v>
      </c>
      <c r="O226" s="15" t="s">
        <v>219</v>
      </c>
      <c r="P226" s="15" t="s">
        <v>219</v>
      </c>
      <c r="Q226" s="15" t="s">
        <v>219</v>
      </c>
      <c r="R226" s="15" t="s">
        <v>219</v>
      </c>
      <c r="S226" s="15" t="s">
        <v>243</v>
      </c>
      <c r="T226" s="15" t="s">
        <v>219</v>
      </c>
      <c r="U226" s="15" t="s">
        <v>219</v>
      </c>
      <c r="V226" s="15" t="s">
        <v>219</v>
      </c>
      <c r="W226" s="15">
        <v>11</v>
      </c>
      <c r="X226" s="15" t="str">
        <f>_xlfn.XLOOKUP(tblMeasure[[#This Row],[id_src]],tblSource[id_src],tblSource[org])</f>
        <v>NHS Digital</v>
      </c>
      <c r="Y226" s="15" t="str">
        <f>_xlfn.XLOOKUP(tblMeasure[[#This Row],[id_src]],tblSource[id_src],tblSource[source])</f>
        <v>Personal Social Services: Staff of Social Services Departments</v>
      </c>
      <c r="Z226" s="15" t="str">
        <f>_xlfn.XLOOKUP(tblMeasure[[#This Row],[id_src]],tblSource[id_src],tblSource[url_source])</f>
        <v>https://digital.nhs.uk/data-and-information/publications/statistical/personal-social-services-staff-of-social-services-departments</v>
      </c>
      <c r="AA226" s="15">
        <f>_xlfn.XLOOKUP(tblMeasure[[#This Row],[id_src]],tblSource[id_src],tblSource[year_first_published])</f>
        <v>2005</v>
      </c>
      <c r="AB226" s="15">
        <f>_xlfn.XLOOKUP(tblMeasure[[#This Row],[id_src]],tblSource[id_src],tblSource[year_last_published])</f>
        <v>2019</v>
      </c>
      <c r="AC226" s="15">
        <f>_xlfn.XLOOKUP(tblMeasure[[#This Row],[id_src]],tblSource[id_src],tblSource[discontinuity])</f>
        <v>2011</v>
      </c>
      <c r="AD226" s="15" t="str">
        <f>_xlfn.XLOOKUP(tblMeasure[[#This Row],[id_src]],tblSource[id_src],tblSource[publication_frequency])</f>
        <v>Annual</v>
      </c>
      <c r="AE226" s="15">
        <f>_xlfn.XLOOKUP(tblMeasure[[#This Row],[id_src]],tblSource[id_src],tblSource[publication_lag_months])</f>
        <v>5</v>
      </c>
      <c r="AF226" s="25" t="str">
        <f>_xlfn.XLOOKUP(tblMeasure[[#This Row],[id_src]],tblSource[id_src],tblSource[data_providers])</f>
        <v>Skills for Care, LA</v>
      </c>
      <c r="AG226" s="25" t="str">
        <f>_xlfn.XLOOKUP(tblMeasure[[#This Row],[id_src]],tblSource[id_src],tblSource[statistic_class])</f>
        <v>National</v>
      </c>
      <c r="AH226" s="25" t="str">
        <f>_xlfn.XLOOKUP(tblMeasure[[#This Row],[id_src]],tblSource[id_src],tblSource[methodology_link])</f>
        <v>https://digital.nhs.uk/data-and-information/publications/statistical/personal-social-services-staff-of-social-services-departments/england-2019/data-quality-statement</v>
      </c>
      <c r="AI226" s="25" t="str">
        <f>_xlfn.XLOOKUP(tblMeasure[[#This Row],[id_src]],tblSource[id_src],tblSource[quality_issues])</f>
        <v>https://digital.nhs.uk/data-and-information/publications/statistical/personal-social-services-staff-of-social-services-departments/england-2019/data-quality-statement</v>
      </c>
      <c r="AJ226" s="25">
        <f>VLOOKUP(tblMeasure[[#This Row],[msr_population_or_survey]],strlu_msr_population_or_survey,2,FALSE)</f>
        <v>1</v>
      </c>
      <c r="AK226" s="25">
        <f>VLOOKUP(tblMeasure[[#This Row],[msr_min_geo_resolution]],strlu_msr_min_geo_resolution,2,FALSE)</f>
        <v>0</v>
      </c>
      <c r="AL226" s="25">
        <f>(MAX(tblMeasure[[#This Row],[src_year_last_published]]-2010+1,0)+MIN(2010-tblMeasure[[#This Row],[src_year_first_published]],0)-MAX(tblMeasure[[#This Row],[src_year_last_published]]-2019,0))/10</f>
        <v>1</v>
      </c>
      <c r="AM226" s="25">
        <f>IF(OR(tblMeasure[[#This Row],[src_discontinuity]]="None",tblMeasure[[#This Row],[src_discontinuity]]=0),1,0)</f>
        <v>0</v>
      </c>
      <c r="AN226" s="25">
        <f>VLOOKUP(tblMeasure[[#This Row],[src_pub_frequency]],strlu_src_pub_frequency,2,FALSE)</f>
        <v>0.8</v>
      </c>
      <c r="AO226" s="25">
        <f>VLOOKUP(tblMeasure[[#This Row],[src_pub_lag_months]],strlu_src_pub_lag_months,2,FALSE)</f>
        <v>0.5</v>
      </c>
      <c r="AP226" s="25">
        <f>VLOOKUP(tblMeasure[[#This Row],[src_statistic_class]],strlu_src_statistic_class,2,FALSE)</f>
        <v>1</v>
      </c>
      <c r="AQ226" s="25">
        <f>IF(tblMeasure[[#This Row],[src_methodology_url]]="TBD",0,1)</f>
        <v>1</v>
      </c>
      <c r="AR226" s="25">
        <f>IF(tblMeasure[[#This Row],[src_quality_url]]="TBD",0,1)</f>
        <v>1</v>
      </c>
      <c r="AS226" s="85" cm="1">
        <f t="array" ref="AS226">SUMPRODUCT(TRANSPOSE(tblMeasure[[#This Row],[str_msr_population_or_survey]:[str_src_quality_url]]),str_weights)/str_weights_total</f>
        <v>0.7</v>
      </c>
    </row>
    <row r="227" spans="1:45" hidden="1" x14ac:dyDescent="0.15">
      <c r="A227" s="30">
        <v>225</v>
      </c>
      <c r="B227" s="15">
        <f>COUNTIF(requirement_measure_map!$D$3:$D$1514,measure!A227)</f>
        <v>2</v>
      </c>
      <c r="C227" s="30" t="s">
        <v>656</v>
      </c>
      <c r="D227" s="15" t="s">
        <v>823</v>
      </c>
      <c r="E227" s="15" t="s">
        <v>729</v>
      </c>
      <c r="F227" s="15" t="s">
        <v>855</v>
      </c>
      <c r="G227" s="29" t="s">
        <v>806</v>
      </c>
      <c r="H227" s="15" t="s">
        <v>807</v>
      </c>
      <c r="I227" s="15" t="s">
        <v>214</v>
      </c>
      <c r="J227" s="15" t="s">
        <v>215</v>
      </c>
      <c r="K227" s="15" t="s">
        <v>856</v>
      </c>
      <c r="L227" s="15" t="s">
        <v>217</v>
      </c>
      <c r="M227" s="15" t="s">
        <v>219</v>
      </c>
      <c r="N227" s="15" t="s">
        <v>219</v>
      </c>
      <c r="O227" s="15" t="s">
        <v>219</v>
      </c>
      <c r="P227" s="15" t="s">
        <v>219</v>
      </c>
      <c r="Q227" s="15" t="s">
        <v>219</v>
      </c>
      <c r="R227" s="15" t="s">
        <v>219</v>
      </c>
      <c r="S227" s="15" t="s">
        <v>220</v>
      </c>
      <c r="T227" s="15" t="s">
        <v>219</v>
      </c>
      <c r="U227" s="15" t="s">
        <v>219</v>
      </c>
      <c r="V227" s="15" t="s">
        <v>219</v>
      </c>
      <c r="W227" s="15">
        <v>11</v>
      </c>
      <c r="X227" s="15" t="str">
        <f>_xlfn.XLOOKUP(tblMeasure[[#This Row],[id_src]],tblSource[id_src],tblSource[org])</f>
        <v>NHS Digital</v>
      </c>
      <c r="Y227" s="15" t="str">
        <f>_xlfn.XLOOKUP(tblMeasure[[#This Row],[id_src]],tblSource[id_src],tblSource[source])</f>
        <v>Personal Social Services: Staff of Social Services Departments</v>
      </c>
      <c r="Z227" s="15" t="str">
        <f>_xlfn.XLOOKUP(tblMeasure[[#This Row],[id_src]],tblSource[id_src],tblSource[url_source])</f>
        <v>https://digital.nhs.uk/data-and-information/publications/statistical/personal-social-services-staff-of-social-services-departments</v>
      </c>
      <c r="AA227" s="15">
        <f>_xlfn.XLOOKUP(tblMeasure[[#This Row],[id_src]],tblSource[id_src],tblSource[year_first_published])</f>
        <v>2005</v>
      </c>
      <c r="AB227" s="15">
        <f>_xlfn.XLOOKUP(tblMeasure[[#This Row],[id_src]],tblSource[id_src],tblSource[year_last_published])</f>
        <v>2019</v>
      </c>
      <c r="AC227" s="15">
        <f>_xlfn.XLOOKUP(tblMeasure[[#This Row],[id_src]],tblSource[id_src],tblSource[discontinuity])</f>
        <v>2011</v>
      </c>
      <c r="AD227" s="15" t="str">
        <f>_xlfn.XLOOKUP(tblMeasure[[#This Row],[id_src]],tblSource[id_src],tblSource[publication_frequency])</f>
        <v>Annual</v>
      </c>
      <c r="AE227" s="15">
        <f>_xlfn.XLOOKUP(tblMeasure[[#This Row],[id_src]],tblSource[id_src],tblSource[publication_lag_months])</f>
        <v>5</v>
      </c>
      <c r="AF227" s="25" t="str">
        <f>_xlfn.XLOOKUP(tblMeasure[[#This Row],[id_src]],tblSource[id_src],tblSource[data_providers])</f>
        <v>Skills for Care, LA</v>
      </c>
      <c r="AG227" s="25" t="str">
        <f>_xlfn.XLOOKUP(tblMeasure[[#This Row],[id_src]],tblSource[id_src],tblSource[statistic_class])</f>
        <v>National</v>
      </c>
      <c r="AH227" s="25" t="str">
        <f>_xlfn.XLOOKUP(tblMeasure[[#This Row],[id_src]],tblSource[id_src],tblSource[methodology_link])</f>
        <v>https://digital.nhs.uk/data-and-information/publications/statistical/personal-social-services-staff-of-social-services-departments/england-2019/data-quality-statement</v>
      </c>
      <c r="AI227" s="25" t="str">
        <f>_xlfn.XLOOKUP(tblMeasure[[#This Row],[id_src]],tblSource[id_src],tblSource[quality_issues])</f>
        <v>https://digital.nhs.uk/data-and-information/publications/statistical/personal-social-services-staff-of-social-services-departments/england-2019/data-quality-statement</v>
      </c>
      <c r="AJ227" s="25">
        <f>VLOOKUP(tblMeasure[[#This Row],[msr_population_or_survey]],strlu_msr_population_or_survey,2,FALSE)</f>
        <v>1</v>
      </c>
      <c r="AK227" s="25">
        <f>VLOOKUP(tblMeasure[[#This Row],[msr_min_geo_resolution]],strlu_msr_min_geo_resolution,2,FALSE)</f>
        <v>1</v>
      </c>
      <c r="AL227" s="25">
        <f>(MAX(tblMeasure[[#This Row],[src_year_last_published]]-2010+1,0)+MIN(2010-tblMeasure[[#This Row],[src_year_first_published]],0)-MAX(tblMeasure[[#This Row],[src_year_last_published]]-2019,0))/10</f>
        <v>1</v>
      </c>
      <c r="AM227" s="25">
        <f>IF(OR(tblMeasure[[#This Row],[src_discontinuity]]="None",tblMeasure[[#This Row],[src_discontinuity]]=0),1,0)</f>
        <v>0</v>
      </c>
      <c r="AN227" s="25">
        <f>VLOOKUP(tblMeasure[[#This Row],[src_pub_frequency]],strlu_src_pub_frequency,2,FALSE)</f>
        <v>0.8</v>
      </c>
      <c r="AO227" s="25">
        <f>VLOOKUP(tblMeasure[[#This Row],[src_pub_lag_months]],strlu_src_pub_lag_months,2,FALSE)</f>
        <v>0.5</v>
      </c>
      <c r="AP227" s="25">
        <f>VLOOKUP(tblMeasure[[#This Row],[src_statistic_class]],strlu_src_statistic_class,2,FALSE)</f>
        <v>1</v>
      </c>
      <c r="AQ227" s="25">
        <f>IF(tblMeasure[[#This Row],[src_methodology_url]]="TBD",0,1)</f>
        <v>1</v>
      </c>
      <c r="AR227" s="25">
        <f>IF(tblMeasure[[#This Row],[src_quality_url]]="TBD",0,1)</f>
        <v>1</v>
      </c>
      <c r="AS227" s="85" cm="1">
        <f t="array" ref="AS227">SUMPRODUCT(TRANSPOSE(tblMeasure[[#This Row],[str_msr_population_or_survey]:[str_src_quality_url]]),str_weights)/str_weights_total</f>
        <v>0.85384615384615381</v>
      </c>
    </row>
    <row r="228" spans="1:45" hidden="1" x14ac:dyDescent="0.15">
      <c r="A228" s="30">
        <v>226</v>
      </c>
      <c r="B228" s="15">
        <f>COUNTIF(requirement_measure_map!$D$3:$D$1514,measure!A228)</f>
        <v>1</v>
      </c>
      <c r="C228" s="30" t="s">
        <v>857</v>
      </c>
      <c r="D228" s="15" t="s">
        <v>858</v>
      </c>
      <c r="E228" s="15" t="s">
        <v>579</v>
      </c>
      <c r="F228" s="15" t="s">
        <v>859</v>
      </c>
      <c r="G228" s="29" t="s">
        <v>860</v>
      </c>
      <c r="H228" s="15"/>
      <c r="I228" s="15" t="s">
        <v>214</v>
      </c>
      <c r="J228" s="15" t="s">
        <v>215</v>
      </c>
      <c r="K228" s="15" t="s">
        <v>861</v>
      </c>
      <c r="L228" s="15" t="s">
        <v>217</v>
      </c>
      <c r="M228" s="15" t="s">
        <v>219</v>
      </c>
      <c r="N228" s="15" t="s">
        <v>219</v>
      </c>
      <c r="O228" s="15" t="s">
        <v>219</v>
      </c>
      <c r="P228" s="15" t="s">
        <v>219</v>
      </c>
      <c r="Q228" s="15" t="s">
        <v>219</v>
      </c>
      <c r="R228" s="15" t="s">
        <v>219</v>
      </c>
      <c r="S228" s="15" t="s">
        <v>219</v>
      </c>
      <c r="T228" s="15" t="s">
        <v>219</v>
      </c>
      <c r="U228" s="15" t="s">
        <v>219</v>
      </c>
      <c r="V228" s="15" t="s">
        <v>219</v>
      </c>
      <c r="W228" s="15">
        <v>12</v>
      </c>
      <c r="X228" s="15" t="str">
        <f>_xlfn.XLOOKUP(tblMeasure[[#This Row],[id_src]],tblSource[id_src],tblSource[org])</f>
        <v>NHS Digital</v>
      </c>
      <c r="Y228" s="15" t="str">
        <f>_xlfn.XLOOKUP(tblMeasure[[#This Row],[id_src]],tblSource[id_src],tblSource[source])</f>
        <v>Safeguarding Adults</v>
      </c>
      <c r="Z228" s="15" t="str">
        <f>_xlfn.XLOOKUP(tblMeasure[[#This Row],[id_src]],tblSource[id_src],tblSource[url_source])</f>
        <v>https://digital.nhs.uk/data-and-information/publications/statistical/safeguarding-adults</v>
      </c>
      <c r="AA228" s="15">
        <f>_xlfn.XLOOKUP(tblMeasure[[#This Row],[id_src]],tblSource[id_src],tblSource[year_first_published])</f>
        <v>2010</v>
      </c>
      <c r="AB228" s="15">
        <f>_xlfn.XLOOKUP(tblMeasure[[#This Row],[id_src]],tblSource[id_src],tblSource[year_last_published])</f>
        <v>2019</v>
      </c>
      <c r="AC228" s="15">
        <f>_xlfn.XLOOKUP(tblMeasure[[#This Row],[id_src]],tblSource[id_src],tblSource[discontinuity])</f>
        <v>2016</v>
      </c>
      <c r="AD228" s="15" t="str">
        <f>_xlfn.XLOOKUP(tblMeasure[[#This Row],[id_src]],tblSource[id_src],tblSource[publication_frequency])</f>
        <v>Annual</v>
      </c>
      <c r="AE228" s="15">
        <f>_xlfn.XLOOKUP(tblMeasure[[#This Row],[id_src]],tblSource[id_src],tblSource[publication_lag_months])</f>
        <v>3</v>
      </c>
      <c r="AF228" s="25" t="str">
        <f>_xlfn.XLOOKUP(tblMeasure[[#This Row],[id_src]],tblSource[id_src],tblSource[data_providers])</f>
        <v>LA</v>
      </c>
      <c r="AG228" s="25" t="str">
        <f>_xlfn.XLOOKUP(tblMeasure[[#This Row],[id_src]],tblSource[id_src],tblSource[statistic_class])</f>
        <v>Experimental</v>
      </c>
      <c r="AH228" s="25" t="str">
        <f>_xlfn.XLOOKUP(tblMeasure[[#This Row],[id_src]],tblSource[id_src],tblSource[methodology_link])</f>
        <v>https://digital.nhs.uk/data-and-information/publications/statistical/safeguarding-adults/annual-report-2018-19-england/data-quality-statement</v>
      </c>
      <c r="AI228" s="25" t="str">
        <f>_xlfn.XLOOKUP(tblMeasure[[#This Row],[id_src]],tblSource[id_src],tblSource[quality_issues])</f>
        <v>https://digital.nhs.uk/data-and-information/publications/statistical/safeguarding-adults/annual-report-2018-19-england/data-quality-statement</v>
      </c>
      <c r="AJ228" s="25">
        <f>VLOOKUP(tblMeasure[[#This Row],[msr_population_or_survey]],strlu_msr_population_or_survey,2,FALSE)</f>
        <v>1</v>
      </c>
      <c r="AK228" s="25">
        <f>VLOOKUP(tblMeasure[[#This Row],[msr_min_geo_resolution]],strlu_msr_min_geo_resolution,2,FALSE)</f>
        <v>1</v>
      </c>
      <c r="AL228" s="25">
        <f>(MAX(tblMeasure[[#This Row],[src_year_last_published]]-2010+1,0)+MIN(2010-tblMeasure[[#This Row],[src_year_first_published]],0)-MAX(tblMeasure[[#This Row],[src_year_last_published]]-2019,0))/10</f>
        <v>1</v>
      </c>
      <c r="AM228" s="25">
        <f>IF(OR(tblMeasure[[#This Row],[src_discontinuity]]="None",tblMeasure[[#This Row],[src_discontinuity]]=0),1,0)</f>
        <v>0</v>
      </c>
      <c r="AN228" s="25">
        <f>VLOOKUP(tblMeasure[[#This Row],[src_pub_frequency]],strlu_src_pub_frequency,2,FALSE)</f>
        <v>0.8</v>
      </c>
      <c r="AO228" s="25">
        <f>VLOOKUP(tblMeasure[[#This Row],[src_pub_lag_months]],strlu_src_pub_lag_months,2,FALSE)</f>
        <v>0.7</v>
      </c>
      <c r="AP228" s="25">
        <f>VLOOKUP(tblMeasure[[#This Row],[src_statistic_class]],strlu_src_statistic_class,2,FALSE)</f>
        <v>0.5</v>
      </c>
      <c r="AQ228" s="25">
        <f>IF(tblMeasure[[#This Row],[src_methodology_url]]="TBD",0,1)</f>
        <v>1</v>
      </c>
      <c r="AR228" s="25">
        <f>IF(tblMeasure[[#This Row],[src_quality_url]]="TBD",0,1)</f>
        <v>1</v>
      </c>
      <c r="AS228" s="85" cm="1">
        <f t="array" ref="AS228">SUMPRODUCT(TRANSPOSE(tblMeasure[[#This Row],[str_msr_population_or_survey]:[str_src_quality_url]]),str_weights)/str_weights_total</f>
        <v>0.79230769230769227</v>
      </c>
    </row>
    <row r="229" spans="1:45" hidden="1" x14ac:dyDescent="0.15">
      <c r="A229" s="30">
        <v>227</v>
      </c>
      <c r="B229" s="15">
        <f>COUNTIF(requirement_measure_map!$D$3:$D$1514,measure!A229)</f>
        <v>6</v>
      </c>
      <c r="C229" s="30" t="s">
        <v>857</v>
      </c>
      <c r="D229" s="15" t="s">
        <v>858</v>
      </c>
      <c r="E229" s="15" t="s">
        <v>583</v>
      </c>
      <c r="F229" s="15" t="s">
        <v>862</v>
      </c>
      <c r="G229" s="29" t="s">
        <v>860</v>
      </c>
      <c r="H229" s="15"/>
      <c r="I229" s="15" t="s">
        <v>214</v>
      </c>
      <c r="J229" s="15" t="s">
        <v>215</v>
      </c>
      <c r="K229" s="15" t="s">
        <v>863</v>
      </c>
      <c r="L229" s="15" t="s">
        <v>217</v>
      </c>
      <c r="M229" s="15" t="s">
        <v>219</v>
      </c>
      <c r="N229" s="15" t="s">
        <v>219</v>
      </c>
      <c r="O229" s="15" t="s">
        <v>219</v>
      </c>
      <c r="P229" s="15" t="s">
        <v>219</v>
      </c>
      <c r="Q229" s="15" t="s">
        <v>219</v>
      </c>
      <c r="R229" s="15" t="s">
        <v>219</v>
      </c>
      <c r="S229" s="15" t="s">
        <v>219</v>
      </c>
      <c r="T229" s="15" t="s">
        <v>219</v>
      </c>
      <c r="U229" s="15" t="s">
        <v>741</v>
      </c>
      <c r="V229" s="15" t="s">
        <v>219</v>
      </c>
      <c r="W229" s="15">
        <v>12</v>
      </c>
      <c r="X229" s="15" t="str">
        <f>_xlfn.XLOOKUP(tblMeasure[[#This Row],[id_src]],tblSource[id_src],tblSource[org])</f>
        <v>NHS Digital</v>
      </c>
      <c r="Y229" s="15" t="str">
        <f>_xlfn.XLOOKUP(tblMeasure[[#This Row],[id_src]],tblSource[id_src],tblSource[source])</f>
        <v>Safeguarding Adults</v>
      </c>
      <c r="Z229" s="15" t="str">
        <f>_xlfn.XLOOKUP(tblMeasure[[#This Row],[id_src]],tblSource[id_src],tblSource[url_source])</f>
        <v>https://digital.nhs.uk/data-and-information/publications/statistical/safeguarding-adults</v>
      </c>
      <c r="AA229" s="15">
        <f>_xlfn.XLOOKUP(tblMeasure[[#This Row],[id_src]],tblSource[id_src],tblSource[year_first_published])</f>
        <v>2010</v>
      </c>
      <c r="AB229" s="15">
        <f>_xlfn.XLOOKUP(tblMeasure[[#This Row],[id_src]],tblSource[id_src],tblSource[year_last_published])</f>
        <v>2019</v>
      </c>
      <c r="AC229" s="15">
        <f>_xlfn.XLOOKUP(tblMeasure[[#This Row],[id_src]],tblSource[id_src],tblSource[discontinuity])</f>
        <v>2016</v>
      </c>
      <c r="AD229" s="15" t="str">
        <f>_xlfn.XLOOKUP(tblMeasure[[#This Row],[id_src]],tblSource[id_src],tblSource[publication_frequency])</f>
        <v>Annual</v>
      </c>
      <c r="AE229" s="15">
        <f>_xlfn.XLOOKUP(tblMeasure[[#This Row],[id_src]],tblSource[id_src],tblSource[publication_lag_months])</f>
        <v>3</v>
      </c>
      <c r="AF229" s="25" t="str">
        <f>_xlfn.XLOOKUP(tblMeasure[[#This Row],[id_src]],tblSource[id_src],tblSource[data_providers])</f>
        <v>LA</v>
      </c>
      <c r="AG229" s="25" t="str">
        <f>_xlfn.XLOOKUP(tblMeasure[[#This Row],[id_src]],tblSource[id_src],tblSource[statistic_class])</f>
        <v>Experimental</v>
      </c>
      <c r="AH229" s="25" t="str">
        <f>_xlfn.XLOOKUP(tblMeasure[[#This Row],[id_src]],tblSource[id_src],tblSource[methodology_link])</f>
        <v>https://digital.nhs.uk/data-and-information/publications/statistical/safeguarding-adults/annual-report-2018-19-england/data-quality-statement</v>
      </c>
      <c r="AI229" s="25" t="str">
        <f>_xlfn.XLOOKUP(tblMeasure[[#This Row],[id_src]],tblSource[id_src],tblSource[quality_issues])</f>
        <v>https://digital.nhs.uk/data-and-information/publications/statistical/safeguarding-adults/annual-report-2018-19-england/data-quality-statement</v>
      </c>
      <c r="AJ229" s="25">
        <f>VLOOKUP(tblMeasure[[#This Row],[msr_population_or_survey]],strlu_msr_population_or_survey,2,FALSE)</f>
        <v>1</v>
      </c>
      <c r="AK229" s="25">
        <f>VLOOKUP(tblMeasure[[#This Row],[msr_min_geo_resolution]],strlu_msr_min_geo_resolution,2,FALSE)</f>
        <v>1</v>
      </c>
      <c r="AL229" s="25">
        <f>(MAX(tblMeasure[[#This Row],[src_year_last_published]]-2010+1,0)+MIN(2010-tblMeasure[[#This Row],[src_year_first_published]],0)-MAX(tblMeasure[[#This Row],[src_year_last_published]]-2019,0))/10</f>
        <v>1</v>
      </c>
      <c r="AM229" s="25">
        <f>IF(OR(tblMeasure[[#This Row],[src_discontinuity]]="None",tblMeasure[[#This Row],[src_discontinuity]]=0),1,0)</f>
        <v>0</v>
      </c>
      <c r="AN229" s="25">
        <f>VLOOKUP(tblMeasure[[#This Row],[src_pub_frequency]],strlu_src_pub_frequency,2,FALSE)</f>
        <v>0.8</v>
      </c>
      <c r="AO229" s="25">
        <f>VLOOKUP(tblMeasure[[#This Row],[src_pub_lag_months]],strlu_src_pub_lag_months,2,FALSE)</f>
        <v>0.7</v>
      </c>
      <c r="AP229" s="25">
        <f>VLOOKUP(tblMeasure[[#This Row],[src_statistic_class]],strlu_src_statistic_class,2,FALSE)</f>
        <v>0.5</v>
      </c>
      <c r="AQ229" s="25">
        <f>IF(tblMeasure[[#This Row],[src_methodology_url]]="TBD",0,1)</f>
        <v>1</v>
      </c>
      <c r="AR229" s="25">
        <f>IF(tblMeasure[[#This Row],[src_quality_url]]="TBD",0,1)</f>
        <v>1</v>
      </c>
      <c r="AS229" s="85" cm="1">
        <f t="array" ref="AS229">SUMPRODUCT(TRANSPOSE(tblMeasure[[#This Row],[str_msr_population_or_survey]:[str_src_quality_url]]),str_weights)/str_weights_total</f>
        <v>0.79230769230769227</v>
      </c>
    </row>
    <row r="230" spans="1:45" hidden="1" x14ac:dyDescent="0.15">
      <c r="A230" s="30">
        <v>228</v>
      </c>
      <c r="B230" s="15">
        <f>COUNTIF(requirement_measure_map!$D$3:$D$1514,measure!A230)</f>
        <v>1</v>
      </c>
      <c r="C230" s="30" t="s">
        <v>857</v>
      </c>
      <c r="D230" s="15" t="s">
        <v>858</v>
      </c>
      <c r="E230" s="15" t="s">
        <v>586</v>
      </c>
      <c r="F230" s="15" t="s">
        <v>864</v>
      </c>
      <c r="G230" s="29" t="s">
        <v>860</v>
      </c>
      <c r="H230" s="15"/>
      <c r="I230" s="15" t="s">
        <v>214</v>
      </c>
      <c r="J230" s="15" t="s">
        <v>215</v>
      </c>
      <c r="K230" s="15" t="s">
        <v>865</v>
      </c>
      <c r="L230" s="15" t="s">
        <v>217</v>
      </c>
      <c r="M230" s="15" t="s">
        <v>219</v>
      </c>
      <c r="N230" s="15" t="s">
        <v>219</v>
      </c>
      <c r="O230" s="15" t="s">
        <v>219</v>
      </c>
      <c r="P230" s="15" t="s">
        <v>219</v>
      </c>
      <c r="Q230" s="15" t="s">
        <v>219</v>
      </c>
      <c r="R230" s="15" t="s">
        <v>219</v>
      </c>
      <c r="S230" s="15" t="s">
        <v>219</v>
      </c>
      <c r="T230" s="15" t="s">
        <v>219</v>
      </c>
      <c r="U230" s="15" t="s">
        <v>219</v>
      </c>
      <c r="V230" s="15" t="s">
        <v>219</v>
      </c>
      <c r="W230" s="15">
        <v>12</v>
      </c>
      <c r="X230" s="15" t="str">
        <f>_xlfn.XLOOKUP(tblMeasure[[#This Row],[id_src]],tblSource[id_src],tblSource[org])</f>
        <v>NHS Digital</v>
      </c>
      <c r="Y230" s="15" t="str">
        <f>_xlfn.XLOOKUP(tblMeasure[[#This Row],[id_src]],tblSource[id_src],tblSource[source])</f>
        <v>Safeguarding Adults</v>
      </c>
      <c r="Z230" s="15" t="str">
        <f>_xlfn.XLOOKUP(tblMeasure[[#This Row],[id_src]],tblSource[id_src],tblSource[url_source])</f>
        <v>https://digital.nhs.uk/data-and-information/publications/statistical/safeguarding-adults</v>
      </c>
      <c r="AA230" s="15">
        <f>_xlfn.XLOOKUP(tblMeasure[[#This Row],[id_src]],tblSource[id_src],tblSource[year_first_published])</f>
        <v>2010</v>
      </c>
      <c r="AB230" s="15">
        <f>_xlfn.XLOOKUP(tblMeasure[[#This Row],[id_src]],tblSource[id_src],tblSource[year_last_published])</f>
        <v>2019</v>
      </c>
      <c r="AC230" s="15">
        <f>_xlfn.XLOOKUP(tblMeasure[[#This Row],[id_src]],tblSource[id_src],tblSource[discontinuity])</f>
        <v>2016</v>
      </c>
      <c r="AD230" s="15" t="str">
        <f>_xlfn.XLOOKUP(tblMeasure[[#This Row],[id_src]],tblSource[id_src],tblSource[publication_frequency])</f>
        <v>Annual</v>
      </c>
      <c r="AE230" s="15">
        <f>_xlfn.XLOOKUP(tblMeasure[[#This Row],[id_src]],tblSource[id_src],tblSource[publication_lag_months])</f>
        <v>3</v>
      </c>
      <c r="AF230" s="25" t="str">
        <f>_xlfn.XLOOKUP(tblMeasure[[#This Row],[id_src]],tblSource[id_src],tblSource[data_providers])</f>
        <v>LA</v>
      </c>
      <c r="AG230" s="25" t="str">
        <f>_xlfn.XLOOKUP(tblMeasure[[#This Row],[id_src]],tblSource[id_src],tblSource[statistic_class])</f>
        <v>Experimental</v>
      </c>
      <c r="AH230" s="25" t="str">
        <f>_xlfn.XLOOKUP(tblMeasure[[#This Row],[id_src]],tblSource[id_src],tblSource[methodology_link])</f>
        <v>https://digital.nhs.uk/data-and-information/publications/statistical/safeguarding-adults/annual-report-2018-19-england/data-quality-statement</v>
      </c>
      <c r="AI230" s="25" t="str">
        <f>_xlfn.XLOOKUP(tblMeasure[[#This Row],[id_src]],tblSource[id_src],tblSource[quality_issues])</f>
        <v>https://digital.nhs.uk/data-and-information/publications/statistical/safeguarding-adults/annual-report-2018-19-england/data-quality-statement</v>
      </c>
      <c r="AJ230" s="25">
        <f>VLOOKUP(tblMeasure[[#This Row],[msr_population_or_survey]],strlu_msr_population_or_survey,2,FALSE)</f>
        <v>1</v>
      </c>
      <c r="AK230" s="25">
        <f>VLOOKUP(tblMeasure[[#This Row],[msr_min_geo_resolution]],strlu_msr_min_geo_resolution,2,FALSE)</f>
        <v>1</v>
      </c>
      <c r="AL230" s="25">
        <f>(MAX(tblMeasure[[#This Row],[src_year_last_published]]-2010+1,0)+MIN(2010-tblMeasure[[#This Row],[src_year_first_published]],0)-MAX(tblMeasure[[#This Row],[src_year_last_published]]-2019,0))/10</f>
        <v>1</v>
      </c>
      <c r="AM230" s="25">
        <f>IF(OR(tblMeasure[[#This Row],[src_discontinuity]]="None",tblMeasure[[#This Row],[src_discontinuity]]=0),1,0)</f>
        <v>0</v>
      </c>
      <c r="AN230" s="25">
        <f>VLOOKUP(tblMeasure[[#This Row],[src_pub_frequency]],strlu_src_pub_frequency,2,FALSE)</f>
        <v>0.8</v>
      </c>
      <c r="AO230" s="25">
        <f>VLOOKUP(tblMeasure[[#This Row],[src_pub_lag_months]],strlu_src_pub_lag_months,2,FALSE)</f>
        <v>0.7</v>
      </c>
      <c r="AP230" s="25">
        <f>VLOOKUP(tblMeasure[[#This Row],[src_statistic_class]],strlu_src_statistic_class,2,FALSE)</f>
        <v>0.5</v>
      </c>
      <c r="AQ230" s="25">
        <f>IF(tblMeasure[[#This Row],[src_methodology_url]]="TBD",0,1)</f>
        <v>1</v>
      </c>
      <c r="AR230" s="25">
        <f>IF(tblMeasure[[#This Row],[src_quality_url]]="TBD",0,1)</f>
        <v>1</v>
      </c>
      <c r="AS230" s="85" cm="1">
        <f t="array" ref="AS230">SUMPRODUCT(TRANSPOSE(tblMeasure[[#This Row],[str_msr_population_or_survey]:[str_src_quality_url]]),str_weights)/str_weights_total</f>
        <v>0.79230769230769227</v>
      </c>
    </row>
    <row r="231" spans="1:45" hidden="1" x14ac:dyDescent="0.15">
      <c r="A231" s="30">
        <v>229</v>
      </c>
      <c r="B231" s="15">
        <f>COUNTIF(requirement_measure_map!$D$3:$D$1514,measure!A231)</f>
        <v>2</v>
      </c>
      <c r="C231" s="30" t="s">
        <v>857</v>
      </c>
      <c r="D231" s="15" t="s">
        <v>866</v>
      </c>
      <c r="E231" s="15" t="s">
        <v>589</v>
      </c>
      <c r="F231" s="15" t="s">
        <v>867</v>
      </c>
      <c r="G231" s="29" t="s">
        <v>860</v>
      </c>
      <c r="H231" s="15"/>
      <c r="I231" s="15" t="s">
        <v>214</v>
      </c>
      <c r="J231" s="15" t="s">
        <v>215</v>
      </c>
      <c r="K231" s="15" t="s">
        <v>868</v>
      </c>
      <c r="L231" s="15" t="s">
        <v>217</v>
      </c>
      <c r="M231" s="15" t="s">
        <v>219</v>
      </c>
      <c r="N231" s="15" t="s">
        <v>219</v>
      </c>
      <c r="O231" s="15" t="s">
        <v>219</v>
      </c>
      <c r="P231" s="15" t="s">
        <v>219</v>
      </c>
      <c r="Q231" s="15" t="s">
        <v>219</v>
      </c>
      <c r="R231" s="15" t="s">
        <v>219</v>
      </c>
      <c r="S231" s="15" t="s">
        <v>219</v>
      </c>
      <c r="T231" s="15" t="s">
        <v>219</v>
      </c>
      <c r="U231" s="15" t="s">
        <v>219</v>
      </c>
      <c r="V231" s="15" t="s">
        <v>219</v>
      </c>
      <c r="W231" s="15">
        <v>12</v>
      </c>
      <c r="X231" s="15" t="str">
        <f>_xlfn.XLOOKUP(tblMeasure[[#This Row],[id_src]],tblSource[id_src],tblSource[org])</f>
        <v>NHS Digital</v>
      </c>
      <c r="Y231" s="15" t="str">
        <f>_xlfn.XLOOKUP(tblMeasure[[#This Row],[id_src]],tblSource[id_src],tblSource[source])</f>
        <v>Safeguarding Adults</v>
      </c>
      <c r="Z231" s="15" t="str">
        <f>_xlfn.XLOOKUP(tblMeasure[[#This Row],[id_src]],tblSource[id_src],tblSource[url_source])</f>
        <v>https://digital.nhs.uk/data-and-information/publications/statistical/safeguarding-adults</v>
      </c>
      <c r="AA231" s="15">
        <f>_xlfn.XLOOKUP(tblMeasure[[#This Row],[id_src]],tblSource[id_src],tblSource[year_first_published])</f>
        <v>2010</v>
      </c>
      <c r="AB231" s="15">
        <f>_xlfn.XLOOKUP(tblMeasure[[#This Row],[id_src]],tblSource[id_src],tblSource[year_last_published])</f>
        <v>2019</v>
      </c>
      <c r="AC231" s="15">
        <f>_xlfn.XLOOKUP(tblMeasure[[#This Row],[id_src]],tblSource[id_src],tblSource[discontinuity])</f>
        <v>2016</v>
      </c>
      <c r="AD231" s="15" t="str">
        <f>_xlfn.XLOOKUP(tblMeasure[[#This Row],[id_src]],tblSource[id_src],tblSource[publication_frequency])</f>
        <v>Annual</v>
      </c>
      <c r="AE231" s="15">
        <f>_xlfn.XLOOKUP(tblMeasure[[#This Row],[id_src]],tblSource[id_src],tblSource[publication_lag_months])</f>
        <v>3</v>
      </c>
      <c r="AF231" s="25" t="str">
        <f>_xlfn.XLOOKUP(tblMeasure[[#This Row],[id_src]],tblSource[id_src],tblSource[data_providers])</f>
        <v>LA</v>
      </c>
      <c r="AG231" s="25" t="str">
        <f>_xlfn.XLOOKUP(tblMeasure[[#This Row],[id_src]],tblSource[id_src],tblSource[statistic_class])</f>
        <v>Experimental</v>
      </c>
      <c r="AH231" s="25" t="str">
        <f>_xlfn.XLOOKUP(tblMeasure[[#This Row],[id_src]],tblSource[id_src],tblSource[methodology_link])</f>
        <v>https://digital.nhs.uk/data-and-information/publications/statistical/safeguarding-adults/annual-report-2018-19-england/data-quality-statement</v>
      </c>
      <c r="AI231" s="25" t="str">
        <f>_xlfn.XLOOKUP(tblMeasure[[#This Row],[id_src]],tblSource[id_src],tblSource[quality_issues])</f>
        <v>https://digital.nhs.uk/data-and-information/publications/statistical/safeguarding-adults/annual-report-2018-19-england/data-quality-statement</v>
      </c>
      <c r="AJ231" s="25">
        <f>VLOOKUP(tblMeasure[[#This Row],[msr_population_or_survey]],strlu_msr_population_or_survey,2,FALSE)</f>
        <v>1</v>
      </c>
      <c r="AK231" s="25">
        <f>VLOOKUP(tblMeasure[[#This Row],[msr_min_geo_resolution]],strlu_msr_min_geo_resolution,2,FALSE)</f>
        <v>1</v>
      </c>
      <c r="AL231" s="25">
        <f>(MAX(tblMeasure[[#This Row],[src_year_last_published]]-2010+1,0)+MIN(2010-tblMeasure[[#This Row],[src_year_first_published]],0)-MAX(tblMeasure[[#This Row],[src_year_last_published]]-2019,0))/10</f>
        <v>1</v>
      </c>
      <c r="AM231" s="25">
        <f>IF(OR(tblMeasure[[#This Row],[src_discontinuity]]="None",tblMeasure[[#This Row],[src_discontinuity]]=0),1,0)</f>
        <v>0</v>
      </c>
      <c r="AN231" s="25">
        <f>VLOOKUP(tblMeasure[[#This Row],[src_pub_frequency]],strlu_src_pub_frequency,2,FALSE)</f>
        <v>0.8</v>
      </c>
      <c r="AO231" s="25">
        <f>VLOOKUP(tblMeasure[[#This Row],[src_pub_lag_months]],strlu_src_pub_lag_months,2,FALSE)</f>
        <v>0.7</v>
      </c>
      <c r="AP231" s="25">
        <f>VLOOKUP(tblMeasure[[#This Row],[src_statistic_class]],strlu_src_statistic_class,2,FALSE)</f>
        <v>0.5</v>
      </c>
      <c r="AQ231" s="25">
        <f>IF(tblMeasure[[#This Row],[src_methodology_url]]="TBD",0,1)</f>
        <v>1</v>
      </c>
      <c r="AR231" s="25">
        <f>IF(tblMeasure[[#This Row],[src_quality_url]]="TBD",0,1)</f>
        <v>1</v>
      </c>
      <c r="AS231" s="85" cm="1">
        <f t="array" ref="AS231">SUMPRODUCT(TRANSPOSE(tblMeasure[[#This Row],[str_msr_population_or_survey]:[str_src_quality_url]]),str_weights)/str_weights_total</f>
        <v>0.79230769230769227</v>
      </c>
    </row>
    <row r="232" spans="1:45" hidden="1" x14ac:dyDescent="0.15">
      <c r="A232" s="30">
        <v>230</v>
      </c>
      <c r="B232" s="15">
        <f>COUNTIF(requirement_measure_map!$D$3:$D$1514,measure!A232)</f>
        <v>3</v>
      </c>
      <c r="C232" s="30" t="s">
        <v>857</v>
      </c>
      <c r="D232" s="15" t="s">
        <v>866</v>
      </c>
      <c r="E232" s="15" t="s">
        <v>592</v>
      </c>
      <c r="F232" s="15" t="s">
        <v>869</v>
      </c>
      <c r="G232" s="29" t="s">
        <v>860</v>
      </c>
      <c r="H232" s="15"/>
      <c r="I232" s="15" t="s">
        <v>214</v>
      </c>
      <c r="J232" s="15" t="s">
        <v>215</v>
      </c>
      <c r="K232" s="15" t="s">
        <v>870</v>
      </c>
      <c r="L232" s="15" t="s">
        <v>217</v>
      </c>
      <c r="M232" s="15" t="s">
        <v>219</v>
      </c>
      <c r="N232" s="15" t="s">
        <v>219</v>
      </c>
      <c r="O232" s="15" t="s">
        <v>219</v>
      </c>
      <c r="P232" s="15" t="s">
        <v>219</v>
      </c>
      <c r="Q232" s="15" t="s">
        <v>219</v>
      </c>
      <c r="R232" s="15" t="s">
        <v>219</v>
      </c>
      <c r="S232" s="15" t="s">
        <v>219</v>
      </c>
      <c r="T232" s="15" t="s">
        <v>219</v>
      </c>
      <c r="U232" s="15" t="s">
        <v>219</v>
      </c>
      <c r="V232" s="15" t="s">
        <v>219</v>
      </c>
      <c r="W232" s="15">
        <v>12</v>
      </c>
      <c r="X232" s="15" t="str">
        <f>_xlfn.XLOOKUP(tblMeasure[[#This Row],[id_src]],tblSource[id_src],tblSource[org])</f>
        <v>NHS Digital</v>
      </c>
      <c r="Y232" s="15" t="str">
        <f>_xlfn.XLOOKUP(tblMeasure[[#This Row],[id_src]],tblSource[id_src],tblSource[source])</f>
        <v>Safeguarding Adults</v>
      </c>
      <c r="Z232" s="15" t="str">
        <f>_xlfn.XLOOKUP(tblMeasure[[#This Row],[id_src]],tblSource[id_src],tblSource[url_source])</f>
        <v>https://digital.nhs.uk/data-and-information/publications/statistical/safeguarding-adults</v>
      </c>
      <c r="AA232" s="15">
        <f>_xlfn.XLOOKUP(tblMeasure[[#This Row],[id_src]],tblSource[id_src],tblSource[year_first_published])</f>
        <v>2010</v>
      </c>
      <c r="AB232" s="15">
        <f>_xlfn.XLOOKUP(tblMeasure[[#This Row],[id_src]],tblSource[id_src],tblSource[year_last_published])</f>
        <v>2019</v>
      </c>
      <c r="AC232" s="15">
        <f>_xlfn.XLOOKUP(tblMeasure[[#This Row],[id_src]],tblSource[id_src],tblSource[discontinuity])</f>
        <v>2016</v>
      </c>
      <c r="AD232" s="15" t="str">
        <f>_xlfn.XLOOKUP(tblMeasure[[#This Row],[id_src]],tblSource[id_src],tblSource[publication_frequency])</f>
        <v>Annual</v>
      </c>
      <c r="AE232" s="15">
        <f>_xlfn.XLOOKUP(tblMeasure[[#This Row],[id_src]],tblSource[id_src],tblSource[publication_lag_months])</f>
        <v>3</v>
      </c>
      <c r="AF232" s="25" t="str">
        <f>_xlfn.XLOOKUP(tblMeasure[[#This Row],[id_src]],tblSource[id_src],tblSource[data_providers])</f>
        <v>LA</v>
      </c>
      <c r="AG232" s="25" t="str">
        <f>_xlfn.XLOOKUP(tblMeasure[[#This Row],[id_src]],tblSource[id_src],tblSource[statistic_class])</f>
        <v>Experimental</v>
      </c>
      <c r="AH232" s="25" t="str">
        <f>_xlfn.XLOOKUP(tblMeasure[[#This Row],[id_src]],tblSource[id_src],tblSource[methodology_link])</f>
        <v>https://digital.nhs.uk/data-and-information/publications/statistical/safeguarding-adults/annual-report-2018-19-england/data-quality-statement</v>
      </c>
      <c r="AI232" s="25" t="str">
        <f>_xlfn.XLOOKUP(tblMeasure[[#This Row],[id_src]],tblSource[id_src],tblSource[quality_issues])</f>
        <v>https://digital.nhs.uk/data-and-information/publications/statistical/safeguarding-adults/annual-report-2018-19-england/data-quality-statement</v>
      </c>
      <c r="AJ232" s="25">
        <f>VLOOKUP(tblMeasure[[#This Row],[msr_population_or_survey]],strlu_msr_population_or_survey,2,FALSE)</f>
        <v>1</v>
      </c>
      <c r="AK232" s="25">
        <f>VLOOKUP(tblMeasure[[#This Row],[msr_min_geo_resolution]],strlu_msr_min_geo_resolution,2,FALSE)</f>
        <v>1</v>
      </c>
      <c r="AL232" s="25">
        <f>(MAX(tblMeasure[[#This Row],[src_year_last_published]]-2010+1,0)+MIN(2010-tblMeasure[[#This Row],[src_year_first_published]],0)-MAX(tblMeasure[[#This Row],[src_year_last_published]]-2019,0))/10</f>
        <v>1</v>
      </c>
      <c r="AM232" s="25">
        <f>IF(OR(tblMeasure[[#This Row],[src_discontinuity]]="None",tblMeasure[[#This Row],[src_discontinuity]]=0),1,0)</f>
        <v>0</v>
      </c>
      <c r="AN232" s="25">
        <f>VLOOKUP(tblMeasure[[#This Row],[src_pub_frequency]],strlu_src_pub_frequency,2,FALSE)</f>
        <v>0.8</v>
      </c>
      <c r="AO232" s="25">
        <f>VLOOKUP(tblMeasure[[#This Row],[src_pub_lag_months]],strlu_src_pub_lag_months,2,FALSE)</f>
        <v>0.7</v>
      </c>
      <c r="AP232" s="25">
        <f>VLOOKUP(tblMeasure[[#This Row],[src_statistic_class]],strlu_src_statistic_class,2,FALSE)</f>
        <v>0.5</v>
      </c>
      <c r="AQ232" s="25">
        <f>IF(tblMeasure[[#This Row],[src_methodology_url]]="TBD",0,1)</f>
        <v>1</v>
      </c>
      <c r="AR232" s="25">
        <f>IF(tblMeasure[[#This Row],[src_quality_url]]="TBD",0,1)</f>
        <v>1</v>
      </c>
      <c r="AS232" s="85" cm="1">
        <f t="array" ref="AS232">SUMPRODUCT(TRANSPOSE(tblMeasure[[#This Row],[str_msr_population_or_survey]:[str_src_quality_url]]),str_weights)/str_weights_total</f>
        <v>0.79230769230769227</v>
      </c>
    </row>
    <row r="233" spans="1:45" x14ac:dyDescent="0.15">
      <c r="A233" s="30">
        <v>231</v>
      </c>
      <c r="B233" s="15">
        <f>COUNTIF(requirement_measure_map!$D$3:$D$1514,measure!A233)</f>
        <v>2</v>
      </c>
      <c r="C233" s="30" t="s">
        <v>857</v>
      </c>
      <c r="D233" s="15" t="s">
        <v>866</v>
      </c>
      <c r="E233" s="15" t="s">
        <v>595</v>
      </c>
      <c r="F233" s="15" t="s">
        <v>871</v>
      </c>
      <c r="G233" s="29" t="s">
        <v>860</v>
      </c>
      <c r="H233" s="15"/>
      <c r="I233" s="15" t="s">
        <v>214</v>
      </c>
      <c r="J233" s="15" t="s">
        <v>215</v>
      </c>
      <c r="K233" s="15" t="s">
        <v>872</v>
      </c>
      <c r="L233" s="15" t="s">
        <v>217</v>
      </c>
      <c r="M233" s="15" t="s">
        <v>219</v>
      </c>
      <c r="N233" s="15" t="s">
        <v>219</v>
      </c>
      <c r="O233" s="15" t="s">
        <v>219</v>
      </c>
      <c r="P233" s="15" t="s">
        <v>330</v>
      </c>
      <c r="Q233" s="15" t="s">
        <v>219</v>
      </c>
      <c r="R233" s="15" t="s">
        <v>219</v>
      </c>
      <c r="S233" s="15" t="s">
        <v>219</v>
      </c>
      <c r="T233" s="15" t="s">
        <v>219</v>
      </c>
      <c r="U233" s="15" t="s">
        <v>219</v>
      </c>
      <c r="V233" s="15" t="s">
        <v>219</v>
      </c>
      <c r="W233" s="15">
        <v>12</v>
      </c>
      <c r="X233" s="15" t="str">
        <f>_xlfn.XLOOKUP(tblMeasure[[#This Row],[id_src]],tblSource[id_src],tblSource[org])</f>
        <v>NHS Digital</v>
      </c>
      <c r="Y233" s="15" t="str">
        <f>_xlfn.XLOOKUP(tblMeasure[[#This Row],[id_src]],tblSource[id_src],tblSource[source])</f>
        <v>Safeguarding Adults</v>
      </c>
      <c r="Z233" s="15" t="str">
        <f>_xlfn.XLOOKUP(tblMeasure[[#This Row],[id_src]],tblSource[id_src],tblSource[url_source])</f>
        <v>https://digital.nhs.uk/data-and-information/publications/statistical/safeguarding-adults</v>
      </c>
      <c r="AA233" s="15">
        <f>_xlfn.XLOOKUP(tblMeasure[[#This Row],[id_src]],tblSource[id_src],tblSource[year_first_published])</f>
        <v>2010</v>
      </c>
      <c r="AB233" s="15">
        <f>_xlfn.XLOOKUP(tblMeasure[[#This Row],[id_src]],tblSource[id_src],tblSource[year_last_published])</f>
        <v>2019</v>
      </c>
      <c r="AC233" s="15">
        <f>_xlfn.XLOOKUP(tblMeasure[[#This Row],[id_src]],tblSource[id_src],tblSource[discontinuity])</f>
        <v>2016</v>
      </c>
      <c r="AD233" s="15" t="str">
        <f>_xlfn.XLOOKUP(tblMeasure[[#This Row],[id_src]],tblSource[id_src],tblSource[publication_frequency])</f>
        <v>Annual</v>
      </c>
      <c r="AE233" s="15">
        <f>_xlfn.XLOOKUP(tblMeasure[[#This Row],[id_src]],tblSource[id_src],tblSource[publication_lag_months])</f>
        <v>3</v>
      </c>
      <c r="AF233" s="25" t="str">
        <f>_xlfn.XLOOKUP(tblMeasure[[#This Row],[id_src]],tblSource[id_src],tblSource[data_providers])</f>
        <v>LA</v>
      </c>
      <c r="AG233" s="25" t="str">
        <f>_xlfn.XLOOKUP(tblMeasure[[#This Row],[id_src]],tblSource[id_src],tblSource[statistic_class])</f>
        <v>Experimental</v>
      </c>
      <c r="AH233" s="25" t="str">
        <f>_xlfn.XLOOKUP(tblMeasure[[#This Row],[id_src]],tblSource[id_src],tblSource[methodology_link])</f>
        <v>https://digital.nhs.uk/data-and-information/publications/statistical/safeguarding-adults/annual-report-2018-19-england/data-quality-statement</v>
      </c>
      <c r="AI233" s="25" t="str">
        <f>_xlfn.XLOOKUP(tblMeasure[[#This Row],[id_src]],tblSource[id_src],tblSource[quality_issues])</f>
        <v>https://digital.nhs.uk/data-and-information/publications/statistical/safeguarding-adults/annual-report-2018-19-england/data-quality-statement</v>
      </c>
      <c r="AJ233" s="25">
        <f>VLOOKUP(tblMeasure[[#This Row],[msr_population_or_survey]],strlu_msr_population_or_survey,2,FALSE)</f>
        <v>1</v>
      </c>
      <c r="AK233" s="25">
        <f>VLOOKUP(tblMeasure[[#This Row],[msr_min_geo_resolution]],strlu_msr_min_geo_resolution,2,FALSE)</f>
        <v>1</v>
      </c>
      <c r="AL233" s="25">
        <f>(MAX(tblMeasure[[#This Row],[src_year_last_published]]-2010+1,0)+MIN(2010-tblMeasure[[#This Row],[src_year_first_published]],0)-MAX(tblMeasure[[#This Row],[src_year_last_published]]-2019,0))/10</f>
        <v>1</v>
      </c>
      <c r="AM233" s="25">
        <f>IF(OR(tblMeasure[[#This Row],[src_discontinuity]]="None",tblMeasure[[#This Row],[src_discontinuity]]=0),1,0)</f>
        <v>0</v>
      </c>
      <c r="AN233" s="25">
        <f>VLOOKUP(tblMeasure[[#This Row],[src_pub_frequency]],strlu_src_pub_frequency,2,FALSE)</f>
        <v>0.8</v>
      </c>
      <c r="AO233" s="25">
        <f>VLOOKUP(tblMeasure[[#This Row],[src_pub_lag_months]],strlu_src_pub_lag_months,2,FALSE)</f>
        <v>0.7</v>
      </c>
      <c r="AP233" s="25">
        <f>VLOOKUP(tblMeasure[[#This Row],[src_statistic_class]],strlu_src_statistic_class,2,FALSE)</f>
        <v>0.5</v>
      </c>
      <c r="AQ233" s="25">
        <f>IF(tblMeasure[[#This Row],[src_methodology_url]]="TBD",0,1)</f>
        <v>1</v>
      </c>
      <c r="AR233" s="25">
        <f>IF(tblMeasure[[#This Row],[src_quality_url]]="TBD",0,1)</f>
        <v>1</v>
      </c>
      <c r="AS233" s="85" cm="1">
        <f t="array" ref="AS233">SUMPRODUCT(TRANSPOSE(tblMeasure[[#This Row],[str_msr_population_or_survey]:[str_src_quality_url]]),str_weights)/str_weights_total</f>
        <v>0.79230769230769227</v>
      </c>
    </row>
    <row r="234" spans="1:45" hidden="1" x14ac:dyDescent="0.15">
      <c r="A234" s="30">
        <v>232</v>
      </c>
      <c r="B234" s="15">
        <f>COUNTIF(requirement_measure_map!$D$3:$D$1514,measure!A234)</f>
        <v>1</v>
      </c>
      <c r="C234" s="30" t="s">
        <v>857</v>
      </c>
      <c r="D234" s="15" t="s">
        <v>873</v>
      </c>
      <c r="E234" s="15" t="s">
        <v>598</v>
      </c>
      <c r="F234" s="15" t="s">
        <v>874</v>
      </c>
      <c r="G234" s="29" t="s">
        <v>860</v>
      </c>
      <c r="H234" s="15"/>
      <c r="I234" s="15" t="s">
        <v>214</v>
      </c>
      <c r="J234" s="15" t="s">
        <v>215</v>
      </c>
      <c r="K234" s="15" t="s">
        <v>875</v>
      </c>
      <c r="L234" s="15" t="s">
        <v>217</v>
      </c>
      <c r="M234" s="15" t="s">
        <v>219</v>
      </c>
      <c r="N234" s="15" t="s">
        <v>219</v>
      </c>
      <c r="O234" s="15" t="s">
        <v>219</v>
      </c>
      <c r="P234" s="15" t="s">
        <v>219</v>
      </c>
      <c r="Q234" s="15" t="s">
        <v>219</v>
      </c>
      <c r="R234" s="15" t="s">
        <v>219</v>
      </c>
      <c r="S234" s="15" t="s">
        <v>219</v>
      </c>
      <c r="T234" s="15" t="s">
        <v>219</v>
      </c>
      <c r="U234" s="15" t="s">
        <v>219</v>
      </c>
      <c r="V234" s="15" t="s">
        <v>219</v>
      </c>
      <c r="W234" s="15">
        <v>12</v>
      </c>
      <c r="X234" s="15" t="str">
        <f>_xlfn.XLOOKUP(tblMeasure[[#This Row],[id_src]],tblSource[id_src],tblSource[org])</f>
        <v>NHS Digital</v>
      </c>
      <c r="Y234" s="15" t="str">
        <f>_xlfn.XLOOKUP(tblMeasure[[#This Row],[id_src]],tblSource[id_src],tblSource[source])</f>
        <v>Safeguarding Adults</v>
      </c>
      <c r="Z234" s="15" t="str">
        <f>_xlfn.XLOOKUP(tblMeasure[[#This Row],[id_src]],tblSource[id_src],tblSource[url_source])</f>
        <v>https://digital.nhs.uk/data-and-information/publications/statistical/safeguarding-adults</v>
      </c>
      <c r="AA234" s="15">
        <f>_xlfn.XLOOKUP(tblMeasure[[#This Row],[id_src]],tblSource[id_src],tblSource[year_first_published])</f>
        <v>2010</v>
      </c>
      <c r="AB234" s="15">
        <f>_xlfn.XLOOKUP(tblMeasure[[#This Row],[id_src]],tblSource[id_src],tblSource[year_last_published])</f>
        <v>2019</v>
      </c>
      <c r="AC234" s="15">
        <f>_xlfn.XLOOKUP(tblMeasure[[#This Row],[id_src]],tblSource[id_src],tblSource[discontinuity])</f>
        <v>2016</v>
      </c>
      <c r="AD234" s="15" t="str">
        <f>_xlfn.XLOOKUP(tblMeasure[[#This Row],[id_src]],tblSource[id_src],tblSource[publication_frequency])</f>
        <v>Annual</v>
      </c>
      <c r="AE234" s="15">
        <f>_xlfn.XLOOKUP(tblMeasure[[#This Row],[id_src]],tblSource[id_src],tblSource[publication_lag_months])</f>
        <v>3</v>
      </c>
      <c r="AF234" s="25" t="str">
        <f>_xlfn.XLOOKUP(tblMeasure[[#This Row],[id_src]],tblSource[id_src],tblSource[data_providers])</f>
        <v>LA</v>
      </c>
      <c r="AG234" s="25" t="str">
        <f>_xlfn.XLOOKUP(tblMeasure[[#This Row],[id_src]],tblSource[id_src],tblSource[statistic_class])</f>
        <v>Experimental</v>
      </c>
      <c r="AH234" s="25" t="str">
        <f>_xlfn.XLOOKUP(tblMeasure[[#This Row],[id_src]],tblSource[id_src],tblSource[methodology_link])</f>
        <v>https://digital.nhs.uk/data-and-information/publications/statistical/safeguarding-adults/annual-report-2018-19-england/data-quality-statement</v>
      </c>
      <c r="AI234" s="25" t="str">
        <f>_xlfn.XLOOKUP(tblMeasure[[#This Row],[id_src]],tblSource[id_src],tblSource[quality_issues])</f>
        <v>https://digital.nhs.uk/data-and-information/publications/statistical/safeguarding-adults/annual-report-2018-19-england/data-quality-statement</v>
      </c>
      <c r="AJ234" s="25">
        <f>VLOOKUP(tblMeasure[[#This Row],[msr_population_or_survey]],strlu_msr_population_or_survey,2,FALSE)</f>
        <v>1</v>
      </c>
      <c r="AK234" s="25">
        <f>VLOOKUP(tblMeasure[[#This Row],[msr_min_geo_resolution]],strlu_msr_min_geo_resolution,2,FALSE)</f>
        <v>1</v>
      </c>
      <c r="AL234" s="25">
        <f>(MAX(tblMeasure[[#This Row],[src_year_last_published]]-2010+1,0)+MIN(2010-tblMeasure[[#This Row],[src_year_first_published]],0)-MAX(tblMeasure[[#This Row],[src_year_last_published]]-2019,0))/10</f>
        <v>1</v>
      </c>
      <c r="AM234" s="25">
        <f>IF(OR(tblMeasure[[#This Row],[src_discontinuity]]="None",tblMeasure[[#This Row],[src_discontinuity]]=0),1,0)</f>
        <v>0</v>
      </c>
      <c r="AN234" s="25">
        <f>VLOOKUP(tblMeasure[[#This Row],[src_pub_frequency]],strlu_src_pub_frequency,2,FALSE)</f>
        <v>0.8</v>
      </c>
      <c r="AO234" s="25">
        <f>VLOOKUP(tblMeasure[[#This Row],[src_pub_lag_months]],strlu_src_pub_lag_months,2,FALSE)</f>
        <v>0.7</v>
      </c>
      <c r="AP234" s="25">
        <f>VLOOKUP(tblMeasure[[#This Row],[src_statistic_class]],strlu_src_statistic_class,2,FALSE)</f>
        <v>0.5</v>
      </c>
      <c r="AQ234" s="25">
        <f>IF(tblMeasure[[#This Row],[src_methodology_url]]="TBD",0,1)</f>
        <v>1</v>
      </c>
      <c r="AR234" s="25">
        <f>IF(tblMeasure[[#This Row],[src_quality_url]]="TBD",0,1)</f>
        <v>1</v>
      </c>
      <c r="AS234" s="85" cm="1">
        <f t="array" ref="AS234">SUMPRODUCT(TRANSPOSE(tblMeasure[[#This Row],[str_msr_population_or_survey]:[str_src_quality_url]]),str_weights)/str_weights_total</f>
        <v>0.79230769230769227</v>
      </c>
    </row>
    <row r="235" spans="1:45" hidden="1" x14ac:dyDescent="0.15">
      <c r="A235" s="30">
        <v>233</v>
      </c>
      <c r="B235" s="15">
        <f>COUNTIF(requirement_measure_map!$D$3:$D$1514,measure!A235)</f>
        <v>1</v>
      </c>
      <c r="C235" s="30" t="s">
        <v>857</v>
      </c>
      <c r="D235" s="15" t="s">
        <v>873</v>
      </c>
      <c r="E235" s="15" t="s">
        <v>601</v>
      </c>
      <c r="F235" s="15" t="s">
        <v>876</v>
      </c>
      <c r="G235" s="29" t="s">
        <v>860</v>
      </c>
      <c r="H235" s="15"/>
      <c r="I235" s="15" t="s">
        <v>214</v>
      </c>
      <c r="J235" s="15" t="s">
        <v>215</v>
      </c>
      <c r="K235" s="15" t="s">
        <v>877</v>
      </c>
      <c r="L235" s="15" t="s">
        <v>217</v>
      </c>
      <c r="M235" s="15" t="s">
        <v>219</v>
      </c>
      <c r="N235" s="15" t="s">
        <v>219</v>
      </c>
      <c r="O235" s="15" t="s">
        <v>219</v>
      </c>
      <c r="P235" s="15" t="s">
        <v>219</v>
      </c>
      <c r="Q235" s="15" t="s">
        <v>219</v>
      </c>
      <c r="R235" s="15" t="s">
        <v>219</v>
      </c>
      <c r="S235" s="15" t="s">
        <v>219</v>
      </c>
      <c r="T235" s="15" t="s">
        <v>219</v>
      </c>
      <c r="U235" s="15" t="s">
        <v>219</v>
      </c>
      <c r="V235" s="15" t="s">
        <v>219</v>
      </c>
      <c r="W235" s="15">
        <v>12</v>
      </c>
      <c r="X235" s="15" t="str">
        <f>_xlfn.XLOOKUP(tblMeasure[[#This Row],[id_src]],tblSource[id_src],tblSource[org])</f>
        <v>NHS Digital</v>
      </c>
      <c r="Y235" s="15" t="str">
        <f>_xlfn.XLOOKUP(tblMeasure[[#This Row],[id_src]],tblSource[id_src],tblSource[source])</f>
        <v>Safeguarding Adults</v>
      </c>
      <c r="Z235" s="15" t="str">
        <f>_xlfn.XLOOKUP(tblMeasure[[#This Row],[id_src]],tblSource[id_src],tblSource[url_source])</f>
        <v>https://digital.nhs.uk/data-and-information/publications/statistical/safeguarding-adults</v>
      </c>
      <c r="AA235" s="15">
        <f>_xlfn.XLOOKUP(tblMeasure[[#This Row],[id_src]],tblSource[id_src],tblSource[year_first_published])</f>
        <v>2010</v>
      </c>
      <c r="AB235" s="15">
        <f>_xlfn.XLOOKUP(tblMeasure[[#This Row],[id_src]],tblSource[id_src],tblSource[year_last_published])</f>
        <v>2019</v>
      </c>
      <c r="AC235" s="15">
        <f>_xlfn.XLOOKUP(tblMeasure[[#This Row],[id_src]],tblSource[id_src],tblSource[discontinuity])</f>
        <v>2016</v>
      </c>
      <c r="AD235" s="15" t="str">
        <f>_xlfn.XLOOKUP(tblMeasure[[#This Row],[id_src]],tblSource[id_src],tblSource[publication_frequency])</f>
        <v>Annual</v>
      </c>
      <c r="AE235" s="15">
        <f>_xlfn.XLOOKUP(tblMeasure[[#This Row],[id_src]],tblSource[id_src],tblSource[publication_lag_months])</f>
        <v>3</v>
      </c>
      <c r="AF235" s="25" t="str">
        <f>_xlfn.XLOOKUP(tblMeasure[[#This Row],[id_src]],tblSource[id_src],tblSource[data_providers])</f>
        <v>LA</v>
      </c>
      <c r="AG235" s="25" t="str">
        <f>_xlfn.XLOOKUP(tblMeasure[[#This Row],[id_src]],tblSource[id_src],tblSource[statistic_class])</f>
        <v>Experimental</v>
      </c>
      <c r="AH235" s="25" t="str">
        <f>_xlfn.XLOOKUP(tblMeasure[[#This Row],[id_src]],tblSource[id_src],tblSource[methodology_link])</f>
        <v>https://digital.nhs.uk/data-and-information/publications/statistical/safeguarding-adults/annual-report-2018-19-england/data-quality-statement</v>
      </c>
      <c r="AI235" s="25" t="str">
        <f>_xlfn.XLOOKUP(tblMeasure[[#This Row],[id_src]],tblSource[id_src],tblSource[quality_issues])</f>
        <v>https://digital.nhs.uk/data-and-information/publications/statistical/safeguarding-adults/annual-report-2018-19-england/data-quality-statement</v>
      </c>
      <c r="AJ235" s="25">
        <f>VLOOKUP(tblMeasure[[#This Row],[msr_population_or_survey]],strlu_msr_population_or_survey,2,FALSE)</f>
        <v>1</v>
      </c>
      <c r="AK235" s="25">
        <f>VLOOKUP(tblMeasure[[#This Row],[msr_min_geo_resolution]],strlu_msr_min_geo_resolution,2,FALSE)</f>
        <v>1</v>
      </c>
      <c r="AL235" s="25">
        <f>(MAX(tblMeasure[[#This Row],[src_year_last_published]]-2010+1,0)+MIN(2010-tblMeasure[[#This Row],[src_year_first_published]],0)-MAX(tblMeasure[[#This Row],[src_year_last_published]]-2019,0))/10</f>
        <v>1</v>
      </c>
      <c r="AM235" s="25">
        <f>IF(OR(tblMeasure[[#This Row],[src_discontinuity]]="None",tblMeasure[[#This Row],[src_discontinuity]]=0),1,0)</f>
        <v>0</v>
      </c>
      <c r="AN235" s="25">
        <f>VLOOKUP(tblMeasure[[#This Row],[src_pub_frequency]],strlu_src_pub_frequency,2,FALSE)</f>
        <v>0.8</v>
      </c>
      <c r="AO235" s="25">
        <f>VLOOKUP(tblMeasure[[#This Row],[src_pub_lag_months]],strlu_src_pub_lag_months,2,FALSE)</f>
        <v>0.7</v>
      </c>
      <c r="AP235" s="25">
        <f>VLOOKUP(tblMeasure[[#This Row],[src_statistic_class]],strlu_src_statistic_class,2,FALSE)</f>
        <v>0.5</v>
      </c>
      <c r="AQ235" s="25">
        <f>IF(tblMeasure[[#This Row],[src_methodology_url]]="TBD",0,1)</f>
        <v>1</v>
      </c>
      <c r="AR235" s="25">
        <f>IF(tblMeasure[[#This Row],[src_quality_url]]="TBD",0,1)</f>
        <v>1</v>
      </c>
      <c r="AS235" s="85" cm="1">
        <f t="array" ref="AS235">SUMPRODUCT(TRANSPOSE(tblMeasure[[#This Row],[str_msr_population_or_survey]:[str_src_quality_url]]),str_weights)/str_weights_total</f>
        <v>0.79230769230769227</v>
      </c>
    </row>
    <row r="236" spans="1:45" x14ac:dyDescent="0.15">
      <c r="A236" s="30">
        <v>234</v>
      </c>
      <c r="B236" s="15">
        <f>COUNTIF(requirement_measure_map!$D$3:$D$1514,measure!A236)</f>
        <v>7</v>
      </c>
      <c r="C236" s="30" t="s">
        <v>857</v>
      </c>
      <c r="D236" s="15" t="s">
        <v>233</v>
      </c>
      <c r="E236" s="15" t="s">
        <v>579</v>
      </c>
      <c r="F236" s="15" t="s">
        <v>878</v>
      </c>
      <c r="G236" s="29" t="s">
        <v>879</v>
      </c>
      <c r="H236" s="15"/>
      <c r="I236" s="15" t="s">
        <v>214</v>
      </c>
      <c r="J236" s="15" t="s">
        <v>215</v>
      </c>
      <c r="K236" s="15" t="s">
        <v>880</v>
      </c>
      <c r="L236" s="15" t="s">
        <v>233</v>
      </c>
      <c r="M236" s="15" t="s">
        <v>219</v>
      </c>
      <c r="N236" s="15" t="s">
        <v>219</v>
      </c>
      <c r="O236" s="15" t="s">
        <v>219</v>
      </c>
      <c r="P236" s="15" t="s">
        <v>219</v>
      </c>
      <c r="Q236" s="15" t="s">
        <v>219</v>
      </c>
      <c r="R236" s="15" t="s">
        <v>219</v>
      </c>
      <c r="S236" s="15" t="s">
        <v>219</v>
      </c>
      <c r="T236" s="15" t="s">
        <v>220</v>
      </c>
      <c r="U236" s="15" t="s">
        <v>219</v>
      </c>
      <c r="V236" s="15" t="s">
        <v>219</v>
      </c>
      <c r="W236" s="15">
        <v>13</v>
      </c>
      <c r="X236" s="15" t="str">
        <f>_xlfn.XLOOKUP(tblMeasure[[#This Row],[id_src]],tblSource[id_src],tblSource[org])</f>
        <v>NHS England</v>
      </c>
      <c r="Y236" s="15" t="str">
        <f>_xlfn.XLOOKUP(tblMeasure[[#This Row],[id_src]],tblSource[id_src],tblSource[source])</f>
        <v>Delayed Transfers of Care</v>
      </c>
      <c r="Z236" s="15" t="str">
        <f>_xlfn.XLOOKUP(tblMeasure[[#This Row],[id_src]],tblSource[id_src],tblSource[url_source])</f>
        <v>https://www.england.nhs.uk/statistics/statistical-work-areas/delayed-transfers-of-care/</v>
      </c>
      <c r="AA236" s="15">
        <f>_xlfn.XLOOKUP(tblMeasure[[#This Row],[id_src]],tblSource[id_src],tblSource[year_first_published])</f>
        <v>2010</v>
      </c>
      <c r="AB236" s="15">
        <f>_xlfn.XLOOKUP(tblMeasure[[#This Row],[id_src]],tblSource[id_src],tblSource[year_last_published])</f>
        <v>2020</v>
      </c>
      <c r="AC236" s="15">
        <f>_xlfn.XLOOKUP(tblMeasure[[#This Row],[id_src]],tblSource[id_src],tblSource[discontinuity])</f>
        <v>0</v>
      </c>
      <c r="AD236" s="15" t="str">
        <f>_xlfn.XLOOKUP(tblMeasure[[#This Row],[id_src]],tblSource[id_src],tblSource[publication_frequency])</f>
        <v>Monthly</v>
      </c>
      <c r="AE236" s="15">
        <f>_xlfn.XLOOKUP(tblMeasure[[#This Row],[id_src]],tblSource[id_src],tblSource[publication_lag_months])</f>
        <v>2</v>
      </c>
      <c r="AF236" s="25" t="str">
        <f>_xlfn.XLOOKUP(tblMeasure[[#This Row],[id_src]],tblSource[id_src],tblSource[data_providers])</f>
        <v>CCG</v>
      </c>
      <c r="AG236" s="25" t="str">
        <f>_xlfn.XLOOKUP(tblMeasure[[#This Row],[id_src]],tblSource[id_src],tblSource[statistic_class])</f>
        <v>Official</v>
      </c>
      <c r="AH236" s="25" t="str">
        <f>_xlfn.XLOOKUP(tblMeasure[[#This Row],[id_src]],tblSource[id_src],tblSource[methodology_link])</f>
        <v>https://www.england.nhs.uk/statistics/wp-content/uploads/sites/2/2018/11/Monthly-Delayed-Transfers-of-Care-Situation-Report-Principles-Definitions-and-Guidance.pdf</v>
      </c>
      <c r="AI236" s="25" t="str">
        <f>_xlfn.XLOOKUP(tblMeasure[[#This Row],[id_src]],tblSource[id_src],tblSource[quality_issues])</f>
        <v>TBD</v>
      </c>
      <c r="AJ236" s="25">
        <f>VLOOKUP(tblMeasure[[#This Row],[msr_population_or_survey]],strlu_msr_population_or_survey,2,FALSE)</f>
        <v>1</v>
      </c>
      <c r="AK236" s="25">
        <f>VLOOKUP(tblMeasure[[#This Row],[msr_min_geo_resolution]],strlu_msr_min_geo_resolution,2,FALSE)</f>
        <v>0</v>
      </c>
      <c r="AL236" s="25">
        <f>(MAX(tblMeasure[[#This Row],[src_year_last_published]]-2010+1,0)+MIN(2010-tblMeasure[[#This Row],[src_year_first_published]],0)-MAX(tblMeasure[[#This Row],[src_year_last_published]]-2019,0))/10</f>
        <v>1</v>
      </c>
      <c r="AM236" s="25">
        <f>IF(OR(tblMeasure[[#This Row],[src_discontinuity]]="None",tblMeasure[[#This Row],[src_discontinuity]]=0),1,0)</f>
        <v>1</v>
      </c>
      <c r="AN236" s="25">
        <f>VLOOKUP(tblMeasure[[#This Row],[src_pub_frequency]],strlu_src_pub_frequency,2,FALSE)</f>
        <v>1</v>
      </c>
      <c r="AO236" s="25">
        <f>VLOOKUP(tblMeasure[[#This Row],[src_pub_lag_months]],strlu_src_pub_lag_months,2,FALSE)</f>
        <v>0.8</v>
      </c>
      <c r="AP236" s="25">
        <f>VLOOKUP(tblMeasure[[#This Row],[src_statistic_class]],strlu_src_statistic_class,2,FALSE)</f>
        <v>1</v>
      </c>
      <c r="AQ236" s="25">
        <f>IF(tblMeasure[[#This Row],[src_methodology_url]]="TBD",0,1)</f>
        <v>1</v>
      </c>
      <c r="AR236" s="25">
        <f>IF(tblMeasure[[#This Row],[src_quality_url]]="TBD",0,1)</f>
        <v>0</v>
      </c>
      <c r="AS236" s="85" cm="1">
        <f t="array" ref="AS236">SUMPRODUCT(TRANSPOSE(tblMeasure[[#This Row],[str_msr_population_or_survey]:[str_src_quality_url]]),str_weights)/str_weights_total</f>
        <v>0.79230769230769238</v>
      </c>
    </row>
    <row r="237" spans="1:45" hidden="1" x14ac:dyDescent="0.15">
      <c r="A237" s="30">
        <v>235</v>
      </c>
      <c r="B237" s="15">
        <f>COUNTIF(requirement_measure_map!$D$3:$D$1514,measure!A237)</f>
        <v>1</v>
      </c>
      <c r="C237" s="30" t="s">
        <v>857</v>
      </c>
      <c r="D237" s="15" t="s">
        <v>881</v>
      </c>
      <c r="E237" s="15" t="s">
        <v>583</v>
      </c>
      <c r="F237" s="15" t="s">
        <v>882</v>
      </c>
      <c r="G237" s="29" t="s">
        <v>879</v>
      </c>
      <c r="H237" s="15"/>
      <c r="I237" s="15" t="s">
        <v>214</v>
      </c>
      <c r="J237" s="15" t="s">
        <v>215</v>
      </c>
      <c r="K237" s="15" t="s">
        <v>883</v>
      </c>
      <c r="L237" s="15" t="s">
        <v>217</v>
      </c>
      <c r="M237" s="15" t="s">
        <v>219</v>
      </c>
      <c r="N237" s="15" t="s">
        <v>219</v>
      </c>
      <c r="O237" s="15" t="s">
        <v>219</v>
      </c>
      <c r="P237" s="15" t="s">
        <v>219</v>
      </c>
      <c r="Q237" s="15" t="s">
        <v>219</v>
      </c>
      <c r="R237" s="15" t="s">
        <v>219</v>
      </c>
      <c r="S237" s="15" t="s">
        <v>219</v>
      </c>
      <c r="T237" s="15" t="s">
        <v>219</v>
      </c>
      <c r="U237" s="15" t="s">
        <v>219</v>
      </c>
      <c r="V237" s="15" t="s">
        <v>219</v>
      </c>
      <c r="W237" s="15">
        <v>13</v>
      </c>
      <c r="X237" s="15" t="str">
        <f>_xlfn.XLOOKUP(tblMeasure[[#This Row],[id_src]],tblSource[id_src],tblSource[org])</f>
        <v>NHS England</v>
      </c>
      <c r="Y237" s="15" t="str">
        <f>_xlfn.XLOOKUP(tblMeasure[[#This Row],[id_src]],tblSource[id_src],tblSource[source])</f>
        <v>Delayed Transfers of Care</v>
      </c>
      <c r="Z237" s="15" t="str">
        <f>_xlfn.XLOOKUP(tblMeasure[[#This Row],[id_src]],tblSource[id_src],tblSource[url_source])</f>
        <v>https://www.england.nhs.uk/statistics/statistical-work-areas/delayed-transfers-of-care/</v>
      </c>
      <c r="AA237" s="15">
        <f>_xlfn.XLOOKUP(tblMeasure[[#This Row],[id_src]],tblSource[id_src],tblSource[year_first_published])</f>
        <v>2010</v>
      </c>
      <c r="AB237" s="15">
        <f>_xlfn.XLOOKUP(tblMeasure[[#This Row],[id_src]],tblSource[id_src],tblSource[year_last_published])</f>
        <v>2020</v>
      </c>
      <c r="AC237" s="15">
        <f>_xlfn.XLOOKUP(tblMeasure[[#This Row],[id_src]],tblSource[id_src],tblSource[discontinuity])</f>
        <v>0</v>
      </c>
      <c r="AD237" s="15" t="str">
        <f>_xlfn.XLOOKUP(tblMeasure[[#This Row],[id_src]],tblSource[id_src],tblSource[publication_frequency])</f>
        <v>Monthly</v>
      </c>
      <c r="AE237" s="15">
        <f>_xlfn.XLOOKUP(tblMeasure[[#This Row],[id_src]],tblSource[id_src],tblSource[publication_lag_months])</f>
        <v>2</v>
      </c>
      <c r="AF237" s="25" t="str">
        <f>_xlfn.XLOOKUP(tblMeasure[[#This Row],[id_src]],tblSource[id_src],tblSource[data_providers])</f>
        <v>CCG</v>
      </c>
      <c r="AG237" s="25" t="str">
        <f>_xlfn.XLOOKUP(tblMeasure[[#This Row],[id_src]],tblSource[id_src],tblSource[statistic_class])</f>
        <v>Official</v>
      </c>
      <c r="AH237" s="25" t="str">
        <f>_xlfn.XLOOKUP(tblMeasure[[#This Row],[id_src]],tblSource[id_src],tblSource[methodology_link])</f>
        <v>https://www.england.nhs.uk/statistics/wp-content/uploads/sites/2/2018/11/Monthly-Delayed-Transfers-of-Care-Situation-Report-Principles-Definitions-and-Guidance.pdf</v>
      </c>
      <c r="AI237" s="25" t="str">
        <f>_xlfn.XLOOKUP(tblMeasure[[#This Row],[id_src]],tblSource[id_src],tblSource[quality_issues])</f>
        <v>TBD</v>
      </c>
      <c r="AJ237" s="25">
        <f>VLOOKUP(tblMeasure[[#This Row],[msr_population_or_survey]],strlu_msr_population_or_survey,2,FALSE)</f>
        <v>1</v>
      </c>
      <c r="AK237" s="25">
        <f>VLOOKUP(tblMeasure[[#This Row],[msr_min_geo_resolution]],strlu_msr_min_geo_resolution,2,FALSE)</f>
        <v>1</v>
      </c>
      <c r="AL237" s="25">
        <f>(MAX(tblMeasure[[#This Row],[src_year_last_published]]-2010+1,0)+MIN(2010-tblMeasure[[#This Row],[src_year_first_published]],0)-MAX(tblMeasure[[#This Row],[src_year_last_published]]-2019,0))/10</f>
        <v>1</v>
      </c>
      <c r="AM237" s="25">
        <f>IF(OR(tblMeasure[[#This Row],[src_discontinuity]]="None",tblMeasure[[#This Row],[src_discontinuity]]=0),1,0)</f>
        <v>1</v>
      </c>
      <c r="AN237" s="25">
        <f>VLOOKUP(tblMeasure[[#This Row],[src_pub_frequency]],strlu_src_pub_frequency,2,FALSE)</f>
        <v>1</v>
      </c>
      <c r="AO237" s="25">
        <f>VLOOKUP(tblMeasure[[#This Row],[src_pub_lag_months]],strlu_src_pub_lag_months,2,FALSE)</f>
        <v>0.8</v>
      </c>
      <c r="AP237" s="25">
        <f>VLOOKUP(tblMeasure[[#This Row],[src_statistic_class]],strlu_src_statistic_class,2,FALSE)</f>
        <v>1</v>
      </c>
      <c r="AQ237" s="25">
        <f>IF(tblMeasure[[#This Row],[src_methodology_url]]="TBD",0,1)</f>
        <v>1</v>
      </c>
      <c r="AR237" s="25">
        <f>IF(tblMeasure[[#This Row],[src_quality_url]]="TBD",0,1)</f>
        <v>0</v>
      </c>
      <c r="AS237" s="85" cm="1">
        <f t="array" ref="AS237">SUMPRODUCT(TRANSPOSE(tblMeasure[[#This Row],[str_msr_population_or_survey]:[str_src_quality_url]]),str_weights)/str_weights_total</f>
        <v>0.94615384615384623</v>
      </c>
    </row>
    <row r="238" spans="1:45" hidden="1" x14ac:dyDescent="0.15">
      <c r="A238" s="30">
        <v>236</v>
      </c>
      <c r="B238" s="15">
        <f>COUNTIF(requirement_measure_map!$D$3:$D$1514,measure!A238)</f>
        <v>2</v>
      </c>
      <c r="C238" s="30" t="s">
        <v>857</v>
      </c>
      <c r="D238" s="15" t="s">
        <v>881</v>
      </c>
      <c r="E238" s="15" t="s">
        <v>586</v>
      </c>
      <c r="F238" s="15" t="s">
        <v>884</v>
      </c>
      <c r="G238" s="29" t="s">
        <v>879</v>
      </c>
      <c r="H238" s="15"/>
      <c r="I238" s="15" t="s">
        <v>214</v>
      </c>
      <c r="J238" s="15" t="s">
        <v>215</v>
      </c>
      <c r="K238" s="15" t="s">
        <v>885</v>
      </c>
      <c r="L238" s="15" t="s">
        <v>217</v>
      </c>
      <c r="M238" s="15" t="s">
        <v>219</v>
      </c>
      <c r="N238" s="15" t="s">
        <v>219</v>
      </c>
      <c r="O238" s="15" t="s">
        <v>219</v>
      </c>
      <c r="P238" s="15" t="s">
        <v>219</v>
      </c>
      <c r="Q238" s="15" t="s">
        <v>219</v>
      </c>
      <c r="R238" s="15" t="s">
        <v>219</v>
      </c>
      <c r="S238" s="15" t="s">
        <v>219</v>
      </c>
      <c r="T238" s="15" t="s">
        <v>220</v>
      </c>
      <c r="U238" s="15" t="s">
        <v>219</v>
      </c>
      <c r="V238" s="15" t="s">
        <v>219</v>
      </c>
      <c r="W238" s="15">
        <v>13</v>
      </c>
      <c r="X238" s="15" t="str">
        <f>_xlfn.XLOOKUP(tblMeasure[[#This Row],[id_src]],tblSource[id_src],tblSource[org])</f>
        <v>NHS England</v>
      </c>
      <c r="Y238" s="15" t="str">
        <f>_xlfn.XLOOKUP(tblMeasure[[#This Row],[id_src]],tblSource[id_src],tblSource[source])</f>
        <v>Delayed Transfers of Care</v>
      </c>
      <c r="Z238" s="15" t="str">
        <f>_xlfn.XLOOKUP(tblMeasure[[#This Row],[id_src]],tblSource[id_src],tblSource[url_source])</f>
        <v>https://www.england.nhs.uk/statistics/statistical-work-areas/delayed-transfers-of-care/</v>
      </c>
      <c r="AA238" s="15">
        <f>_xlfn.XLOOKUP(tblMeasure[[#This Row],[id_src]],tblSource[id_src],tblSource[year_first_published])</f>
        <v>2010</v>
      </c>
      <c r="AB238" s="15">
        <f>_xlfn.XLOOKUP(tblMeasure[[#This Row],[id_src]],tblSource[id_src],tblSource[year_last_published])</f>
        <v>2020</v>
      </c>
      <c r="AC238" s="15">
        <f>_xlfn.XLOOKUP(tblMeasure[[#This Row],[id_src]],tblSource[id_src],tblSource[discontinuity])</f>
        <v>0</v>
      </c>
      <c r="AD238" s="15" t="str">
        <f>_xlfn.XLOOKUP(tblMeasure[[#This Row],[id_src]],tblSource[id_src],tblSource[publication_frequency])</f>
        <v>Monthly</v>
      </c>
      <c r="AE238" s="15">
        <f>_xlfn.XLOOKUP(tblMeasure[[#This Row],[id_src]],tblSource[id_src],tblSource[publication_lag_months])</f>
        <v>2</v>
      </c>
      <c r="AF238" s="25" t="str">
        <f>_xlfn.XLOOKUP(tblMeasure[[#This Row],[id_src]],tblSource[id_src],tblSource[data_providers])</f>
        <v>CCG</v>
      </c>
      <c r="AG238" s="25" t="str">
        <f>_xlfn.XLOOKUP(tblMeasure[[#This Row],[id_src]],tblSource[id_src],tblSource[statistic_class])</f>
        <v>Official</v>
      </c>
      <c r="AH238" s="25" t="str">
        <f>_xlfn.XLOOKUP(tblMeasure[[#This Row],[id_src]],tblSource[id_src],tblSource[methodology_link])</f>
        <v>https://www.england.nhs.uk/statistics/wp-content/uploads/sites/2/2018/11/Monthly-Delayed-Transfers-of-Care-Situation-Report-Principles-Definitions-and-Guidance.pdf</v>
      </c>
      <c r="AI238" s="25" t="str">
        <f>_xlfn.XLOOKUP(tblMeasure[[#This Row],[id_src]],tblSource[id_src],tblSource[quality_issues])</f>
        <v>TBD</v>
      </c>
      <c r="AJ238" s="25">
        <f>VLOOKUP(tblMeasure[[#This Row],[msr_population_or_survey]],strlu_msr_population_or_survey,2,FALSE)</f>
        <v>1</v>
      </c>
      <c r="AK238" s="25">
        <f>VLOOKUP(tblMeasure[[#This Row],[msr_min_geo_resolution]],strlu_msr_min_geo_resolution,2,FALSE)</f>
        <v>1</v>
      </c>
      <c r="AL238" s="25">
        <f>(MAX(tblMeasure[[#This Row],[src_year_last_published]]-2010+1,0)+MIN(2010-tblMeasure[[#This Row],[src_year_first_published]],0)-MAX(tblMeasure[[#This Row],[src_year_last_published]]-2019,0))/10</f>
        <v>1</v>
      </c>
      <c r="AM238" s="25">
        <f>IF(OR(tblMeasure[[#This Row],[src_discontinuity]]="None",tblMeasure[[#This Row],[src_discontinuity]]=0),1,0)</f>
        <v>1</v>
      </c>
      <c r="AN238" s="25">
        <f>VLOOKUP(tblMeasure[[#This Row],[src_pub_frequency]],strlu_src_pub_frequency,2,FALSE)</f>
        <v>1</v>
      </c>
      <c r="AO238" s="25">
        <f>VLOOKUP(tblMeasure[[#This Row],[src_pub_lag_months]],strlu_src_pub_lag_months,2,FALSE)</f>
        <v>0.8</v>
      </c>
      <c r="AP238" s="25">
        <f>VLOOKUP(tblMeasure[[#This Row],[src_statistic_class]],strlu_src_statistic_class,2,FALSE)</f>
        <v>1</v>
      </c>
      <c r="AQ238" s="25">
        <f>IF(tblMeasure[[#This Row],[src_methodology_url]]="TBD",0,1)</f>
        <v>1</v>
      </c>
      <c r="AR238" s="25">
        <f>IF(tblMeasure[[#This Row],[src_quality_url]]="TBD",0,1)</f>
        <v>0</v>
      </c>
      <c r="AS238" s="85" cm="1">
        <f t="array" ref="AS238">SUMPRODUCT(TRANSPOSE(tblMeasure[[#This Row],[str_msr_population_or_survey]:[str_src_quality_url]]),str_weights)/str_weights_total</f>
        <v>0.94615384615384623</v>
      </c>
    </row>
    <row r="239" spans="1:45" x14ac:dyDescent="0.15">
      <c r="A239" s="30">
        <v>237</v>
      </c>
      <c r="B239" s="15">
        <f>COUNTIF(requirement_measure_map!$D$3:$D$1514,measure!A239)</f>
        <v>7</v>
      </c>
      <c r="C239" s="30" t="s">
        <v>857</v>
      </c>
      <c r="D239" s="15" t="s">
        <v>881</v>
      </c>
      <c r="E239" s="15" t="s">
        <v>589</v>
      </c>
      <c r="F239" s="15" t="s">
        <v>886</v>
      </c>
      <c r="G239" s="29" t="s">
        <v>879</v>
      </c>
      <c r="H239" s="15"/>
      <c r="I239" s="15" t="s">
        <v>214</v>
      </c>
      <c r="J239" s="15" t="s">
        <v>215</v>
      </c>
      <c r="K239" s="15" t="s">
        <v>887</v>
      </c>
      <c r="L239" s="15" t="s">
        <v>217</v>
      </c>
      <c r="M239" s="15" t="s">
        <v>219</v>
      </c>
      <c r="N239" s="15" t="s">
        <v>219</v>
      </c>
      <c r="O239" s="15" t="s">
        <v>219</v>
      </c>
      <c r="P239" s="15" t="s">
        <v>219</v>
      </c>
      <c r="Q239" s="15" t="s">
        <v>219</v>
      </c>
      <c r="R239" s="15" t="s">
        <v>219</v>
      </c>
      <c r="S239" s="15" t="s">
        <v>219</v>
      </c>
      <c r="T239" s="15" t="s">
        <v>219</v>
      </c>
      <c r="U239" s="15" t="s">
        <v>219</v>
      </c>
      <c r="V239" s="15" t="s">
        <v>219</v>
      </c>
      <c r="W239" s="15">
        <v>13</v>
      </c>
      <c r="X239" s="15" t="str">
        <f>_xlfn.XLOOKUP(tblMeasure[[#This Row],[id_src]],tblSource[id_src],tblSource[org])</f>
        <v>NHS England</v>
      </c>
      <c r="Y239" s="15" t="str">
        <f>_xlfn.XLOOKUP(tblMeasure[[#This Row],[id_src]],tblSource[id_src],tblSource[source])</f>
        <v>Delayed Transfers of Care</v>
      </c>
      <c r="Z239" s="15" t="str">
        <f>_xlfn.XLOOKUP(tblMeasure[[#This Row],[id_src]],tblSource[id_src],tblSource[url_source])</f>
        <v>https://www.england.nhs.uk/statistics/statistical-work-areas/delayed-transfers-of-care/</v>
      </c>
      <c r="AA239" s="15">
        <f>_xlfn.XLOOKUP(tblMeasure[[#This Row],[id_src]],tblSource[id_src],tblSource[year_first_published])</f>
        <v>2010</v>
      </c>
      <c r="AB239" s="15">
        <f>_xlfn.XLOOKUP(tblMeasure[[#This Row],[id_src]],tblSource[id_src],tblSource[year_last_published])</f>
        <v>2020</v>
      </c>
      <c r="AC239" s="15">
        <f>_xlfn.XLOOKUP(tblMeasure[[#This Row],[id_src]],tblSource[id_src],tblSource[discontinuity])</f>
        <v>0</v>
      </c>
      <c r="AD239" s="15" t="str">
        <f>_xlfn.XLOOKUP(tblMeasure[[#This Row],[id_src]],tblSource[id_src],tblSource[publication_frequency])</f>
        <v>Monthly</v>
      </c>
      <c r="AE239" s="15">
        <f>_xlfn.XLOOKUP(tblMeasure[[#This Row],[id_src]],tblSource[id_src],tblSource[publication_lag_months])</f>
        <v>2</v>
      </c>
      <c r="AF239" s="25" t="str">
        <f>_xlfn.XLOOKUP(tblMeasure[[#This Row],[id_src]],tblSource[id_src],tblSource[data_providers])</f>
        <v>CCG</v>
      </c>
      <c r="AG239" s="25" t="str">
        <f>_xlfn.XLOOKUP(tblMeasure[[#This Row],[id_src]],tblSource[id_src],tblSource[statistic_class])</f>
        <v>Official</v>
      </c>
      <c r="AH239" s="25" t="str">
        <f>_xlfn.XLOOKUP(tblMeasure[[#This Row],[id_src]],tblSource[id_src],tblSource[methodology_link])</f>
        <v>https://www.england.nhs.uk/statistics/wp-content/uploads/sites/2/2018/11/Monthly-Delayed-Transfers-of-Care-Situation-Report-Principles-Definitions-and-Guidance.pdf</v>
      </c>
      <c r="AI239" s="25" t="str">
        <f>_xlfn.XLOOKUP(tblMeasure[[#This Row],[id_src]],tblSource[id_src],tblSource[quality_issues])</f>
        <v>TBD</v>
      </c>
      <c r="AJ239" s="25">
        <f>VLOOKUP(tblMeasure[[#This Row],[msr_population_or_survey]],strlu_msr_population_or_survey,2,FALSE)</f>
        <v>1</v>
      </c>
      <c r="AK239" s="25">
        <f>VLOOKUP(tblMeasure[[#This Row],[msr_min_geo_resolution]],strlu_msr_min_geo_resolution,2,FALSE)</f>
        <v>1</v>
      </c>
      <c r="AL239" s="25">
        <f>(MAX(tblMeasure[[#This Row],[src_year_last_published]]-2010+1,0)+MIN(2010-tblMeasure[[#This Row],[src_year_first_published]],0)-MAX(tblMeasure[[#This Row],[src_year_last_published]]-2019,0))/10</f>
        <v>1</v>
      </c>
      <c r="AM239" s="25">
        <f>IF(OR(tblMeasure[[#This Row],[src_discontinuity]]="None",tblMeasure[[#This Row],[src_discontinuity]]=0),1,0)</f>
        <v>1</v>
      </c>
      <c r="AN239" s="25">
        <f>VLOOKUP(tblMeasure[[#This Row],[src_pub_frequency]],strlu_src_pub_frequency,2,FALSE)</f>
        <v>1</v>
      </c>
      <c r="AO239" s="25">
        <f>VLOOKUP(tblMeasure[[#This Row],[src_pub_lag_months]],strlu_src_pub_lag_months,2,FALSE)</f>
        <v>0.8</v>
      </c>
      <c r="AP239" s="25">
        <f>VLOOKUP(tblMeasure[[#This Row],[src_statistic_class]],strlu_src_statistic_class,2,FALSE)</f>
        <v>1</v>
      </c>
      <c r="AQ239" s="25">
        <f>IF(tblMeasure[[#This Row],[src_methodology_url]]="TBD",0,1)</f>
        <v>1</v>
      </c>
      <c r="AR239" s="25">
        <f>IF(tblMeasure[[#This Row],[src_quality_url]]="TBD",0,1)</f>
        <v>0</v>
      </c>
      <c r="AS239" s="85" cm="1">
        <f t="array" ref="AS239">SUMPRODUCT(TRANSPOSE(tblMeasure[[#This Row],[str_msr_population_or_survey]:[str_src_quality_url]]),str_weights)/str_weights_total</f>
        <v>0.94615384615384623</v>
      </c>
    </row>
    <row r="240" spans="1:45" hidden="1" x14ac:dyDescent="0.15">
      <c r="A240" s="30">
        <v>238</v>
      </c>
      <c r="B240" s="15">
        <f>COUNTIF(requirement_measure_map!$D$3:$D$1514,measure!A240)</f>
        <v>1</v>
      </c>
      <c r="C240" s="30" t="s">
        <v>857</v>
      </c>
      <c r="D240" s="15" t="s">
        <v>680</v>
      </c>
      <c r="E240" s="15" t="s">
        <v>583</v>
      </c>
      <c r="F240" s="15" t="s">
        <v>888</v>
      </c>
      <c r="G240" s="29" t="s">
        <v>889</v>
      </c>
      <c r="H240" s="15"/>
      <c r="I240" s="15" t="s">
        <v>214</v>
      </c>
      <c r="J240" s="15" t="s">
        <v>215</v>
      </c>
      <c r="K240" s="15" t="s">
        <v>883</v>
      </c>
      <c r="L240" s="15" t="s">
        <v>680</v>
      </c>
      <c r="M240" s="15" t="s">
        <v>219</v>
      </c>
      <c r="N240" s="15" t="s">
        <v>219</v>
      </c>
      <c r="O240" s="15" t="s">
        <v>219</v>
      </c>
      <c r="P240" s="15" t="s">
        <v>219</v>
      </c>
      <c r="Q240" s="15" t="s">
        <v>219</v>
      </c>
      <c r="R240" s="15" t="s">
        <v>219</v>
      </c>
      <c r="S240" s="15" t="s">
        <v>219</v>
      </c>
      <c r="T240" s="15" t="s">
        <v>219</v>
      </c>
      <c r="U240" s="15" t="s">
        <v>219</v>
      </c>
      <c r="V240" s="15" t="s">
        <v>219</v>
      </c>
      <c r="W240" s="15">
        <v>13</v>
      </c>
      <c r="X240" s="15" t="str">
        <f>_xlfn.XLOOKUP(tblMeasure[[#This Row],[id_src]],tblSource[id_src],tblSource[org])</f>
        <v>NHS England</v>
      </c>
      <c r="Y240" s="15" t="str">
        <f>_xlfn.XLOOKUP(tblMeasure[[#This Row],[id_src]],tblSource[id_src],tblSource[source])</f>
        <v>Delayed Transfers of Care</v>
      </c>
      <c r="Z240" s="15" t="str">
        <f>_xlfn.XLOOKUP(tblMeasure[[#This Row],[id_src]],tblSource[id_src],tblSource[url_source])</f>
        <v>https://www.england.nhs.uk/statistics/statistical-work-areas/delayed-transfers-of-care/</v>
      </c>
      <c r="AA240" s="15">
        <f>_xlfn.XLOOKUP(tblMeasure[[#This Row],[id_src]],tblSource[id_src],tblSource[year_first_published])</f>
        <v>2010</v>
      </c>
      <c r="AB240" s="15">
        <f>_xlfn.XLOOKUP(tblMeasure[[#This Row],[id_src]],tblSource[id_src],tblSource[year_last_published])</f>
        <v>2020</v>
      </c>
      <c r="AC240" s="15">
        <f>_xlfn.XLOOKUP(tblMeasure[[#This Row],[id_src]],tblSource[id_src],tblSource[discontinuity])</f>
        <v>0</v>
      </c>
      <c r="AD240" s="15" t="str">
        <f>_xlfn.XLOOKUP(tblMeasure[[#This Row],[id_src]],tblSource[id_src],tblSource[publication_frequency])</f>
        <v>Monthly</v>
      </c>
      <c r="AE240" s="15">
        <f>_xlfn.XLOOKUP(tblMeasure[[#This Row],[id_src]],tblSource[id_src],tblSource[publication_lag_months])</f>
        <v>2</v>
      </c>
      <c r="AF240" s="25" t="str">
        <f>_xlfn.XLOOKUP(tblMeasure[[#This Row],[id_src]],tblSource[id_src],tblSource[data_providers])</f>
        <v>CCG</v>
      </c>
      <c r="AG240" s="25" t="str">
        <f>_xlfn.XLOOKUP(tblMeasure[[#This Row],[id_src]],tblSource[id_src],tblSource[statistic_class])</f>
        <v>Official</v>
      </c>
      <c r="AH240" s="25" t="str">
        <f>_xlfn.XLOOKUP(tblMeasure[[#This Row],[id_src]],tblSource[id_src],tblSource[methodology_link])</f>
        <v>https://www.england.nhs.uk/statistics/wp-content/uploads/sites/2/2018/11/Monthly-Delayed-Transfers-of-Care-Situation-Report-Principles-Definitions-and-Guidance.pdf</v>
      </c>
      <c r="AI240" s="25" t="str">
        <f>_xlfn.XLOOKUP(tblMeasure[[#This Row],[id_src]],tblSource[id_src],tblSource[quality_issues])</f>
        <v>TBD</v>
      </c>
      <c r="AJ240" s="25">
        <f>VLOOKUP(tblMeasure[[#This Row],[msr_population_or_survey]],strlu_msr_population_or_survey,2,FALSE)</f>
        <v>1</v>
      </c>
      <c r="AK240" s="25">
        <f>VLOOKUP(tblMeasure[[#This Row],[msr_min_geo_resolution]],strlu_msr_min_geo_resolution,2,FALSE)</f>
        <v>1</v>
      </c>
      <c r="AL240" s="25">
        <f>(MAX(tblMeasure[[#This Row],[src_year_last_published]]-2010+1,0)+MIN(2010-tblMeasure[[#This Row],[src_year_first_published]],0)-MAX(tblMeasure[[#This Row],[src_year_last_published]]-2019,0))/10</f>
        <v>1</v>
      </c>
      <c r="AM240" s="25">
        <f>IF(OR(tblMeasure[[#This Row],[src_discontinuity]]="None",tblMeasure[[#This Row],[src_discontinuity]]=0),1,0)</f>
        <v>1</v>
      </c>
      <c r="AN240" s="25">
        <f>VLOOKUP(tblMeasure[[#This Row],[src_pub_frequency]],strlu_src_pub_frequency,2,FALSE)</f>
        <v>1</v>
      </c>
      <c r="AO240" s="25">
        <f>VLOOKUP(tblMeasure[[#This Row],[src_pub_lag_months]],strlu_src_pub_lag_months,2,FALSE)</f>
        <v>0.8</v>
      </c>
      <c r="AP240" s="25">
        <f>VLOOKUP(tblMeasure[[#This Row],[src_statistic_class]],strlu_src_statistic_class,2,FALSE)</f>
        <v>1</v>
      </c>
      <c r="AQ240" s="25">
        <f>IF(tblMeasure[[#This Row],[src_methodology_url]]="TBD",0,1)</f>
        <v>1</v>
      </c>
      <c r="AR240" s="25">
        <f>IF(tblMeasure[[#This Row],[src_quality_url]]="TBD",0,1)</f>
        <v>0</v>
      </c>
      <c r="AS240" s="85" cm="1">
        <f t="array" ref="AS240">SUMPRODUCT(TRANSPOSE(tblMeasure[[#This Row],[str_msr_population_or_survey]:[str_src_quality_url]]),str_weights)/str_weights_total</f>
        <v>0.94615384615384623</v>
      </c>
    </row>
    <row r="241" spans="1:45" hidden="1" x14ac:dyDescent="0.15">
      <c r="A241" s="30">
        <v>239</v>
      </c>
      <c r="B241" s="15">
        <f>COUNTIF(requirement_measure_map!$D$3:$D$1514,measure!A241)</f>
        <v>2</v>
      </c>
      <c r="C241" s="30" t="s">
        <v>857</v>
      </c>
      <c r="D241" s="15" t="s">
        <v>680</v>
      </c>
      <c r="E241" s="15" t="s">
        <v>586</v>
      </c>
      <c r="F241" s="15" t="s">
        <v>890</v>
      </c>
      <c r="G241" s="29" t="s">
        <v>889</v>
      </c>
      <c r="H241" s="15"/>
      <c r="I241" s="15" t="s">
        <v>214</v>
      </c>
      <c r="J241" s="15" t="s">
        <v>215</v>
      </c>
      <c r="K241" s="15" t="s">
        <v>885</v>
      </c>
      <c r="L241" s="15" t="s">
        <v>680</v>
      </c>
      <c r="M241" s="15" t="s">
        <v>219</v>
      </c>
      <c r="N241" s="15" t="s">
        <v>219</v>
      </c>
      <c r="O241" s="15" t="s">
        <v>219</v>
      </c>
      <c r="P241" s="15" t="s">
        <v>219</v>
      </c>
      <c r="Q241" s="15" t="s">
        <v>219</v>
      </c>
      <c r="R241" s="15" t="s">
        <v>219</v>
      </c>
      <c r="S241" s="15" t="s">
        <v>219</v>
      </c>
      <c r="T241" s="15" t="s">
        <v>220</v>
      </c>
      <c r="U241" s="15" t="s">
        <v>219</v>
      </c>
      <c r="V241" s="15" t="s">
        <v>219</v>
      </c>
      <c r="W241" s="15">
        <v>13</v>
      </c>
      <c r="X241" s="15" t="str">
        <f>_xlfn.XLOOKUP(tblMeasure[[#This Row],[id_src]],tblSource[id_src],tblSource[org])</f>
        <v>NHS England</v>
      </c>
      <c r="Y241" s="15" t="str">
        <f>_xlfn.XLOOKUP(tblMeasure[[#This Row],[id_src]],tblSource[id_src],tblSource[source])</f>
        <v>Delayed Transfers of Care</v>
      </c>
      <c r="Z241" s="15" t="str">
        <f>_xlfn.XLOOKUP(tblMeasure[[#This Row],[id_src]],tblSource[id_src],tblSource[url_source])</f>
        <v>https://www.england.nhs.uk/statistics/statistical-work-areas/delayed-transfers-of-care/</v>
      </c>
      <c r="AA241" s="15">
        <f>_xlfn.XLOOKUP(tblMeasure[[#This Row],[id_src]],tblSource[id_src],tblSource[year_first_published])</f>
        <v>2010</v>
      </c>
      <c r="AB241" s="15">
        <f>_xlfn.XLOOKUP(tblMeasure[[#This Row],[id_src]],tblSource[id_src],tblSource[year_last_published])</f>
        <v>2020</v>
      </c>
      <c r="AC241" s="15">
        <f>_xlfn.XLOOKUP(tblMeasure[[#This Row],[id_src]],tblSource[id_src],tblSource[discontinuity])</f>
        <v>0</v>
      </c>
      <c r="AD241" s="15" t="str">
        <f>_xlfn.XLOOKUP(tblMeasure[[#This Row],[id_src]],tblSource[id_src],tblSource[publication_frequency])</f>
        <v>Monthly</v>
      </c>
      <c r="AE241" s="15">
        <f>_xlfn.XLOOKUP(tblMeasure[[#This Row],[id_src]],tblSource[id_src],tblSource[publication_lag_months])</f>
        <v>2</v>
      </c>
      <c r="AF241" s="25" t="str">
        <f>_xlfn.XLOOKUP(tblMeasure[[#This Row],[id_src]],tblSource[id_src],tblSource[data_providers])</f>
        <v>CCG</v>
      </c>
      <c r="AG241" s="25" t="str">
        <f>_xlfn.XLOOKUP(tblMeasure[[#This Row],[id_src]],tblSource[id_src],tblSource[statistic_class])</f>
        <v>Official</v>
      </c>
      <c r="AH241" s="25" t="str">
        <f>_xlfn.XLOOKUP(tblMeasure[[#This Row],[id_src]],tblSource[id_src],tblSource[methodology_link])</f>
        <v>https://www.england.nhs.uk/statistics/wp-content/uploads/sites/2/2018/11/Monthly-Delayed-Transfers-of-Care-Situation-Report-Principles-Definitions-and-Guidance.pdf</v>
      </c>
      <c r="AI241" s="25" t="str">
        <f>_xlfn.XLOOKUP(tblMeasure[[#This Row],[id_src]],tblSource[id_src],tblSource[quality_issues])</f>
        <v>TBD</v>
      </c>
      <c r="AJ241" s="25">
        <f>VLOOKUP(tblMeasure[[#This Row],[msr_population_or_survey]],strlu_msr_population_or_survey,2,FALSE)</f>
        <v>1</v>
      </c>
      <c r="AK241" s="25">
        <f>VLOOKUP(tblMeasure[[#This Row],[msr_min_geo_resolution]],strlu_msr_min_geo_resolution,2,FALSE)</f>
        <v>1</v>
      </c>
      <c r="AL241" s="25">
        <f>(MAX(tblMeasure[[#This Row],[src_year_last_published]]-2010+1,0)+MIN(2010-tblMeasure[[#This Row],[src_year_first_published]],0)-MAX(tblMeasure[[#This Row],[src_year_last_published]]-2019,0))/10</f>
        <v>1</v>
      </c>
      <c r="AM241" s="25">
        <f>IF(OR(tblMeasure[[#This Row],[src_discontinuity]]="None",tblMeasure[[#This Row],[src_discontinuity]]=0),1,0)</f>
        <v>1</v>
      </c>
      <c r="AN241" s="25">
        <f>VLOOKUP(tblMeasure[[#This Row],[src_pub_frequency]],strlu_src_pub_frequency,2,FALSE)</f>
        <v>1</v>
      </c>
      <c r="AO241" s="25">
        <f>VLOOKUP(tblMeasure[[#This Row],[src_pub_lag_months]],strlu_src_pub_lag_months,2,FALSE)</f>
        <v>0.8</v>
      </c>
      <c r="AP241" s="25">
        <f>VLOOKUP(tblMeasure[[#This Row],[src_statistic_class]],strlu_src_statistic_class,2,FALSE)</f>
        <v>1</v>
      </c>
      <c r="AQ241" s="25">
        <f>IF(tblMeasure[[#This Row],[src_methodology_url]]="TBD",0,1)</f>
        <v>1</v>
      </c>
      <c r="AR241" s="25">
        <f>IF(tblMeasure[[#This Row],[src_quality_url]]="TBD",0,1)</f>
        <v>0</v>
      </c>
      <c r="AS241" s="85" cm="1">
        <f t="array" ref="AS241">SUMPRODUCT(TRANSPOSE(tblMeasure[[#This Row],[str_msr_population_or_survey]:[str_src_quality_url]]),str_weights)/str_weights_total</f>
        <v>0.94615384615384623</v>
      </c>
    </row>
    <row r="242" spans="1:45" x14ac:dyDescent="0.15">
      <c r="A242" s="30">
        <v>240</v>
      </c>
      <c r="B242" s="15">
        <f>COUNTIF(requirement_measure_map!$D$3:$D$1514,measure!A242)</f>
        <v>7</v>
      </c>
      <c r="C242" s="30" t="s">
        <v>857</v>
      </c>
      <c r="D242" s="15" t="s">
        <v>680</v>
      </c>
      <c r="E242" s="15" t="s">
        <v>589</v>
      </c>
      <c r="F242" s="15" t="s">
        <v>891</v>
      </c>
      <c r="G242" s="29" t="s">
        <v>889</v>
      </c>
      <c r="H242" s="15"/>
      <c r="I242" s="15" t="s">
        <v>214</v>
      </c>
      <c r="J242" s="15" t="s">
        <v>215</v>
      </c>
      <c r="K242" s="15" t="s">
        <v>887</v>
      </c>
      <c r="L242" s="15" t="s">
        <v>680</v>
      </c>
      <c r="M242" s="15" t="s">
        <v>219</v>
      </c>
      <c r="N242" s="15" t="s">
        <v>219</v>
      </c>
      <c r="O242" s="15" t="s">
        <v>219</v>
      </c>
      <c r="P242" s="15" t="s">
        <v>219</v>
      </c>
      <c r="Q242" s="15" t="s">
        <v>219</v>
      </c>
      <c r="R242" s="15" t="s">
        <v>219</v>
      </c>
      <c r="S242" s="15" t="s">
        <v>219</v>
      </c>
      <c r="T242" s="15" t="s">
        <v>219</v>
      </c>
      <c r="U242" s="15" t="s">
        <v>219</v>
      </c>
      <c r="V242" s="15" t="s">
        <v>219</v>
      </c>
      <c r="W242" s="15">
        <v>13</v>
      </c>
      <c r="X242" s="15" t="str">
        <f>_xlfn.XLOOKUP(tblMeasure[[#This Row],[id_src]],tblSource[id_src],tblSource[org])</f>
        <v>NHS England</v>
      </c>
      <c r="Y242" s="15" t="str">
        <f>_xlfn.XLOOKUP(tblMeasure[[#This Row],[id_src]],tblSource[id_src],tblSource[source])</f>
        <v>Delayed Transfers of Care</v>
      </c>
      <c r="Z242" s="15" t="str">
        <f>_xlfn.XLOOKUP(tblMeasure[[#This Row],[id_src]],tblSource[id_src],tblSource[url_source])</f>
        <v>https://www.england.nhs.uk/statistics/statistical-work-areas/delayed-transfers-of-care/</v>
      </c>
      <c r="AA242" s="15">
        <f>_xlfn.XLOOKUP(tblMeasure[[#This Row],[id_src]],tblSource[id_src],tblSource[year_first_published])</f>
        <v>2010</v>
      </c>
      <c r="AB242" s="15">
        <f>_xlfn.XLOOKUP(tblMeasure[[#This Row],[id_src]],tblSource[id_src],tblSource[year_last_published])</f>
        <v>2020</v>
      </c>
      <c r="AC242" s="15">
        <f>_xlfn.XLOOKUP(tblMeasure[[#This Row],[id_src]],tblSource[id_src],tblSource[discontinuity])</f>
        <v>0</v>
      </c>
      <c r="AD242" s="15" t="str">
        <f>_xlfn.XLOOKUP(tblMeasure[[#This Row],[id_src]],tblSource[id_src],tblSource[publication_frequency])</f>
        <v>Monthly</v>
      </c>
      <c r="AE242" s="15">
        <f>_xlfn.XLOOKUP(tblMeasure[[#This Row],[id_src]],tblSource[id_src],tblSource[publication_lag_months])</f>
        <v>2</v>
      </c>
      <c r="AF242" s="25" t="str">
        <f>_xlfn.XLOOKUP(tblMeasure[[#This Row],[id_src]],tblSource[id_src],tblSource[data_providers])</f>
        <v>CCG</v>
      </c>
      <c r="AG242" s="25" t="str">
        <f>_xlfn.XLOOKUP(tblMeasure[[#This Row],[id_src]],tblSource[id_src],tblSource[statistic_class])</f>
        <v>Official</v>
      </c>
      <c r="AH242" s="25" t="str">
        <f>_xlfn.XLOOKUP(tblMeasure[[#This Row],[id_src]],tblSource[id_src],tblSource[methodology_link])</f>
        <v>https://www.england.nhs.uk/statistics/wp-content/uploads/sites/2/2018/11/Monthly-Delayed-Transfers-of-Care-Situation-Report-Principles-Definitions-and-Guidance.pdf</v>
      </c>
      <c r="AI242" s="25" t="str">
        <f>_xlfn.XLOOKUP(tblMeasure[[#This Row],[id_src]],tblSource[id_src],tblSource[quality_issues])</f>
        <v>TBD</v>
      </c>
      <c r="AJ242" s="25">
        <f>VLOOKUP(tblMeasure[[#This Row],[msr_population_or_survey]],strlu_msr_population_or_survey,2,FALSE)</f>
        <v>1</v>
      </c>
      <c r="AK242" s="25">
        <f>VLOOKUP(tblMeasure[[#This Row],[msr_min_geo_resolution]],strlu_msr_min_geo_resolution,2,FALSE)</f>
        <v>1</v>
      </c>
      <c r="AL242" s="25">
        <f>(MAX(tblMeasure[[#This Row],[src_year_last_published]]-2010+1,0)+MIN(2010-tblMeasure[[#This Row],[src_year_first_published]],0)-MAX(tblMeasure[[#This Row],[src_year_last_published]]-2019,0))/10</f>
        <v>1</v>
      </c>
      <c r="AM242" s="25">
        <f>IF(OR(tblMeasure[[#This Row],[src_discontinuity]]="None",tblMeasure[[#This Row],[src_discontinuity]]=0),1,0)</f>
        <v>1</v>
      </c>
      <c r="AN242" s="25">
        <f>VLOOKUP(tblMeasure[[#This Row],[src_pub_frequency]],strlu_src_pub_frequency,2,FALSE)</f>
        <v>1</v>
      </c>
      <c r="AO242" s="25">
        <f>VLOOKUP(tblMeasure[[#This Row],[src_pub_lag_months]],strlu_src_pub_lag_months,2,FALSE)</f>
        <v>0.8</v>
      </c>
      <c r="AP242" s="25">
        <f>VLOOKUP(tblMeasure[[#This Row],[src_statistic_class]],strlu_src_statistic_class,2,FALSE)</f>
        <v>1</v>
      </c>
      <c r="AQ242" s="25">
        <f>IF(tblMeasure[[#This Row],[src_methodology_url]]="TBD",0,1)</f>
        <v>1</v>
      </c>
      <c r="AR242" s="25">
        <f>IF(tblMeasure[[#This Row],[src_quality_url]]="TBD",0,1)</f>
        <v>0</v>
      </c>
      <c r="AS242" s="85" cm="1">
        <f t="array" ref="AS242">SUMPRODUCT(TRANSPOSE(tblMeasure[[#This Row],[str_msr_population_or_survey]:[str_src_quality_url]]),str_weights)/str_weights_total</f>
        <v>0.94615384615384623</v>
      </c>
    </row>
    <row r="243" spans="1:45" hidden="1" x14ac:dyDescent="0.15">
      <c r="A243" s="30">
        <v>241</v>
      </c>
      <c r="B243" s="15">
        <f>COUNTIF(requirement_measure_map!$D$3:$D$1514,measure!A243)</f>
        <v>2</v>
      </c>
      <c r="C243" s="30" t="s">
        <v>857</v>
      </c>
      <c r="D243" s="15" t="s">
        <v>892</v>
      </c>
      <c r="E243" s="15">
        <v>1.1000000000000001</v>
      </c>
      <c r="F243" s="15" t="s">
        <v>893</v>
      </c>
      <c r="G243" s="29" t="s">
        <v>894</v>
      </c>
      <c r="H243" s="15"/>
      <c r="I243" s="15" t="s">
        <v>214</v>
      </c>
      <c r="J243" s="15" t="s">
        <v>215</v>
      </c>
      <c r="K243" s="15" t="s">
        <v>895</v>
      </c>
      <c r="L243" s="15" t="s">
        <v>667</v>
      </c>
      <c r="M243" s="15" t="s">
        <v>219</v>
      </c>
      <c r="N243" s="15" t="s">
        <v>219</v>
      </c>
      <c r="O243" s="15" t="s">
        <v>219</v>
      </c>
      <c r="P243" s="15" t="s">
        <v>219</v>
      </c>
      <c r="Q243" s="15" t="s">
        <v>220</v>
      </c>
      <c r="R243" s="15" t="s">
        <v>219</v>
      </c>
      <c r="S243" s="15" t="s">
        <v>219</v>
      </c>
      <c r="T243" s="15" t="s">
        <v>219</v>
      </c>
      <c r="U243" s="15" t="s">
        <v>220</v>
      </c>
      <c r="V243" s="15" t="s">
        <v>219</v>
      </c>
      <c r="W243" s="15">
        <v>14</v>
      </c>
      <c r="X243" s="15" t="str">
        <f>_xlfn.XLOOKUP(tblMeasure[[#This Row],[id_src]],tblSource[id_src],tblSource[org])</f>
        <v>NHS England</v>
      </c>
      <c r="Y243" s="15" t="str">
        <f>_xlfn.XLOOKUP(tblMeasure[[#This Row],[id_src]],tblSource[id_src],tblSource[source])</f>
        <v>NHS Continuing Healthcare and NHS-funded Nursing Care</v>
      </c>
      <c r="Z243" s="15" t="str">
        <f>_xlfn.XLOOKUP(tblMeasure[[#This Row],[id_src]],tblSource[id_src],tblSource[url_source])</f>
        <v>https://www.england.nhs.uk/statistics/statistical-work-areas/nhs-chc-fnc/</v>
      </c>
      <c r="AA243" s="15">
        <f>_xlfn.XLOOKUP(tblMeasure[[#This Row],[id_src]],tblSource[id_src],tblSource[year_first_published])</f>
        <v>2017</v>
      </c>
      <c r="AB243" s="15">
        <f>_xlfn.XLOOKUP(tblMeasure[[#This Row],[id_src]],tblSource[id_src],tblSource[year_last_published])</f>
        <v>2020</v>
      </c>
      <c r="AC243" s="15">
        <f>_xlfn.XLOOKUP(tblMeasure[[#This Row],[id_src]],tblSource[id_src],tblSource[discontinuity])</f>
        <v>0</v>
      </c>
      <c r="AD243" s="15" t="str">
        <f>_xlfn.XLOOKUP(tblMeasure[[#This Row],[id_src]],tblSource[id_src],tblSource[publication_frequency])</f>
        <v>Quarterly</v>
      </c>
      <c r="AE243" s="15" t="str">
        <f>_xlfn.XLOOKUP(tblMeasure[[#This Row],[id_src]],tblSource[id_src],tblSource[publication_lag_months])</f>
        <v>TBD</v>
      </c>
      <c r="AF243" s="25" t="str">
        <f>_xlfn.XLOOKUP(tblMeasure[[#This Row],[id_src]],tblSource[id_src],tblSource[data_providers])</f>
        <v>CCG</v>
      </c>
      <c r="AG243" s="25" t="str">
        <f>_xlfn.XLOOKUP(tblMeasure[[#This Row],[id_src]],tblSource[id_src],tblSource[statistic_class])</f>
        <v>Official</v>
      </c>
      <c r="AH243" s="25" t="str">
        <f>_xlfn.XLOOKUP(tblMeasure[[#This Row],[id_src]],tblSource[id_src],tblSource[methodology_link])</f>
        <v>https://www.england.nhs.uk/statistics/wp-content/uploads/sites/2/2020/02/CHC-and-FNC-Statistical-Release-Q3-2019-20.pdf</v>
      </c>
      <c r="AI243" s="25" t="str">
        <f>_xlfn.XLOOKUP(tblMeasure[[#This Row],[id_src]],tblSource[id_src],tblSource[quality_issues])</f>
        <v>https://www.england.nhs.uk/statistics/wp-content/uploads/sites/2/2020/02/CHC-and-FNC-Report-Q3-2019-20_z5qnTp.pdf</v>
      </c>
      <c r="AJ243" s="25">
        <f>VLOOKUP(tblMeasure[[#This Row],[msr_population_or_survey]],strlu_msr_population_or_survey,2,FALSE)</f>
        <v>1</v>
      </c>
      <c r="AK243" s="25">
        <f>VLOOKUP(tblMeasure[[#This Row],[msr_min_geo_resolution]],strlu_msr_min_geo_resolution,2,FALSE)</f>
        <v>1</v>
      </c>
      <c r="AL243" s="25">
        <f>(MAX(tblMeasure[[#This Row],[src_year_last_published]]-2010+1,0)+MIN(2010-tblMeasure[[#This Row],[src_year_first_published]],0)-MAX(tblMeasure[[#This Row],[src_year_last_published]]-2019,0))/10</f>
        <v>0.3</v>
      </c>
      <c r="AM243" s="25">
        <f>IF(OR(tblMeasure[[#This Row],[src_discontinuity]]="None",tblMeasure[[#This Row],[src_discontinuity]]=0),1,0)</f>
        <v>1</v>
      </c>
      <c r="AN243" s="25">
        <f>VLOOKUP(tblMeasure[[#This Row],[src_pub_frequency]],strlu_src_pub_frequency,2,FALSE)</f>
        <v>0.9</v>
      </c>
      <c r="AO243" s="25">
        <f>VLOOKUP(tblMeasure[[#This Row],[src_pub_lag_months]],strlu_src_pub_lag_months,2,FALSE)</f>
        <v>0</v>
      </c>
      <c r="AP243" s="25">
        <f>VLOOKUP(tblMeasure[[#This Row],[src_statistic_class]],strlu_src_statistic_class,2,FALSE)</f>
        <v>1</v>
      </c>
      <c r="AQ243" s="25">
        <f>IF(tblMeasure[[#This Row],[src_methodology_url]]="TBD",0,1)</f>
        <v>1</v>
      </c>
      <c r="AR243" s="25">
        <f>IF(tblMeasure[[#This Row],[src_quality_url]]="TBD",0,1)</f>
        <v>1</v>
      </c>
      <c r="AS243" s="85" cm="1">
        <f t="array" ref="AS243">SUMPRODUCT(TRANSPOSE(tblMeasure[[#This Row],[str_msr_population_or_survey]:[str_src_quality_url]]),str_weights)/str_weights_total</f>
        <v>0.79999999999999993</v>
      </c>
    </row>
    <row r="244" spans="1:45" hidden="1" x14ac:dyDescent="0.15">
      <c r="A244" s="30">
        <v>242</v>
      </c>
      <c r="B244" s="15">
        <f>COUNTIF(requirement_measure_map!$D$3:$D$1514,measure!A244)</f>
        <v>2</v>
      </c>
      <c r="C244" s="30" t="s">
        <v>857</v>
      </c>
      <c r="D244" s="15" t="s">
        <v>896</v>
      </c>
      <c r="E244" s="15">
        <v>1.2</v>
      </c>
      <c r="F244" s="15" t="s">
        <v>897</v>
      </c>
      <c r="G244" s="29" t="s">
        <v>894</v>
      </c>
      <c r="H244" s="15"/>
      <c r="I244" s="15" t="s">
        <v>214</v>
      </c>
      <c r="J244" s="15" t="s">
        <v>215</v>
      </c>
      <c r="K244" s="15" t="s">
        <v>898</v>
      </c>
      <c r="L244" s="15" t="s">
        <v>667</v>
      </c>
      <c r="M244" s="15" t="s">
        <v>219</v>
      </c>
      <c r="N244" s="15" t="s">
        <v>219</v>
      </c>
      <c r="O244" s="15" t="s">
        <v>219</v>
      </c>
      <c r="P244" s="15" t="s">
        <v>219</v>
      </c>
      <c r="Q244" s="15" t="s">
        <v>220</v>
      </c>
      <c r="R244" s="15" t="s">
        <v>219</v>
      </c>
      <c r="S244" s="15" t="s">
        <v>219</v>
      </c>
      <c r="T244" s="15" t="s">
        <v>219</v>
      </c>
      <c r="U244" s="15" t="s">
        <v>220</v>
      </c>
      <c r="V244" s="15" t="s">
        <v>219</v>
      </c>
      <c r="W244" s="15">
        <v>14</v>
      </c>
      <c r="X244" s="15" t="str">
        <f>_xlfn.XLOOKUP(tblMeasure[[#This Row],[id_src]],tblSource[id_src],tblSource[org])</f>
        <v>NHS England</v>
      </c>
      <c r="Y244" s="15" t="str">
        <f>_xlfn.XLOOKUP(tblMeasure[[#This Row],[id_src]],tblSource[id_src],tblSource[source])</f>
        <v>NHS Continuing Healthcare and NHS-funded Nursing Care</v>
      </c>
      <c r="Z244" s="15" t="str">
        <f>_xlfn.XLOOKUP(tblMeasure[[#This Row],[id_src]],tblSource[id_src],tblSource[url_source])</f>
        <v>https://www.england.nhs.uk/statistics/statistical-work-areas/nhs-chc-fnc/</v>
      </c>
      <c r="AA244" s="15">
        <f>_xlfn.XLOOKUP(tblMeasure[[#This Row],[id_src]],tblSource[id_src],tblSource[year_first_published])</f>
        <v>2017</v>
      </c>
      <c r="AB244" s="15">
        <f>_xlfn.XLOOKUP(tblMeasure[[#This Row],[id_src]],tblSource[id_src],tblSource[year_last_published])</f>
        <v>2020</v>
      </c>
      <c r="AC244" s="15">
        <f>_xlfn.XLOOKUP(tblMeasure[[#This Row],[id_src]],tblSource[id_src],tblSource[discontinuity])</f>
        <v>0</v>
      </c>
      <c r="AD244" s="15" t="str">
        <f>_xlfn.XLOOKUP(tblMeasure[[#This Row],[id_src]],tblSource[id_src],tblSource[publication_frequency])</f>
        <v>Quarterly</v>
      </c>
      <c r="AE244" s="15" t="str">
        <f>_xlfn.XLOOKUP(tblMeasure[[#This Row],[id_src]],tblSource[id_src],tblSource[publication_lag_months])</f>
        <v>TBD</v>
      </c>
      <c r="AF244" s="25" t="str">
        <f>_xlfn.XLOOKUP(tblMeasure[[#This Row],[id_src]],tblSource[id_src],tblSource[data_providers])</f>
        <v>CCG</v>
      </c>
      <c r="AG244" s="25" t="str">
        <f>_xlfn.XLOOKUP(tblMeasure[[#This Row],[id_src]],tblSource[id_src],tblSource[statistic_class])</f>
        <v>Official</v>
      </c>
      <c r="AH244" s="25" t="str">
        <f>_xlfn.XLOOKUP(tblMeasure[[#This Row],[id_src]],tblSource[id_src],tblSource[methodology_link])</f>
        <v>https://www.england.nhs.uk/statistics/wp-content/uploads/sites/2/2020/02/CHC-and-FNC-Statistical-Release-Q3-2019-20.pdf</v>
      </c>
      <c r="AI244" s="25" t="str">
        <f>_xlfn.XLOOKUP(tblMeasure[[#This Row],[id_src]],tblSource[id_src],tblSource[quality_issues])</f>
        <v>https://www.england.nhs.uk/statistics/wp-content/uploads/sites/2/2020/02/CHC-and-FNC-Report-Q3-2019-20_z5qnTp.pdf</v>
      </c>
      <c r="AJ244" s="25">
        <f>VLOOKUP(tblMeasure[[#This Row],[msr_population_or_survey]],strlu_msr_population_or_survey,2,FALSE)</f>
        <v>1</v>
      </c>
      <c r="AK244" s="25">
        <f>VLOOKUP(tblMeasure[[#This Row],[msr_min_geo_resolution]],strlu_msr_min_geo_resolution,2,FALSE)</f>
        <v>1</v>
      </c>
      <c r="AL244" s="25">
        <f>(MAX(tblMeasure[[#This Row],[src_year_last_published]]-2010+1,0)+MIN(2010-tblMeasure[[#This Row],[src_year_first_published]],0)-MAX(tblMeasure[[#This Row],[src_year_last_published]]-2019,0))/10</f>
        <v>0.3</v>
      </c>
      <c r="AM244" s="25">
        <f>IF(OR(tblMeasure[[#This Row],[src_discontinuity]]="None",tblMeasure[[#This Row],[src_discontinuity]]=0),1,0)</f>
        <v>1</v>
      </c>
      <c r="AN244" s="25">
        <f>VLOOKUP(tblMeasure[[#This Row],[src_pub_frequency]],strlu_src_pub_frequency,2,FALSE)</f>
        <v>0.9</v>
      </c>
      <c r="AO244" s="25">
        <f>VLOOKUP(tblMeasure[[#This Row],[src_pub_lag_months]],strlu_src_pub_lag_months,2,FALSE)</f>
        <v>0</v>
      </c>
      <c r="AP244" s="25">
        <f>VLOOKUP(tblMeasure[[#This Row],[src_statistic_class]],strlu_src_statistic_class,2,FALSE)</f>
        <v>1</v>
      </c>
      <c r="AQ244" s="25">
        <f>IF(tblMeasure[[#This Row],[src_methodology_url]]="TBD",0,1)</f>
        <v>1</v>
      </c>
      <c r="AR244" s="25">
        <f>IF(tblMeasure[[#This Row],[src_quality_url]]="TBD",0,1)</f>
        <v>1</v>
      </c>
      <c r="AS244" s="85" cm="1">
        <f t="array" ref="AS244">SUMPRODUCT(TRANSPOSE(tblMeasure[[#This Row],[str_msr_population_or_survey]:[str_src_quality_url]]),str_weights)/str_weights_total</f>
        <v>0.79999999999999993</v>
      </c>
    </row>
    <row r="245" spans="1:45" hidden="1" x14ac:dyDescent="0.15">
      <c r="A245" s="30">
        <v>243</v>
      </c>
      <c r="B245" s="15">
        <f>COUNTIF(requirement_measure_map!$D$3:$D$1514,measure!A245)</f>
        <v>4</v>
      </c>
      <c r="C245" s="30" t="s">
        <v>857</v>
      </c>
      <c r="D245" s="15" t="s">
        <v>899</v>
      </c>
      <c r="E245" s="15">
        <v>1.3</v>
      </c>
      <c r="F245" s="15" t="s">
        <v>900</v>
      </c>
      <c r="G245" s="29" t="s">
        <v>894</v>
      </c>
      <c r="H245" s="15"/>
      <c r="I245" s="15" t="s">
        <v>214</v>
      </c>
      <c r="J245" s="15" t="s">
        <v>215</v>
      </c>
      <c r="K245" s="15" t="s">
        <v>901</v>
      </c>
      <c r="L245" s="15" t="s">
        <v>667</v>
      </c>
      <c r="M245" s="15" t="s">
        <v>219</v>
      </c>
      <c r="N245" s="15" t="s">
        <v>219</v>
      </c>
      <c r="O245" s="15" t="s">
        <v>219</v>
      </c>
      <c r="P245" s="15" t="s">
        <v>219</v>
      </c>
      <c r="Q245" s="15" t="s">
        <v>220</v>
      </c>
      <c r="R245" s="15" t="s">
        <v>219</v>
      </c>
      <c r="S245" s="15" t="s">
        <v>219</v>
      </c>
      <c r="T245" s="15" t="s">
        <v>219</v>
      </c>
      <c r="U245" s="15" t="s">
        <v>219</v>
      </c>
      <c r="V245" s="15" t="s">
        <v>219</v>
      </c>
      <c r="W245" s="15">
        <v>14</v>
      </c>
      <c r="X245" s="15" t="str">
        <f>_xlfn.XLOOKUP(tblMeasure[[#This Row],[id_src]],tblSource[id_src],tblSource[org])</f>
        <v>NHS England</v>
      </c>
      <c r="Y245" s="15" t="str">
        <f>_xlfn.XLOOKUP(tblMeasure[[#This Row],[id_src]],tblSource[id_src],tblSource[source])</f>
        <v>NHS Continuing Healthcare and NHS-funded Nursing Care</v>
      </c>
      <c r="Z245" s="15" t="str">
        <f>_xlfn.XLOOKUP(tblMeasure[[#This Row],[id_src]],tblSource[id_src],tblSource[url_source])</f>
        <v>https://www.england.nhs.uk/statistics/statistical-work-areas/nhs-chc-fnc/</v>
      </c>
      <c r="AA245" s="15">
        <f>_xlfn.XLOOKUP(tblMeasure[[#This Row],[id_src]],tblSource[id_src],tblSource[year_first_published])</f>
        <v>2017</v>
      </c>
      <c r="AB245" s="15">
        <f>_xlfn.XLOOKUP(tblMeasure[[#This Row],[id_src]],tblSource[id_src],tblSource[year_last_published])</f>
        <v>2020</v>
      </c>
      <c r="AC245" s="15">
        <f>_xlfn.XLOOKUP(tblMeasure[[#This Row],[id_src]],tblSource[id_src],tblSource[discontinuity])</f>
        <v>0</v>
      </c>
      <c r="AD245" s="15" t="str">
        <f>_xlfn.XLOOKUP(tblMeasure[[#This Row],[id_src]],tblSource[id_src],tblSource[publication_frequency])</f>
        <v>Quarterly</v>
      </c>
      <c r="AE245" s="15" t="str">
        <f>_xlfn.XLOOKUP(tblMeasure[[#This Row],[id_src]],tblSource[id_src],tblSource[publication_lag_months])</f>
        <v>TBD</v>
      </c>
      <c r="AF245" s="25" t="str">
        <f>_xlfn.XLOOKUP(tblMeasure[[#This Row],[id_src]],tblSource[id_src],tblSource[data_providers])</f>
        <v>CCG</v>
      </c>
      <c r="AG245" s="25" t="str">
        <f>_xlfn.XLOOKUP(tblMeasure[[#This Row],[id_src]],tblSource[id_src],tblSource[statistic_class])</f>
        <v>Official</v>
      </c>
      <c r="AH245" s="25" t="str">
        <f>_xlfn.XLOOKUP(tblMeasure[[#This Row],[id_src]],tblSource[id_src],tblSource[methodology_link])</f>
        <v>https://www.england.nhs.uk/statistics/wp-content/uploads/sites/2/2020/02/CHC-and-FNC-Statistical-Release-Q3-2019-20.pdf</v>
      </c>
      <c r="AI245" s="25" t="str">
        <f>_xlfn.XLOOKUP(tblMeasure[[#This Row],[id_src]],tblSource[id_src],tblSource[quality_issues])</f>
        <v>https://www.england.nhs.uk/statistics/wp-content/uploads/sites/2/2020/02/CHC-and-FNC-Report-Q3-2019-20_z5qnTp.pdf</v>
      </c>
      <c r="AJ245" s="25">
        <f>VLOOKUP(tblMeasure[[#This Row],[msr_population_or_survey]],strlu_msr_population_or_survey,2,FALSE)</f>
        <v>1</v>
      </c>
      <c r="AK245" s="25">
        <f>VLOOKUP(tblMeasure[[#This Row],[msr_min_geo_resolution]],strlu_msr_min_geo_resolution,2,FALSE)</f>
        <v>1</v>
      </c>
      <c r="AL245" s="25">
        <f>(MAX(tblMeasure[[#This Row],[src_year_last_published]]-2010+1,0)+MIN(2010-tblMeasure[[#This Row],[src_year_first_published]],0)-MAX(tblMeasure[[#This Row],[src_year_last_published]]-2019,0))/10</f>
        <v>0.3</v>
      </c>
      <c r="AM245" s="25">
        <f>IF(OR(tblMeasure[[#This Row],[src_discontinuity]]="None",tblMeasure[[#This Row],[src_discontinuity]]=0),1,0)</f>
        <v>1</v>
      </c>
      <c r="AN245" s="25">
        <f>VLOOKUP(tblMeasure[[#This Row],[src_pub_frequency]],strlu_src_pub_frequency,2,FALSE)</f>
        <v>0.9</v>
      </c>
      <c r="AO245" s="25">
        <f>VLOOKUP(tblMeasure[[#This Row],[src_pub_lag_months]],strlu_src_pub_lag_months,2,FALSE)</f>
        <v>0</v>
      </c>
      <c r="AP245" s="25">
        <f>VLOOKUP(tblMeasure[[#This Row],[src_statistic_class]],strlu_src_statistic_class,2,FALSE)</f>
        <v>1</v>
      </c>
      <c r="AQ245" s="25">
        <f>IF(tblMeasure[[#This Row],[src_methodology_url]]="TBD",0,1)</f>
        <v>1</v>
      </c>
      <c r="AR245" s="25">
        <f>IF(tblMeasure[[#This Row],[src_quality_url]]="TBD",0,1)</f>
        <v>1</v>
      </c>
      <c r="AS245" s="85" cm="1">
        <f t="array" ref="AS245">SUMPRODUCT(TRANSPOSE(tblMeasure[[#This Row],[str_msr_population_or_survey]:[str_src_quality_url]]),str_weights)/str_weights_total</f>
        <v>0.79999999999999993</v>
      </c>
    </row>
    <row r="246" spans="1:45" hidden="1" x14ac:dyDescent="0.15">
      <c r="A246" s="30">
        <v>244</v>
      </c>
      <c r="B246" s="15">
        <f>COUNTIF(requirement_measure_map!$D$3:$D$1514,measure!A246)</f>
        <v>2</v>
      </c>
      <c r="C246" s="30" t="s">
        <v>857</v>
      </c>
      <c r="D246" s="15" t="s">
        <v>70</v>
      </c>
      <c r="E246" s="15" t="s">
        <v>579</v>
      </c>
      <c r="F246" s="15" t="s">
        <v>902</v>
      </c>
      <c r="G246" s="29" t="s">
        <v>903</v>
      </c>
      <c r="H246" s="15"/>
      <c r="I246" s="15" t="s">
        <v>214</v>
      </c>
      <c r="J246" s="15" t="s">
        <v>215</v>
      </c>
      <c r="K246" s="15" t="s">
        <v>904</v>
      </c>
      <c r="L246" s="15" t="s">
        <v>233</v>
      </c>
      <c r="M246" s="15" t="s">
        <v>219</v>
      </c>
      <c r="N246" s="15" t="s">
        <v>219</v>
      </c>
      <c r="O246" s="15" t="s">
        <v>219</v>
      </c>
      <c r="P246" s="15" t="s">
        <v>219</v>
      </c>
      <c r="Q246" s="15" t="s">
        <v>219</v>
      </c>
      <c r="R246" s="15" t="s">
        <v>219</v>
      </c>
      <c r="S246" s="15" t="s">
        <v>219</v>
      </c>
      <c r="T246" s="15" t="s">
        <v>220</v>
      </c>
      <c r="U246" s="15" t="s">
        <v>219</v>
      </c>
      <c r="V246" s="15" t="s">
        <v>219</v>
      </c>
      <c r="W246" s="15">
        <v>15</v>
      </c>
      <c r="X246" s="15" t="str">
        <f>_xlfn.XLOOKUP(tblMeasure[[#This Row],[id_src]],tblSource[id_src],tblSource[org])</f>
        <v>ONS</v>
      </c>
      <c r="Y246" s="15" t="str">
        <f>_xlfn.XLOOKUP(tblMeasure[[#This Row],[id_src]],tblSource[id_src],tblSource[source])</f>
        <v>Public service productivity, adult social care, England</v>
      </c>
      <c r="Z246" s="15" t="str">
        <f>_xlfn.XLOOKUP(tblMeasure[[#This Row],[id_src]],tblSource[id_src],tblSource[url_source])</f>
        <v>https://www.ons.gov.uk/releases/publicserviceproductivityadultsocialcareenglandfinancialyearending2019</v>
      </c>
      <c r="AA246" s="15">
        <f>_xlfn.XLOOKUP(tblMeasure[[#This Row],[id_src]],tblSource[id_src],tblSource[year_first_published])</f>
        <v>1997</v>
      </c>
      <c r="AB246" s="15">
        <f>_xlfn.XLOOKUP(tblMeasure[[#This Row],[id_src]],tblSource[id_src],tblSource[year_last_published])</f>
        <v>2019</v>
      </c>
      <c r="AC246" s="15">
        <f>_xlfn.XLOOKUP(tblMeasure[[#This Row],[id_src]],tblSource[id_src],tblSource[discontinuity])</f>
        <v>2015</v>
      </c>
      <c r="AD246" s="15" t="str">
        <f>_xlfn.XLOOKUP(tblMeasure[[#This Row],[id_src]],tblSource[id_src],tblSource[publication_frequency])</f>
        <v>Annual</v>
      </c>
      <c r="AE246" s="15">
        <f>_xlfn.XLOOKUP(tblMeasure[[#This Row],[id_src]],tblSource[id_src],tblSource[publication_lag_months])</f>
        <v>8</v>
      </c>
      <c r="AF246" s="25" t="str">
        <f>_xlfn.XLOOKUP(tblMeasure[[#This Row],[id_src]],tblSource[id_src],tblSource[data_providers])</f>
        <v>Indirect</v>
      </c>
      <c r="AG246" s="25" t="str">
        <f>_xlfn.XLOOKUP(tblMeasure[[#This Row],[id_src]],tblSource[id_src],tblSource[statistic_class])</f>
        <v>Official</v>
      </c>
      <c r="AH246" s="25" t="str">
        <f>_xlfn.XLOOKUP(tblMeasure[[#This Row],[id_src]],tblSource[id_src],tblSource[methodology_link])</f>
        <v>https://www.ons.gov.uk/economy/economicoutputandproductivity/publicservicesproductivity/articles/publicserviceproductivityadultsocialcareengland/financialyearending2019#quality-and-methodology</v>
      </c>
      <c r="AI246" s="25" t="str">
        <f>_xlfn.XLOOKUP(tblMeasure[[#This Row],[id_src]],tblSource[id_src],tblSource[quality_issues])</f>
        <v>https://www.ons.gov.uk/economy/economicoutputandproductivity/publicservicesproductivity/articles/publicserviceproductivityadultsocialcareengland/financialyearending2019#quality-and-methodology</v>
      </c>
      <c r="AJ246" s="25">
        <f>VLOOKUP(tblMeasure[[#This Row],[msr_population_or_survey]],strlu_msr_population_or_survey,2,FALSE)</f>
        <v>1</v>
      </c>
      <c r="AK246" s="25">
        <f>VLOOKUP(tblMeasure[[#This Row],[msr_min_geo_resolution]],strlu_msr_min_geo_resolution,2,FALSE)</f>
        <v>0</v>
      </c>
      <c r="AL246" s="25">
        <f>(MAX(tblMeasure[[#This Row],[src_year_last_published]]-2010+1,0)+MIN(2010-tblMeasure[[#This Row],[src_year_first_published]],0)-MAX(tblMeasure[[#This Row],[src_year_last_published]]-2019,0))/10</f>
        <v>1</v>
      </c>
      <c r="AM246" s="25">
        <f>IF(OR(tblMeasure[[#This Row],[src_discontinuity]]="None",tblMeasure[[#This Row],[src_discontinuity]]=0),1,0)</f>
        <v>0</v>
      </c>
      <c r="AN246" s="25">
        <f>VLOOKUP(tblMeasure[[#This Row],[src_pub_frequency]],strlu_src_pub_frequency,2,FALSE)</f>
        <v>0.8</v>
      </c>
      <c r="AO246" s="25">
        <f>VLOOKUP(tblMeasure[[#This Row],[src_pub_lag_months]],strlu_src_pub_lag_months,2,FALSE)</f>
        <v>0.2</v>
      </c>
      <c r="AP246" s="25">
        <f>VLOOKUP(tblMeasure[[#This Row],[src_statistic_class]],strlu_src_statistic_class,2,FALSE)</f>
        <v>1</v>
      </c>
      <c r="AQ246" s="25">
        <f>IF(tblMeasure[[#This Row],[src_methodology_url]]="TBD",0,1)</f>
        <v>1</v>
      </c>
      <c r="AR246" s="25">
        <f>IF(tblMeasure[[#This Row],[src_quality_url]]="TBD",0,1)</f>
        <v>1</v>
      </c>
      <c r="AS246" s="85" cm="1">
        <f t="array" ref="AS246">SUMPRODUCT(TRANSPOSE(tblMeasure[[#This Row],[str_msr_population_or_survey]:[str_src_quality_url]]),str_weights)/str_weights_total</f>
        <v>0.67692307692307696</v>
      </c>
    </row>
    <row r="247" spans="1:45" hidden="1" x14ac:dyDescent="0.15">
      <c r="A247" s="30">
        <v>245</v>
      </c>
      <c r="B247" s="15">
        <f>COUNTIF(requirement_measure_map!$D$3:$D$1514,measure!A247)</f>
        <v>2</v>
      </c>
      <c r="C247" s="30" t="s">
        <v>857</v>
      </c>
      <c r="D247" s="15" t="s">
        <v>70</v>
      </c>
      <c r="E247" s="15" t="s">
        <v>583</v>
      </c>
      <c r="F247" s="15" t="s">
        <v>905</v>
      </c>
      <c r="G247" s="29" t="s">
        <v>903</v>
      </c>
      <c r="H247" s="15"/>
      <c r="I247" s="15" t="s">
        <v>214</v>
      </c>
      <c r="J247" s="15" t="s">
        <v>215</v>
      </c>
      <c r="K247" s="15" t="s">
        <v>906</v>
      </c>
      <c r="L247" s="15" t="s">
        <v>233</v>
      </c>
      <c r="M247" s="15" t="s">
        <v>219</v>
      </c>
      <c r="N247" s="15" t="s">
        <v>219</v>
      </c>
      <c r="O247" s="15" t="s">
        <v>219</v>
      </c>
      <c r="P247" s="15" t="s">
        <v>219</v>
      </c>
      <c r="Q247" s="15" t="s">
        <v>219</v>
      </c>
      <c r="R247" s="15" t="s">
        <v>219</v>
      </c>
      <c r="S247" s="15" t="s">
        <v>219</v>
      </c>
      <c r="T247" s="15" t="s">
        <v>220</v>
      </c>
      <c r="U247" s="15" t="s">
        <v>219</v>
      </c>
      <c r="V247" s="15" t="s">
        <v>219</v>
      </c>
      <c r="W247" s="15">
        <v>15</v>
      </c>
      <c r="X247" s="15" t="str">
        <f>_xlfn.XLOOKUP(tblMeasure[[#This Row],[id_src]],tblSource[id_src],tblSource[org])</f>
        <v>ONS</v>
      </c>
      <c r="Y247" s="15" t="str">
        <f>_xlfn.XLOOKUP(tblMeasure[[#This Row],[id_src]],tblSource[id_src],tblSource[source])</f>
        <v>Public service productivity, adult social care, England</v>
      </c>
      <c r="Z247" s="15" t="str">
        <f>_xlfn.XLOOKUP(tblMeasure[[#This Row],[id_src]],tblSource[id_src],tblSource[url_source])</f>
        <v>https://www.ons.gov.uk/releases/publicserviceproductivityadultsocialcareenglandfinancialyearending2019</v>
      </c>
      <c r="AA247" s="15">
        <f>_xlfn.XLOOKUP(tblMeasure[[#This Row],[id_src]],tblSource[id_src],tblSource[year_first_published])</f>
        <v>1997</v>
      </c>
      <c r="AB247" s="15">
        <f>_xlfn.XLOOKUP(tblMeasure[[#This Row],[id_src]],tblSource[id_src],tblSource[year_last_published])</f>
        <v>2019</v>
      </c>
      <c r="AC247" s="15">
        <f>_xlfn.XLOOKUP(tblMeasure[[#This Row],[id_src]],tblSource[id_src],tblSource[discontinuity])</f>
        <v>2015</v>
      </c>
      <c r="AD247" s="15" t="str">
        <f>_xlfn.XLOOKUP(tblMeasure[[#This Row],[id_src]],tblSource[id_src],tblSource[publication_frequency])</f>
        <v>Annual</v>
      </c>
      <c r="AE247" s="15">
        <f>_xlfn.XLOOKUP(tblMeasure[[#This Row],[id_src]],tblSource[id_src],tblSource[publication_lag_months])</f>
        <v>8</v>
      </c>
      <c r="AF247" s="25" t="str">
        <f>_xlfn.XLOOKUP(tblMeasure[[#This Row],[id_src]],tblSource[id_src],tblSource[data_providers])</f>
        <v>Indirect</v>
      </c>
      <c r="AG247" s="25" t="str">
        <f>_xlfn.XLOOKUP(tblMeasure[[#This Row],[id_src]],tblSource[id_src],tblSource[statistic_class])</f>
        <v>Official</v>
      </c>
      <c r="AH247" s="25" t="str">
        <f>_xlfn.XLOOKUP(tblMeasure[[#This Row],[id_src]],tblSource[id_src],tblSource[methodology_link])</f>
        <v>https://www.ons.gov.uk/economy/economicoutputandproductivity/publicservicesproductivity/articles/publicserviceproductivityadultsocialcareengland/financialyearending2019#quality-and-methodology</v>
      </c>
      <c r="AI247" s="25" t="str">
        <f>_xlfn.XLOOKUP(tblMeasure[[#This Row],[id_src]],tblSource[id_src],tblSource[quality_issues])</f>
        <v>https://www.ons.gov.uk/economy/economicoutputandproductivity/publicservicesproductivity/articles/publicserviceproductivityadultsocialcareengland/financialyearending2019#quality-and-methodology</v>
      </c>
      <c r="AJ247" s="25">
        <f>VLOOKUP(tblMeasure[[#This Row],[msr_population_or_survey]],strlu_msr_population_or_survey,2,FALSE)</f>
        <v>1</v>
      </c>
      <c r="AK247" s="25">
        <f>VLOOKUP(tblMeasure[[#This Row],[msr_min_geo_resolution]],strlu_msr_min_geo_resolution,2,FALSE)</f>
        <v>0</v>
      </c>
      <c r="AL247" s="25">
        <f>(MAX(tblMeasure[[#This Row],[src_year_last_published]]-2010+1,0)+MIN(2010-tblMeasure[[#This Row],[src_year_first_published]],0)-MAX(tblMeasure[[#This Row],[src_year_last_published]]-2019,0))/10</f>
        <v>1</v>
      </c>
      <c r="AM247" s="25">
        <f>IF(OR(tblMeasure[[#This Row],[src_discontinuity]]="None",tblMeasure[[#This Row],[src_discontinuity]]=0),1,0)</f>
        <v>0</v>
      </c>
      <c r="AN247" s="25">
        <f>VLOOKUP(tblMeasure[[#This Row],[src_pub_frequency]],strlu_src_pub_frequency,2,FALSE)</f>
        <v>0.8</v>
      </c>
      <c r="AO247" s="25">
        <f>VLOOKUP(tblMeasure[[#This Row],[src_pub_lag_months]],strlu_src_pub_lag_months,2,FALSE)</f>
        <v>0.2</v>
      </c>
      <c r="AP247" s="25">
        <f>VLOOKUP(tblMeasure[[#This Row],[src_statistic_class]],strlu_src_statistic_class,2,FALSE)</f>
        <v>1</v>
      </c>
      <c r="AQ247" s="25">
        <f>IF(tblMeasure[[#This Row],[src_methodology_url]]="TBD",0,1)</f>
        <v>1</v>
      </c>
      <c r="AR247" s="25">
        <f>IF(tblMeasure[[#This Row],[src_quality_url]]="TBD",0,1)</f>
        <v>1</v>
      </c>
      <c r="AS247" s="85" cm="1">
        <f t="array" ref="AS247">SUMPRODUCT(TRANSPOSE(tblMeasure[[#This Row],[str_msr_population_or_survey]:[str_src_quality_url]]),str_weights)/str_weights_total</f>
        <v>0.67692307692307696</v>
      </c>
    </row>
    <row r="248" spans="1:45" hidden="1" x14ac:dyDescent="0.15">
      <c r="A248" s="30">
        <v>246</v>
      </c>
      <c r="B248" s="15">
        <f>COUNTIF(requirement_measure_map!$D$3:$D$1514,measure!A248)</f>
        <v>4</v>
      </c>
      <c r="C248" s="30" t="s">
        <v>857</v>
      </c>
      <c r="D248" s="15" t="s">
        <v>70</v>
      </c>
      <c r="E248" s="15" t="s">
        <v>586</v>
      </c>
      <c r="F248" s="15" t="s">
        <v>907</v>
      </c>
      <c r="G248" s="29" t="s">
        <v>903</v>
      </c>
      <c r="H248" s="15"/>
      <c r="I248" s="15" t="s">
        <v>214</v>
      </c>
      <c r="J248" s="15" t="s">
        <v>215</v>
      </c>
      <c r="K248" s="15" t="s">
        <v>904</v>
      </c>
      <c r="L248" s="15" t="s">
        <v>233</v>
      </c>
      <c r="M248" s="15" t="s">
        <v>219</v>
      </c>
      <c r="N248" s="15" t="s">
        <v>219</v>
      </c>
      <c r="O248" s="15" t="s">
        <v>219</v>
      </c>
      <c r="P248" s="15" t="s">
        <v>219</v>
      </c>
      <c r="Q248" s="15" t="s">
        <v>219</v>
      </c>
      <c r="R248" s="15" t="s">
        <v>219</v>
      </c>
      <c r="S248" s="15" t="s">
        <v>219</v>
      </c>
      <c r="T248" s="15" t="s">
        <v>220</v>
      </c>
      <c r="U248" s="15" t="s">
        <v>220</v>
      </c>
      <c r="V248" s="15" t="s">
        <v>219</v>
      </c>
      <c r="W248" s="15">
        <v>15</v>
      </c>
      <c r="X248" s="15" t="str">
        <f>_xlfn.XLOOKUP(tblMeasure[[#This Row],[id_src]],tblSource[id_src],tblSource[org])</f>
        <v>ONS</v>
      </c>
      <c r="Y248" s="15" t="str">
        <f>_xlfn.XLOOKUP(tblMeasure[[#This Row],[id_src]],tblSource[id_src],tblSource[source])</f>
        <v>Public service productivity, adult social care, England</v>
      </c>
      <c r="Z248" s="15" t="str">
        <f>_xlfn.XLOOKUP(tblMeasure[[#This Row],[id_src]],tblSource[id_src],tblSource[url_source])</f>
        <v>https://www.ons.gov.uk/releases/publicserviceproductivityadultsocialcareenglandfinancialyearending2019</v>
      </c>
      <c r="AA248" s="15">
        <f>_xlfn.XLOOKUP(tblMeasure[[#This Row],[id_src]],tblSource[id_src],tblSource[year_first_published])</f>
        <v>1997</v>
      </c>
      <c r="AB248" s="15">
        <f>_xlfn.XLOOKUP(tblMeasure[[#This Row],[id_src]],tblSource[id_src],tblSource[year_last_published])</f>
        <v>2019</v>
      </c>
      <c r="AC248" s="15">
        <f>_xlfn.XLOOKUP(tblMeasure[[#This Row],[id_src]],tblSource[id_src],tblSource[discontinuity])</f>
        <v>2015</v>
      </c>
      <c r="AD248" s="15" t="str">
        <f>_xlfn.XLOOKUP(tblMeasure[[#This Row],[id_src]],tblSource[id_src],tblSource[publication_frequency])</f>
        <v>Annual</v>
      </c>
      <c r="AE248" s="15">
        <f>_xlfn.XLOOKUP(tblMeasure[[#This Row],[id_src]],tblSource[id_src],tblSource[publication_lag_months])</f>
        <v>8</v>
      </c>
      <c r="AF248" s="25" t="str">
        <f>_xlfn.XLOOKUP(tblMeasure[[#This Row],[id_src]],tblSource[id_src],tblSource[data_providers])</f>
        <v>Indirect</v>
      </c>
      <c r="AG248" s="25" t="str">
        <f>_xlfn.XLOOKUP(tblMeasure[[#This Row],[id_src]],tblSource[id_src],tblSource[statistic_class])</f>
        <v>Official</v>
      </c>
      <c r="AH248" s="25" t="str">
        <f>_xlfn.XLOOKUP(tblMeasure[[#This Row],[id_src]],tblSource[id_src],tblSource[methodology_link])</f>
        <v>https://www.ons.gov.uk/economy/economicoutputandproductivity/publicservicesproductivity/articles/publicserviceproductivityadultsocialcareengland/financialyearending2019#quality-and-methodology</v>
      </c>
      <c r="AI248" s="25" t="str">
        <f>_xlfn.XLOOKUP(tblMeasure[[#This Row],[id_src]],tblSource[id_src],tblSource[quality_issues])</f>
        <v>https://www.ons.gov.uk/economy/economicoutputandproductivity/publicservicesproductivity/articles/publicserviceproductivityadultsocialcareengland/financialyearending2019#quality-and-methodology</v>
      </c>
      <c r="AJ248" s="25">
        <f>VLOOKUP(tblMeasure[[#This Row],[msr_population_or_survey]],strlu_msr_population_or_survey,2,FALSE)</f>
        <v>1</v>
      </c>
      <c r="AK248" s="25">
        <f>VLOOKUP(tblMeasure[[#This Row],[msr_min_geo_resolution]],strlu_msr_min_geo_resolution,2,FALSE)</f>
        <v>0</v>
      </c>
      <c r="AL248" s="25">
        <f>(MAX(tblMeasure[[#This Row],[src_year_last_published]]-2010+1,0)+MIN(2010-tblMeasure[[#This Row],[src_year_first_published]],0)-MAX(tblMeasure[[#This Row],[src_year_last_published]]-2019,0))/10</f>
        <v>1</v>
      </c>
      <c r="AM248" s="25">
        <f>IF(OR(tblMeasure[[#This Row],[src_discontinuity]]="None",tblMeasure[[#This Row],[src_discontinuity]]=0),1,0)</f>
        <v>0</v>
      </c>
      <c r="AN248" s="25">
        <f>VLOOKUP(tblMeasure[[#This Row],[src_pub_frequency]],strlu_src_pub_frequency,2,FALSE)</f>
        <v>0.8</v>
      </c>
      <c r="AO248" s="25">
        <f>VLOOKUP(tblMeasure[[#This Row],[src_pub_lag_months]],strlu_src_pub_lag_months,2,FALSE)</f>
        <v>0.2</v>
      </c>
      <c r="AP248" s="25">
        <f>VLOOKUP(tblMeasure[[#This Row],[src_statistic_class]],strlu_src_statistic_class,2,FALSE)</f>
        <v>1</v>
      </c>
      <c r="AQ248" s="25">
        <f>IF(tblMeasure[[#This Row],[src_methodology_url]]="TBD",0,1)</f>
        <v>1</v>
      </c>
      <c r="AR248" s="25">
        <f>IF(tblMeasure[[#This Row],[src_quality_url]]="TBD",0,1)</f>
        <v>1</v>
      </c>
      <c r="AS248" s="85" cm="1">
        <f t="array" ref="AS248">SUMPRODUCT(TRANSPOSE(tblMeasure[[#This Row],[str_msr_population_or_survey]:[str_src_quality_url]]),str_weights)/str_weights_total</f>
        <v>0.67692307692307696</v>
      </c>
    </row>
    <row r="249" spans="1:45" hidden="1" x14ac:dyDescent="0.15">
      <c r="A249" s="30">
        <v>247</v>
      </c>
      <c r="B249" s="15">
        <f>COUNTIF(requirement_measure_map!$D$3:$D$1514,measure!A249)</f>
        <v>3</v>
      </c>
      <c r="C249" s="30" t="s">
        <v>857</v>
      </c>
      <c r="D249" s="15" t="s">
        <v>70</v>
      </c>
      <c r="E249" s="15" t="s">
        <v>589</v>
      </c>
      <c r="F249" s="15" t="s">
        <v>908</v>
      </c>
      <c r="G249" s="29" t="s">
        <v>903</v>
      </c>
      <c r="H249" s="15"/>
      <c r="I249" s="15" t="s">
        <v>214</v>
      </c>
      <c r="J249" s="15" t="s">
        <v>215</v>
      </c>
      <c r="K249" s="15" t="s">
        <v>904</v>
      </c>
      <c r="L249" s="15" t="s">
        <v>233</v>
      </c>
      <c r="M249" s="15" t="s">
        <v>219</v>
      </c>
      <c r="N249" s="15" t="s">
        <v>219</v>
      </c>
      <c r="O249" s="15" t="s">
        <v>219</v>
      </c>
      <c r="P249" s="15" t="s">
        <v>219</v>
      </c>
      <c r="Q249" s="15" t="s">
        <v>219</v>
      </c>
      <c r="R249" s="15" t="s">
        <v>219</v>
      </c>
      <c r="S249" s="15" t="s">
        <v>219</v>
      </c>
      <c r="T249" s="15" t="s">
        <v>220</v>
      </c>
      <c r="U249" s="15" t="s">
        <v>220</v>
      </c>
      <c r="V249" s="15" t="s">
        <v>219</v>
      </c>
      <c r="W249" s="15">
        <v>15</v>
      </c>
      <c r="X249" s="15" t="str">
        <f>_xlfn.XLOOKUP(tblMeasure[[#This Row],[id_src]],tblSource[id_src],tblSource[org])</f>
        <v>ONS</v>
      </c>
      <c r="Y249" s="15" t="str">
        <f>_xlfn.XLOOKUP(tblMeasure[[#This Row],[id_src]],tblSource[id_src],tblSource[source])</f>
        <v>Public service productivity, adult social care, England</v>
      </c>
      <c r="Z249" s="15" t="str">
        <f>_xlfn.XLOOKUP(tblMeasure[[#This Row],[id_src]],tblSource[id_src],tblSource[url_source])</f>
        <v>https://www.ons.gov.uk/releases/publicserviceproductivityadultsocialcareenglandfinancialyearending2019</v>
      </c>
      <c r="AA249" s="15">
        <f>_xlfn.XLOOKUP(tblMeasure[[#This Row],[id_src]],tblSource[id_src],tblSource[year_first_published])</f>
        <v>1997</v>
      </c>
      <c r="AB249" s="15">
        <f>_xlfn.XLOOKUP(tblMeasure[[#This Row],[id_src]],tblSource[id_src],tblSource[year_last_published])</f>
        <v>2019</v>
      </c>
      <c r="AC249" s="15">
        <f>_xlfn.XLOOKUP(tblMeasure[[#This Row],[id_src]],tblSource[id_src],tblSource[discontinuity])</f>
        <v>2015</v>
      </c>
      <c r="AD249" s="15" t="str">
        <f>_xlfn.XLOOKUP(tblMeasure[[#This Row],[id_src]],tblSource[id_src],tblSource[publication_frequency])</f>
        <v>Annual</v>
      </c>
      <c r="AE249" s="15">
        <f>_xlfn.XLOOKUP(tblMeasure[[#This Row],[id_src]],tblSource[id_src],tblSource[publication_lag_months])</f>
        <v>8</v>
      </c>
      <c r="AF249" s="25" t="str">
        <f>_xlfn.XLOOKUP(tblMeasure[[#This Row],[id_src]],tblSource[id_src],tblSource[data_providers])</f>
        <v>Indirect</v>
      </c>
      <c r="AG249" s="25" t="str">
        <f>_xlfn.XLOOKUP(tblMeasure[[#This Row],[id_src]],tblSource[id_src],tblSource[statistic_class])</f>
        <v>Official</v>
      </c>
      <c r="AH249" s="25" t="str">
        <f>_xlfn.XLOOKUP(tblMeasure[[#This Row],[id_src]],tblSource[id_src],tblSource[methodology_link])</f>
        <v>https://www.ons.gov.uk/economy/economicoutputandproductivity/publicservicesproductivity/articles/publicserviceproductivityadultsocialcareengland/financialyearending2019#quality-and-methodology</v>
      </c>
      <c r="AI249" s="25" t="str">
        <f>_xlfn.XLOOKUP(tblMeasure[[#This Row],[id_src]],tblSource[id_src],tblSource[quality_issues])</f>
        <v>https://www.ons.gov.uk/economy/economicoutputandproductivity/publicservicesproductivity/articles/publicserviceproductivityadultsocialcareengland/financialyearending2019#quality-and-methodology</v>
      </c>
      <c r="AJ249" s="25">
        <f>VLOOKUP(tblMeasure[[#This Row],[msr_population_or_survey]],strlu_msr_population_or_survey,2,FALSE)</f>
        <v>1</v>
      </c>
      <c r="AK249" s="25">
        <f>VLOOKUP(tblMeasure[[#This Row],[msr_min_geo_resolution]],strlu_msr_min_geo_resolution,2,FALSE)</f>
        <v>0</v>
      </c>
      <c r="AL249" s="25">
        <f>(MAX(tblMeasure[[#This Row],[src_year_last_published]]-2010+1,0)+MIN(2010-tblMeasure[[#This Row],[src_year_first_published]],0)-MAX(tblMeasure[[#This Row],[src_year_last_published]]-2019,0))/10</f>
        <v>1</v>
      </c>
      <c r="AM249" s="25">
        <f>IF(OR(tblMeasure[[#This Row],[src_discontinuity]]="None",tblMeasure[[#This Row],[src_discontinuity]]=0),1,0)</f>
        <v>0</v>
      </c>
      <c r="AN249" s="25">
        <f>VLOOKUP(tblMeasure[[#This Row],[src_pub_frequency]],strlu_src_pub_frequency,2,FALSE)</f>
        <v>0.8</v>
      </c>
      <c r="AO249" s="25">
        <f>VLOOKUP(tblMeasure[[#This Row],[src_pub_lag_months]],strlu_src_pub_lag_months,2,FALSE)</f>
        <v>0.2</v>
      </c>
      <c r="AP249" s="25">
        <f>VLOOKUP(tblMeasure[[#This Row],[src_statistic_class]],strlu_src_statistic_class,2,FALSE)</f>
        <v>1</v>
      </c>
      <c r="AQ249" s="25">
        <f>IF(tblMeasure[[#This Row],[src_methodology_url]]="TBD",0,1)</f>
        <v>1</v>
      </c>
      <c r="AR249" s="25">
        <f>IF(tblMeasure[[#This Row],[src_quality_url]]="TBD",0,1)</f>
        <v>1</v>
      </c>
      <c r="AS249" s="85" cm="1">
        <f t="array" ref="AS249">SUMPRODUCT(TRANSPOSE(tblMeasure[[#This Row],[str_msr_population_or_survey]:[str_src_quality_url]]),str_weights)/str_weights_total</f>
        <v>0.67692307692307696</v>
      </c>
    </row>
    <row r="250" spans="1:45" hidden="1" x14ac:dyDescent="0.15">
      <c r="A250" s="30">
        <v>248</v>
      </c>
      <c r="B250" s="15">
        <f>COUNTIF(requirement_measure_map!$D$3:$D$1514,measure!A250)</f>
        <v>2</v>
      </c>
      <c r="C250" s="30" t="s">
        <v>857</v>
      </c>
      <c r="D250" s="15" t="s">
        <v>70</v>
      </c>
      <c r="E250" s="15" t="s">
        <v>592</v>
      </c>
      <c r="F250" s="15" t="s">
        <v>909</v>
      </c>
      <c r="G250" s="29" t="s">
        <v>903</v>
      </c>
      <c r="H250" s="15"/>
      <c r="I250" s="15" t="s">
        <v>214</v>
      </c>
      <c r="J250" s="15" t="s">
        <v>215</v>
      </c>
      <c r="K250" s="15" t="s">
        <v>904</v>
      </c>
      <c r="L250" s="15" t="s">
        <v>233</v>
      </c>
      <c r="M250" s="15" t="s">
        <v>219</v>
      </c>
      <c r="N250" s="15" t="s">
        <v>219</v>
      </c>
      <c r="O250" s="15" t="s">
        <v>219</v>
      </c>
      <c r="P250" s="15" t="s">
        <v>219</v>
      </c>
      <c r="Q250" s="15" t="s">
        <v>219</v>
      </c>
      <c r="R250" s="15" t="s">
        <v>219</v>
      </c>
      <c r="S250" s="15" t="s">
        <v>219</v>
      </c>
      <c r="T250" s="15" t="s">
        <v>219</v>
      </c>
      <c r="U250" s="15" t="s">
        <v>219</v>
      </c>
      <c r="V250" s="15" t="s">
        <v>219</v>
      </c>
      <c r="W250" s="15">
        <v>15</v>
      </c>
      <c r="X250" s="15" t="str">
        <f>_xlfn.XLOOKUP(tblMeasure[[#This Row],[id_src]],tblSource[id_src],tblSource[org])</f>
        <v>ONS</v>
      </c>
      <c r="Y250" s="15" t="str">
        <f>_xlfn.XLOOKUP(tblMeasure[[#This Row],[id_src]],tblSource[id_src],tblSource[source])</f>
        <v>Public service productivity, adult social care, England</v>
      </c>
      <c r="Z250" s="15" t="str">
        <f>_xlfn.XLOOKUP(tblMeasure[[#This Row],[id_src]],tblSource[id_src],tblSource[url_source])</f>
        <v>https://www.ons.gov.uk/releases/publicserviceproductivityadultsocialcareenglandfinancialyearending2019</v>
      </c>
      <c r="AA250" s="15">
        <f>_xlfn.XLOOKUP(tblMeasure[[#This Row],[id_src]],tblSource[id_src],tblSource[year_first_published])</f>
        <v>1997</v>
      </c>
      <c r="AB250" s="15">
        <f>_xlfn.XLOOKUP(tblMeasure[[#This Row],[id_src]],tblSource[id_src],tblSource[year_last_published])</f>
        <v>2019</v>
      </c>
      <c r="AC250" s="15">
        <f>_xlfn.XLOOKUP(tblMeasure[[#This Row],[id_src]],tblSource[id_src],tblSource[discontinuity])</f>
        <v>2015</v>
      </c>
      <c r="AD250" s="15" t="str">
        <f>_xlfn.XLOOKUP(tblMeasure[[#This Row],[id_src]],tblSource[id_src],tblSource[publication_frequency])</f>
        <v>Annual</v>
      </c>
      <c r="AE250" s="15">
        <f>_xlfn.XLOOKUP(tblMeasure[[#This Row],[id_src]],tblSource[id_src],tblSource[publication_lag_months])</f>
        <v>8</v>
      </c>
      <c r="AF250" s="25" t="str">
        <f>_xlfn.XLOOKUP(tblMeasure[[#This Row],[id_src]],tblSource[id_src],tblSource[data_providers])</f>
        <v>Indirect</v>
      </c>
      <c r="AG250" s="25" t="str">
        <f>_xlfn.XLOOKUP(tblMeasure[[#This Row],[id_src]],tblSource[id_src],tblSource[statistic_class])</f>
        <v>Official</v>
      </c>
      <c r="AH250" s="25" t="str">
        <f>_xlfn.XLOOKUP(tblMeasure[[#This Row],[id_src]],tblSource[id_src],tblSource[methodology_link])</f>
        <v>https://www.ons.gov.uk/economy/economicoutputandproductivity/publicservicesproductivity/articles/publicserviceproductivityadultsocialcareengland/financialyearending2019#quality-and-methodology</v>
      </c>
      <c r="AI250" s="25" t="str">
        <f>_xlfn.XLOOKUP(tblMeasure[[#This Row],[id_src]],tblSource[id_src],tblSource[quality_issues])</f>
        <v>https://www.ons.gov.uk/economy/economicoutputandproductivity/publicservicesproductivity/articles/publicserviceproductivityadultsocialcareengland/financialyearending2019#quality-and-methodology</v>
      </c>
      <c r="AJ250" s="25">
        <f>VLOOKUP(tblMeasure[[#This Row],[msr_population_or_survey]],strlu_msr_population_or_survey,2,FALSE)</f>
        <v>1</v>
      </c>
      <c r="AK250" s="25">
        <f>VLOOKUP(tblMeasure[[#This Row],[msr_min_geo_resolution]],strlu_msr_min_geo_resolution,2,FALSE)</f>
        <v>0</v>
      </c>
      <c r="AL250" s="25">
        <f>(MAX(tblMeasure[[#This Row],[src_year_last_published]]-2010+1,0)+MIN(2010-tblMeasure[[#This Row],[src_year_first_published]],0)-MAX(tblMeasure[[#This Row],[src_year_last_published]]-2019,0))/10</f>
        <v>1</v>
      </c>
      <c r="AM250" s="25">
        <f>IF(OR(tblMeasure[[#This Row],[src_discontinuity]]="None",tblMeasure[[#This Row],[src_discontinuity]]=0),1,0)</f>
        <v>0</v>
      </c>
      <c r="AN250" s="25">
        <f>VLOOKUP(tblMeasure[[#This Row],[src_pub_frequency]],strlu_src_pub_frequency,2,FALSE)</f>
        <v>0.8</v>
      </c>
      <c r="AO250" s="25">
        <f>VLOOKUP(tblMeasure[[#This Row],[src_pub_lag_months]],strlu_src_pub_lag_months,2,FALSE)</f>
        <v>0.2</v>
      </c>
      <c r="AP250" s="25">
        <f>VLOOKUP(tblMeasure[[#This Row],[src_statistic_class]],strlu_src_statistic_class,2,FALSE)</f>
        <v>1</v>
      </c>
      <c r="AQ250" s="25">
        <f>IF(tblMeasure[[#This Row],[src_methodology_url]]="TBD",0,1)</f>
        <v>1</v>
      </c>
      <c r="AR250" s="25">
        <f>IF(tblMeasure[[#This Row],[src_quality_url]]="TBD",0,1)</f>
        <v>1</v>
      </c>
      <c r="AS250" s="85" cm="1">
        <f t="array" ref="AS250">SUMPRODUCT(TRANSPOSE(tblMeasure[[#This Row],[str_msr_population_or_survey]:[str_src_quality_url]]),str_weights)/str_weights_total</f>
        <v>0.67692307692307696</v>
      </c>
    </row>
    <row r="251" spans="1:45" hidden="1" x14ac:dyDescent="0.15">
      <c r="A251" s="30">
        <v>249</v>
      </c>
      <c r="B251" s="15">
        <f>COUNTIF(requirement_measure_map!$D$3:$D$1514,measure!A251)</f>
        <v>3</v>
      </c>
      <c r="C251" s="30" t="s">
        <v>857</v>
      </c>
      <c r="D251" s="15" t="s">
        <v>70</v>
      </c>
      <c r="E251" s="15" t="s">
        <v>595</v>
      </c>
      <c r="F251" s="15" t="s">
        <v>910</v>
      </c>
      <c r="G251" s="29" t="s">
        <v>903</v>
      </c>
      <c r="H251" s="15"/>
      <c r="I251" s="15" t="s">
        <v>214</v>
      </c>
      <c r="J251" s="15" t="s">
        <v>215</v>
      </c>
      <c r="K251" s="15" t="s">
        <v>904</v>
      </c>
      <c r="L251" s="15" t="s">
        <v>233</v>
      </c>
      <c r="M251" s="15" t="s">
        <v>220</v>
      </c>
      <c r="N251" s="15" t="s">
        <v>219</v>
      </c>
      <c r="O251" s="15" t="s">
        <v>219</v>
      </c>
      <c r="P251" s="15" t="s">
        <v>219</v>
      </c>
      <c r="Q251" s="15" t="s">
        <v>219</v>
      </c>
      <c r="R251" s="15" t="s">
        <v>219</v>
      </c>
      <c r="S251" s="15" t="s">
        <v>219</v>
      </c>
      <c r="T251" s="15" t="s">
        <v>219</v>
      </c>
      <c r="U251" s="15" t="s">
        <v>219</v>
      </c>
      <c r="V251" s="15" t="s">
        <v>219</v>
      </c>
      <c r="W251" s="15">
        <v>15</v>
      </c>
      <c r="X251" s="15" t="str">
        <f>_xlfn.XLOOKUP(tblMeasure[[#This Row],[id_src]],tblSource[id_src],tblSource[org])</f>
        <v>ONS</v>
      </c>
      <c r="Y251" s="15" t="str">
        <f>_xlfn.XLOOKUP(tblMeasure[[#This Row],[id_src]],tblSource[id_src],tblSource[source])</f>
        <v>Public service productivity, adult social care, England</v>
      </c>
      <c r="Z251" s="15" t="str">
        <f>_xlfn.XLOOKUP(tblMeasure[[#This Row],[id_src]],tblSource[id_src],tblSource[url_source])</f>
        <v>https://www.ons.gov.uk/releases/publicserviceproductivityadultsocialcareenglandfinancialyearending2019</v>
      </c>
      <c r="AA251" s="15">
        <f>_xlfn.XLOOKUP(tblMeasure[[#This Row],[id_src]],tblSource[id_src],tblSource[year_first_published])</f>
        <v>1997</v>
      </c>
      <c r="AB251" s="15">
        <f>_xlfn.XLOOKUP(tblMeasure[[#This Row],[id_src]],tblSource[id_src],tblSource[year_last_published])</f>
        <v>2019</v>
      </c>
      <c r="AC251" s="15">
        <f>_xlfn.XLOOKUP(tblMeasure[[#This Row],[id_src]],tblSource[id_src],tblSource[discontinuity])</f>
        <v>2015</v>
      </c>
      <c r="AD251" s="15" t="str">
        <f>_xlfn.XLOOKUP(tblMeasure[[#This Row],[id_src]],tblSource[id_src],tblSource[publication_frequency])</f>
        <v>Annual</v>
      </c>
      <c r="AE251" s="15">
        <f>_xlfn.XLOOKUP(tblMeasure[[#This Row],[id_src]],tblSource[id_src],tblSource[publication_lag_months])</f>
        <v>8</v>
      </c>
      <c r="AF251" s="25" t="str">
        <f>_xlfn.XLOOKUP(tblMeasure[[#This Row],[id_src]],tblSource[id_src],tblSource[data_providers])</f>
        <v>Indirect</v>
      </c>
      <c r="AG251" s="25" t="str">
        <f>_xlfn.XLOOKUP(tblMeasure[[#This Row],[id_src]],tblSource[id_src],tblSource[statistic_class])</f>
        <v>Official</v>
      </c>
      <c r="AH251" s="25" t="str">
        <f>_xlfn.XLOOKUP(tblMeasure[[#This Row],[id_src]],tblSource[id_src],tblSource[methodology_link])</f>
        <v>https://www.ons.gov.uk/economy/economicoutputandproductivity/publicservicesproductivity/articles/publicserviceproductivityadultsocialcareengland/financialyearending2019#quality-and-methodology</v>
      </c>
      <c r="AI251" s="25" t="str">
        <f>_xlfn.XLOOKUP(tblMeasure[[#This Row],[id_src]],tblSource[id_src],tblSource[quality_issues])</f>
        <v>https://www.ons.gov.uk/economy/economicoutputandproductivity/publicservicesproductivity/articles/publicserviceproductivityadultsocialcareengland/financialyearending2019#quality-and-methodology</v>
      </c>
      <c r="AJ251" s="25">
        <f>VLOOKUP(tblMeasure[[#This Row],[msr_population_or_survey]],strlu_msr_population_or_survey,2,FALSE)</f>
        <v>1</v>
      </c>
      <c r="AK251" s="25">
        <f>VLOOKUP(tblMeasure[[#This Row],[msr_min_geo_resolution]],strlu_msr_min_geo_resolution,2,FALSE)</f>
        <v>0</v>
      </c>
      <c r="AL251" s="25">
        <f>(MAX(tblMeasure[[#This Row],[src_year_last_published]]-2010+1,0)+MIN(2010-tblMeasure[[#This Row],[src_year_first_published]],0)-MAX(tblMeasure[[#This Row],[src_year_last_published]]-2019,0))/10</f>
        <v>1</v>
      </c>
      <c r="AM251" s="25">
        <f>IF(OR(tblMeasure[[#This Row],[src_discontinuity]]="None",tblMeasure[[#This Row],[src_discontinuity]]=0),1,0)</f>
        <v>0</v>
      </c>
      <c r="AN251" s="25">
        <f>VLOOKUP(tblMeasure[[#This Row],[src_pub_frequency]],strlu_src_pub_frequency,2,FALSE)</f>
        <v>0.8</v>
      </c>
      <c r="AO251" s="25">
        <f>VLOOKUP(tblMeasure[[#This Row],[src_pub_lag_months]],strlu_src_pub_lag_months,2,FALSE)</f>
        <v>0.2</v>
      </c>
      <c r="AP251" s="25">
        <f>VLOOKUP(tblMeasure[[#This Row],[src_statistic_class]],strlu_src_statistic_class,2,FALSE)</f>
        <v>1</v>
      </c>
      <c r="AQ251" s="25">
        <f>IF(tblMeasure[[#This Row],[src_methodology_url]]="TBD",0,1)</f>
        <v>1</v>
      </c>
      <c r="AR251" s="25">
        <f>IF(tblMeasure[[#This Row],[src_quality_url]]="TBD",0,1)</f>
        <v>1</v>
      </c>
      <c r="AS251" s="85" cm="1">
        <f t="array" ref="AS251">SUMPRODUCT(TRANSPOSE(tblMeasure[[#This Row],[str_msr_population_or_survey]:[str_src_quality_url]]),str_weights)/str_weights_total</f>
        <v>0.67692307692307696</v>
      </c>
    </row>
    <row r="252" spans="1:45" hidden="1" x14ac:dyDescent="0.15">
      <c r="A252" s="30">
        <v>250</v>
      </c>
      <c r="B252" s="15">
        <f>COUNTIF(requirement_measure_map!$D$3:$D$1514,measure!A252)</f>
        <v>3</v>
      </c>
      <c r="C252" s="30" t="s">
        <v>857</v>
      </c>
      <c r="D252" s="15" t="s">
        <v>70</v>
      </c>
      <c r="E252" s="15" t="s">
        <v>598</v>
      </c>
      <c r="F252" s="15" t="s">
        <v>911</v>
      </c>
      <c r="G252" s="29" t="s">
        <v>903</v>
      </c>
      <c r="H252" s="15"/>
      <c r="I252" s="15" t="s">
        <v>214</v>
      </c>
      <c r="J252" s="15" t="s">
        <v>215</v>
      </c>
      <c r="K252" s="15" t="s">
        <v>904</v>
      </c>
      <c r="L252" s="15" t="s">
        <v>233</v>
      </c>
      <c r="M252" s="15" t="s">
        <v>220</v>
      </c>
      <c r="N252" s="15" t="s">
        <v>219</v>
      </c>
      <c r="O252" s="15" t="s">
        <v>219</v>
      </c>
      <c r="P252" s="15" t="s">
        <v>219</v>
      </c>
      <c r="Q252" s="15" t="s">
        <v>219</v>
      </c>
      <c r="R252" s="15" t="s">
        <v>219</v>
      </c>
      <c r="S252" s="15" t="s">
        <v>219</v>
      </c>
      <c r="T252" s="15" t="s">
        <v>219</v>
      </c>
      <c r="U252" s="15" t="s">
        <v>219</v>
      </c>
      <c r="V252" s="15" t="s">
        <v>219</v>
      </c>
      <c r="W252" s="15">
        <v>15</v>
      </c>
      <c r="X252" s="15" t="str">
        <f>_xlfn.XLOOKUP(tblMeasure[[#This Row],[id_src]],tblSource[id_src],tblSource[org])</f>
        <v>ONS</v>
      </c>
      <c r="Y252" s="15" t="str">
        <f>_xlfn.XLOOKUP(tblMeasure[[#This Row],[id_src]],tblSource[id_src],tblSource[source])</f>
        <v>Public service productivity, adult social care, England</v>
      </c>
      <c r="Z252" s="15" t="str">
        <f>_xlfn.XLOOKUP(tblMeasure[[#This Row],[id_src]],tblSource[id_src],tblSource[url_source])</f>
        <v>https://www.ons.gov.uk/releases/publicserviceproductivityadultsocialcareenglandfinancialyearending2019</v>
      </c>
      <c r="AA252" s="15">
        <f>_xlfn.XLOOKUP(tblMeasure[[#This Row],[id_src]],tblSource[id_src],tblSource[year_first_published])</f>
        <v>1997</v>
      </c>
      <c r="AB252" s="15">
        <f>_xlfn.XLOOKUP(tblMeasure[[#This Row],[id_src]],tblSource[id_src],tblSource[year_last_published])</f>
        <v>2019</v>
      </c>
      <c r="AC252" s="15">
        <f>_xlfn.XLOOKUP(tblMeasure[[#This Row],[id_src]],tblSource[id_src],tblSource[discontinuity])</f>
        <v>2015</v>
      </c>
      <c r="AD252" s="15" t="str">
        <f>_xlfn.XLOOKUP(tblMeasure[[#This Row],[id_src]],tblSource[id_src],tblSource[publication_frequency])</f>
        <v>Annual</v>
      </c>
      <c r="AE252" s="15">
        <f>_xlfn.XLOOKUP(tblMeasure[[#This Row],[id_src]],tblSource[id_src],tblSource[publication_lag_months])</f>
        <v>8</v>
      </c>
      <c r="AF252" s="25" t="str">
        <f>_xlfn.XLOOKUP(tblMeasure[[#This Row],[id_src]],tblSource[id_src],tblSource[data_providers])</f>
        <v>Indirect</v>
      </c>
      <c r="AG252" s="25" t="str">
        <f>_xlfn.XLOOKUP(tblMeasure[[#This Row],[id_src]],tblSource[id_src],tblSource[statistic_class])</f>
        <v>Official</v>
      </c>
      <c r="AH252" s="25" t="str">
        <f>_xlfn.XLOOKUP(tblMeasure[[#This Row],[id_src]],tblSource[id_src],tblSource[methodology_link])</f>
        <v>https://www.ons.gov.uk/economy/economicoutputandproductivity/publicservicesproductivity/articles/publicserviceproductivityadultsocialcareengland/financialyearending2019#quality-and-methodology</v>
      </c>
      <c r="AI252" s="25" t="str">
        <f>_xlfn.XLOOKUP(tblMeasure[[#This Row],[id_src]],tblSource[id_src],tblSource[quality_issues])</f>
        <v>https://www.ons.gov.uk/economy/economicoutputandproductivity/publicservicesproductivity/articles/publicserviceproductivityadultsocialcareengland/financialyearending2019#quality-and-methodology</v>
      </c>
      <c r="AJ252" s="25">
        <f>VLOOKUP(tblMeasure[[#This Row],[msr_population_or_survey]],strlu_msr_population_or_survey,2,FALSE)</f>
        <v>1</v>
      </c>
      <c r="AK252" s="25">
        <f>VLOOKUP(tblMeasure[[#This Row],[msr_min_geo_resolution]],strlu_msr_min_geo_resolution,2,FALSE)</f>
        <v>0</v>
      </c>
      <c r="AL252" s="25">
        <f>(MAX(tblMeasure[[#This Row],[src_year_last_published]]-2010+1,0)+MIN(2010-tblMeasure[[#This Row],[src_year_first_published]],0)-MAX(tblMeasure[[#This Row],[src_year_last_published]]-2019,0))/10</f>
        <v>1</v>
      </c>
      <c r="AM252" s="25">
        <f>IF(OR(tblMeasure[[#This Row],[src_discontinuity]]="None",tblMeasure[[#This Row],[src_discontinuity]]=0),1,0)</f>
        <v>0</v>
      </c>
      <c r="AN252" s="25">
        <f>VLOOKUP(tblMeasure[[#This Row],[src_pub_frequency]],strlu_src_pub_frequency,2,FALSE)</f>
        <v>0.8</v>
      </c>
      <c r="AO252" s="25">
        <f>VLOOKUP(tblMeasure[[#This Row],[src_pub_lag_months]],strlu_src_pub_lag_months,2,FALSE)</f>
        <v>0.2</v>
      </c>
      <c r="AP252" s="25">
        <f>VLOOKUP(tblMeasure[[#This Row],[src_statistic_class]],strlu_src_statistic_class,2,FALSE)</f>
        <v>1</v>
      </c>
      <c r="AQ252" s="25">
        <f>IF(tblMeasure[[#This Row],[src_methodology_url]]="TBD",0,1)</f>
        <v>1</v>
      </c>
      <c r="AR252" s="25">
        <f>IF(tblMeasure[[#This Row],[src_quality_url]]="TBD",0,1)</f>
        <v>1</v>
      </c>
      <c r="AS252" s="85" cm="1">
        <f t="array" ref="AS252">SUMPRODUCT(TRANSPOSE(tblMeasure[[#This Row],[str_msr_population_or_survey]:[str_src_quality_url]]),str_weights)/str_weights_total</f>
        <v>0.67692307692307696</v>
      </c>
    </row>
    <row r="253" spans="1:45" hidden="1" x14ac:dyDescent="0.15">
      <c r="A253" s="30">
        <v>251</v>
      </c>
      <c r="B253" s="15">
        <f>COUNTIF(requirement_measure_map!$D$3:$D$1514,measure!A253)</f>
        <v>6</v>
      </c>
      <c r="C253" s="30" t="s">
        <v>857</v>
      </c>
      <c r="D253" s="15" t="s">
        <v>912</v>
      </c>
      <c r="E253" s="15" t="s">
        <v>601</v>
      </c>
      <c r="F253" s="15" t="s">
        <v>913</v>
      </c>
      <c r="G253" s="29" t="s">
        <v>903</v>
      </c>
      <c r="H253" s="15"/>
      <c r="I253" s="15" t="s">
        <v>214</v>
      </c>
      <c r="J253" s="15" t="s">
        <v>215</v>
      </c>
      <c r="K253" s="15" t="s">
        <v>914</v>
      </c>
      <c r="L253" s="15" t="s">
        <v>233</v>
      </c>
      <c r="M253" s="15" t="s">
        <v>219</v>
      </c>
      <c r="N253" s="15" t="s">
        <v>219</v>
      </c>
      <c r="O253" s="15" t="s">
        <v>219</v>
      </c>
      <c r="P253" s="15" t="s">
        <v>219</v>
      </c>
      <c r="Q253" s="15" t="s">
        <v>219</v>
      </c>
      <c r="R253" s="15" t="s">
        <v>218</v>
      </c>
      <c r="S253" s="15" t="s">
        <v>219</v>
      </c>
      <c r="T253" s="15" t="s">
        <v>219</v>
      </c>
      <c r="U253" s="15" t="s">
        <v>218</v>
      </c>
      <c r="V253" s="15" t="s">
        <v>219</v>
      </c>
      <c r="W253" s="15">
        <v>15</v>
      </c>
      <c r="X253" s="15" t="str">
        <f>_xlfn.XLOOKUP(tblMeasure[[#This Row],[id_src]],tblSource[id_src],tblSource[org])</f>
        <v>ONS</v>
      </c>
      <c r="Y253" s="15" t="str">
        <f>_xlfn.XLOOKUP(tblMeasure[[#This Row],[id_src]],tblSource[id_src],tblSource[source])</f>
        <v>Public service productivity, adult social care, England</v>
      </c>
      <c r="Z253" s="15" t="str">
        <f>_xlfn.XLOOKUP(tblMeasure[[#This Row],[id_src]],tblSource[id_src],tblSource[url_source])</f>
        <v>https://www.ons.gov.uk/releases/publicserviceproductivityadultsocialcareenglandfinancialyearending2019</v>
      </c>
      <c r="AA253" s="15">
        <f>_xlfn.XLOOKUP(tblMeasure[[#This Row],[id_src]],tblSource[id_src],tblSource[year_first_published])</f>
        <v>1997</v>
      </c>
      <c r="AB253" s="15">
        <f>_xlfn.XLOOKUP(tblMeasure[[#This Row],[id_src]],tblSource[id_src],tblSource[year_last_published])</f>
        <v>2019</v>
      </c>
      <c r="AC253" s="15">
        <f>_xlfn.XLOOKUP(tblMeasure[[#This Row],[id_src]],tblSource[id_src],tblSource[discontinuity])</f>
        <v>2015</v>
      </c>
      <c r="AD253" s="15" t="str">
        <f>_xlfn.XLOOKUP(tblMeasure[[#This Row],[id_src]],tblSource[id_src],tblSource[publication_frequency])</f>
        <v>Annual</v>
      </c>
      <c r="AE253" s="15">
        <f>_xlfn.XLOOKUP(tblMeasure[[#This Row],[id_src]],tblSource[id_src],tblSource[publication_lag_months])</f>
        <v>8</v>
      </c>
      <c r="AF253" s="25" t="str">
        <f>_xlfn.XLOOKUP(tblMeasure[[#This Row],[id_src]],tblSource[id_src],tblSource[data_providers])</f>
        <v>Indirect</v>
      </c>
      <c r="AG253" s="25" t="str">
        <f>_xlfn.XLOOKUP(tblMeasure[[#This Row],[id_src]],tblSource[id_src],tblSource[statistic_class])</f>
        <v>Official</v>
      </c>
      <c r="AH253" s="25" t="str">
        <f>_xlfn.XLOOKUP(tblMeasure[[#This Row],[id_src]],tblSource[id_src],tblSource[methodology_link])</f>
        <v>https://www.ons.gov.uk/economy/economicoutputandproductivity/publicservicesproductivity/articles/publicserviceproductivityadultsocialcareengland/financialyearending2019#quality-and-methodology</v>
      </c>
      <c r="AI253" s="25" t="str">
        <f>_xlfn.XLOOKUP(tblMeasure[[#This Row],[id_src]],tblSource[id_src],tblSource[quality_issues])</f>
        <v>https://www.ons.gov.uk/economy/economicoutputandproductivity/publicservicesproductivity/articles/publicserviceproductivityadultsocialcareengland/financialyearending2019#quality-and-methodology</v>
      </c>
      <c r="AJ253" s="25">
        <f>VLOOKUP(tblMeasure[[#This Row],[msr_population_or_survey]],strlu_msr_population_or_survey,2,FALSE)</f>
        <v>1</v>
      </c>
      <c r="AK253" s="25">
        <f>VLOOKUP(tblMeasure[[#This Row],[msr_min_geo_resolution]],strlu_msr_min_geo_resolution,2,FALSE)</f>
        <v>0</v>
      </c>
      <c r="AL253" s="25">
        <f>(MAX(tblMeasure[[#This Row],[src_year_last_published]]-2010+1,0)+MIN(2010-tblMeasure[[#This Row],[src_year_first_published]],0)-MAX(tblMeasure[[#This Row],[src_year_last_published]]-2019,0))/10</f>
        <v>1</v>
      </c>
      <c r="AM253" s="25">
        <f>IF(OR(tblMeasure[[#This Row],[src_discontinuity]]="None",tblMeasure[[#This Row],[src_discontinuity]]=0),1,0)</f>
        <v>0</v>
      </c>
      <c r="AN253" s="25">
        <f>VLOOKUP(tblMeasure[[#This Row],[src_pub_frequency]],strlu_src_pub_frequency,2,FALSE)</f>
        <v>0.8</v>
      </c>
      <c r="AO253" s="25">
        <f>VLOOKUP(tblMeasure[[#This Row],[src_pub_lag_months]],strlu_src_pub_lag_months,2,FALSE)</f>
        <v>0.2</v>
      </c>
      <c r="AP253" s="25">
        <f>VLOOKUP(tblMeasure[[#This Row],[src_statistic_class]],strlu_src_statistic_class,2,FALSE)</f>
        <v>1</v>
      </c>
      <c r="AQ253" s="25">
        <f>IF(tblMeasure[[#This Row],[src_methodology_url]]="TBD",0,1)</f>
        <v>1</v>
      </c>
      <c r="AR253" s="25">
        <f>IF(tblMeasure[[#This Row],[src_quality_url]]="TBD",0,1)</f>
        <v>1</v>
      </c>
      <c r="AS253" s="85" cm="1">
        <f t="array" ref="AS253">SUMPRODUCT(TRANSPOSE(tblMeasure[[#This Row],[str_msr_population_or_survey]:[str_src_quality_url]]),str_weights)/str_weights_total</f>
        <v>0.67692307692307696</v>
      </c>
    </row>
    <row r="254" spans="1:45" hidden="1" x14ac:dyDescent="0.15">
      <c r="A254" s="30">
        <v>252</v>
      </c>
      <c r="B254" s="15">
        <f>COUNTIF(requirement_measure_map!$D$3:$D$1514,measure!A254)</f>
        <v>6</v>
      </c>
      <c r="C254" s="30" t="s">
        <v>857</v>
      </c>
      <c r="D254" s="15" t="s">
        <v>912</v>
      </c>
      <c r="E254" s="15" t="s">
        <v>604</v>
      </c>
      <c r="F254" s="15" t="s">
        <v>915</v>
      </c>
      <c r="G254" s="29" t="s">
        <v>903</v>
      </c>
      <c r="H254" s="15"/>
      <c r="I254" s="15" t="s">
        <v>214</v>
      </c>
      <c r="J254" s="15" t="s">
        <v>215</v>
      </c>
      <c r="K254" s="15" t="s">
        <v>916</v>
      </c>
      <c r="L254" s="15" t="s">
        <v>233</v>
      </c>
      <c r="M254" s="15" t="s">
        <v>218</v>
      </c>
      <c r="N254" s="15" t="s">
        <v>219</v>
      </c>
      <c r="O254" s="15" t="s">
        <v>219</v>
      </c>
      <c r="P254" s="15" t="s">
        <v>219</v>
      </c>
      <c r="Q254" s="15" t="s">
        <v>219</v>
      </c>
      <c r="R254" s="15" t="s">
        <v>219</v>
      </c>
      <c r="S254" s="15" t="s">
        <v>219</v>
      </c>
      <c r="T254" s="15" t="s">
        <v>219</v>
      </c>
      <c r="U254" s="15" t="s">
        <v>218</v>
      </c>
      <c r="V254" s="15" t="s">
        <v>219</v>
      </c>
      <c r="W254" s="15">
        <v>15</v>
      </c>
      <c r="X254" s="15" t="str">
        <f>_xlfn.XLOOKUP(tblMeasure[[#This Row],[id_src]],tblSource[id_src],tblSource[org])</f>
        <v>ONS</v>
      </c>
      <c r="Y254" s="15" t="str">
        <f>_xlfn.XLOOKUP(tblMeasure[[#This Row],[id_src]],tblSource[id_src],tblSource[source])</f>
        <v>Public service productivity, adult social care, England</v>
      </c>
      <c r="Z254" s="15" t="str">
        <f>_xlfn.XLOOKUP(tblMeasure[[#This Row],[id_src]],tblSource[id_src],tblSource[url_source])</f>
        <v>https://www.ons.gov.uk/releases/publicserviceproductivityadultsocialcareenglandfinancialyearending2019</v>
      </c>
      <c r="AA254" s="15">
        <f>_xlfn.XLOOKUP(tblMeasure[[#This Row],[id_src]],tblSource[id_src],tblSource[year_first_published])</f>
        <v>1997</v>
      </c>
      <c r="AB254" s="15">
        <f>_xlfn.XLOOKUP(tblMeasure[[#This Row],[id_src]],tblSource[id_src],tblSource[year_last_published])</f>
        <v>2019</v>
      </c>
      <c r="AC254" s="15">
        <f>_xlfn.XLOOKUP(tblMeasure[[#This Row],[id_src]],tblSource[id_src],tblSource[discontinuity])</f>
        <v>2015</v>
      </c>
      <c r="AD254" s="15" t="str">
        <f>_xlfn.XLOOKUP(tblMeasure[[#This Row],[id_src]],tblSource[id_src],tblSource[publication_frequency])</f>
        <v>Annual</v>
      </c>
      <c r="AE254" s="15">
        <f>_xlfn.XLOOKUP(tblMeasure[[#This Row],[id_src]],tblSource[id_src],tblSource[publication_lag_months])</f>
        <v>8</v>
      </c>
      <c r="AF254" s="25" t="str">
        <f>_xlfn.XLOOKUP(tblMeasure[[#This Row],[id_src]],tblSource[id_src],tblSource[data_providers])</f>
        <v>Indirect</v>
      </c>
      <c r="AG254" s="25" t="str">
        <f>_xlfn.XLOOKUP(tblMeasure[[#This Row],[id_src]],tblSource[id_src],tblSource[statistic_class])</f>
        <v>Official</v>
      </c>
      <c r="AH254" s="25" t="str">
        <f>_xlfn.XLOOKUP(tblMeasure[[#This Row],[id_src]],tblSource[id_src],tblSource[methodology_link])</f>
        <v>https://www.ons.gov.uk/economy/economicoutputandproductivity/publicservicesproductivity/articles/publicserviceproductivityadultsocialcareengland/financialyearending2019#quality-and-methodology</v>
      </c>
      <c r="AI254" s="25" t="str">
        <f>_xlfn.XLOOKUP(tblMeasure[[#This Row],[id_src]],tblSource[id_src],tblSource[quality_issues])</f>
        <v>https://www.ons.gov.uk/economy/economicoutputandproductivity/publicservicesproductivity/articles/publicserviceproductivityadultsocialcareengland/financialyearending2019#quality-and-methodology</v>
      </c>
      <c r="AJ254" s="25">
        <f>VLOOKUP(tblMeasure[[#This Row],[msr_population_or_survey]],strlu_msr_population_or_survey,2,FALSE)</f>
        <v>1</v>
      </c>
      <c r="AK254" s="25">
        <f>VLOOKUP(tblMeasure[[#This Row],[msr_min_geo_resolution]],strlu_msr_min_geo_resolution,2,FALSE)</f>
        <v>0</v>
      </c>
      <c r="AL254" s="25">
        <f>(MAX(tblMeasure[[#This Row],[src_year_last_published]]-2010+1,0)+MIN(2010-tblMeasure[[#This Row],[src_year_first_published]],0)-MAX(tblMeasure[[#This Row],[src_year_last_published]]-2019,0))/10</f>
        <v>1</v>
      </c>
      <c r="AM254" s="25">
        <f>IF(OR(tblMeasure[[#This Row],[src_discontinuity]]="None",tblMeasure[[#This Row],[src_discontinuity]]=0),1,0)</f>
        <v>0</v>
      </c>
      <c r="AN254" s="25">
        <f>VLOOKUP(tblMeasure[[#This Row],[src_pub_frequency]],strlu_src_pub_frequency,2,FALSE)</f>
        <v>0.8</v>
      </c>
      <c r="AO254" s="25">
        <f>VLOOKUP(tblMeasure[[#This Row],[src_pub_lag_months]],strlu_src_pub_lag_months,2,FALSE)</f>
        <v>0.2</v>
      </c>
      <c r="AP254" s="25">
        <f>VLOOKUP(tblMeasure[[#This Row],[src_statistic_class]],strlu_src_statistic_class,2,FALSE)</f>
        <v>1</v>
      </c>
      <c r="AQ254" s="25">
        <f>IF(tblMeasure[[#This Row],[src_methodology_url]]="TBD",0,1)</f>
        <v>1</v>
      </c>
      <c r="AR254" s="25">
        <f>IF(tblMeasure[[#This Row],[src_quality_url]]="TBD",0,1)</f>
        <v>1</v>
      </c>
      <c r="AS254" s="85" cm="1">
        <f t="array" ref="AS254">SUMPRODUCT(TRANSPOSE(tblMeasure[[#This Row],[str_msr_population_or_survey]:[str_src_quality_url]]),str_weights)/str_weights_total</f>
        <v>0.67692307692307696</v>
      </c>
    </row>
    <row r="255" spans="1:45" hidden="1" x14ac:dyDescent="0.15">
      <c r="A255" s="30">
        <v>253</v>
      </c>
      <c r="B255" s="15">
        <f>COUNTIF(requirement_measure_map!$D$3:$D$1514,measure!A255)</f>
        <v>2</v>
      </c>
      <c r="C255" s="30" t="s">
        <v>857</v>
      </c>
      <c r="D255" s="15" t="s">
        <v>917</v>
      </c>
      <c r="E255" s="15">
        <v>92489</v>
      </c>
      <c r="F255" s="15" t="s">
        <v>918</v>
      </c>
      <c r="G255" s="29" t="s">
        <v>919</v>
      </c>
      <c r="H255" s="15"/>
      <c r="I255" s="15" t="s">
        <v>214</v>
      </c>
      <c r="J255" s="15" t="s">
        <v>215</v>
      </c>
      <c r="K255" s="15" t="s">
        <v>920</v>
      </c>
      <c r="L255" s="15" t="s">
        <v>217</v>
      </c>
      <c r="M255" s="15" t="s">
        <v>219</v>
      </c>
      <c r="N255" s="15" t="s">
        <v>219</v>
      </c>
      <c r="O255" s="15" t="s">
        <v>219</v>
      </c>
      <c r="P255" s="15" t="s">
        <v>219</v>
      </c>
      <c r="Q255" s="15" t="s">
        <v>219</v>
      </c>
      <c r="R255" s="15" t="s">
        <v>219</v>
      </c>
      <c r="S255" s="15" t="s">
        <v>219</v>
      </c>
      <c r="T255" s="15" t="s">
        <v>219</v>
      </c>
      <c r="U255" s="15" t="s">
        <v>220</v>
      </c>
      <c r="V255" s="15" t="s">
        <v>219</v>
      </c>
      <c r="W255" s="15">
        <v>16</v>
      </c>
      <c r="X255" s="15" t="str">
        <f>_xlfn.XLOOKUP(tblMeasure[[#This Row],[id_src]],tblSource[id_src],tblSource[org])</f>
        <v>PHE</v>
      </c>
      <c r="Y255" s="15" t="str">
        <f>_xlfn.XLOOKUP(tblMeasure[[#This Row],[id_src]],tblSource[id_src],tblSource[source])</f>
        <v>Palliative and End of Life Care Profiles - Care Homes and Community</v>
      </c>
      <c r="Z255" s="15" t="str">
        <f>_xlfn.XLOOKUP(tblMeasure[[#This Row],[id_src]],tblSource[id_src],tblSource[url_source])</f>
        <v>https://fingertips.phe.org.uk/profile/end-of-life/data#page/4/gid/1938133060/pat/6/par/E12000004/ati/102/are/E06000015/iid/92490/age/162/sex/4</v>
      </c>
      <c r="AA255" s="15">
        <f>_xlfn.XLOOKUP(tblMeasure[[#This Row],[id_src]],tblSource[id_src],tblSource[year_first_published])</f>
        <v>2012</v>
      </c>
      <c r="AB255" s="15">
        <f>_xlfn.XLOOKUP(tblMeasure[[#This Row],[id_src]],tblSource[id_src],tblSource[year_last_published])</f>
        <v>2018</v>
      </c>
      <c r="AC255" s="15">
        <f>_xlfn.XLOOKUP(tblMeasure[[#This Row],[id_src]],tblSource[id_src],tblSource[discontinuity])</f>
        <v>0</v>
      </c>
      <c r="AD255" s="15" t="str">
        <f>_xlfn.XLOOKUP(tblMeasure[[#This Row],[id_src]],tblSource[id_src],tblSource[publication_frequency])</f>
        <v>Annual</v>
      </c>
      <c r="AE255" s="15" t="str">
        <f>_xlfn.XLOOKUP(tblMeasure[[#This Row],[id_src]],tblSource[id_src],tblSource[publication_lag_months])</f>
        <v>TBD</v>
      </c>
      <c r="AF255" s="25" t="str">
        <f>_xlfn.XLOOKUP(tblMeasure[[#This Row],[id_src]],tblSource[id_src],tblSource[data_providers])</f>
        <v>CQC, ONS, ASCOF</v>
      </c>
      <c r="AG255" s="25" t="str">
        <f>_xlfn.XLOOKUP(tblMeasure[[#This Row],[id_src]],tblSource[id_src],tblSource[statistic_class])</f>
        <v>TBD</v>
      </c>
      <c r="AH255" s="25" t="str">
        <f>_xlfn.XLOOKUP(tblMeasure[[#This Row],[id_src]],tblSource[id_src],tblSource[methodology_link])</f>
        <v>https://fingertips.phe.org.uk/profile/end-of-life/data#page/6/gid/1938133060/pat/6/par/E12000007/ati/202/are/E09000002/iid/1194/age/27/sex/4</v>
      </c>
      <c r="AI255" s="25" t="str">
        <f>_xlfn.XLOOKUP(tblMeasure[[#This Row],[id_src]],tblSource[id_src],tblSource[quality_issues])</f>
        <v>https://fingertips.phe.org.uk/profile/end-of-life/data#page/6/gid/1938133060/pat/6/par/E12000007/ati/202/are/E09000002/iid/1194/age/27/sex/4</v>
      </c>
      <c r="AJ255" s="25">
        <f>VLOOKUP(tblMeasure[[#This Row],[msr_population_or_survey]],strlu_msr_population_or_survey,2,FALSE)</f>
        <v>1</v>
      </c>
      <c r="AK255" s="25">
        <f>VLOOKUP(tblMeasure[[#This Row],[msr_min_geo_resolution]],strlu_msr_min_geo_resolution,2,FALSE)</f>
        <v>1</v>
      </c>
      <c r="AL255" s="25">
        <f>(MAX(tblMeasure[[#This Row],[src_year_last_published]]-2010+1,0)+MIN(2010-tblMeasure[[#This Row],[src_year_first_published]],0)-MAX(tblMeasure[[#This Row],[src_year_last_published]]-2019,0))/10</f>
        <v>0.7</v>
      </c>
      <c r="AM255" s="25">
        <f>IF(OR(tblMeasure[[#This Row],[src_discontinuity]]="None",tblMeasure[[#This Row],[src_discontinuity]]=0),1,0)</f>
        <v>1</v>
      </c>
      <c r="AN255" s="25">
        <f>VLOOKUP(tblMeasure[[#This Row],[src_pub_frequency]],strlu_src_pub_frequency,2,FALSE)</f>
        <v>0.8</v>
      </c>
      <c r="AO255" s="25">
        <f>VLOOKUP(tblMeasure[[#This Row],[src_pub_lag_months]],strlu_src_pub_lag_months,2,FALSE)</f>
        <v>0</v>
      </c>
      <c r="AP255" s="25">
        <f>VLOOKUP(tblMeasure[[#This Row],[src_statistic_class]],strlu_src_statistic_class,2,FALSE)</f>
        <v>0</v>
      </c>
      <c r="AQ255" s="25">
        <f>IF(tblMeasure[[#This Row],[src_methodology_url]]="TBD",0,1)</f>
        <v>1</v>
      </c>
      <c r="AR255" s="25">
        <f>IF(tblMeasure[[#This Row],[src_quality_url]]="TBD",0,1)</f>
        <v>1</v>
      </c>
      <c r="AS255" s="85" cm="1">
        <f t="array" ref="AS255">SUMPRODUCT(TRANSPOSE(tblMeasure[[#This Row],[str_msr_population_or_survey]:[str_src_quality_url]]),str_weights)/str_weights_total</f>
        <v>0.69230769230769229</v>
      </c>
    </row>
    <row r="256" spans="1:45" hidden="1" x14ac:dyDescent="0.15">
      <c r="A256" s="30">
        <v>254</v>
      </c>
      <c r="B256" s="15">
        <f>COUNTIF(requirement_measure_map!$D$3:$D$1514,measure!A256)</f>
        <v>2</v>
      </c>
      <c r="C256" s="30" t="s">
        <v>857</v>
      </c>
      <c r="D256" s="15" t="s">
        <v>917</v>
      </c>
      <c r="E256" s="15">
        <v>92490</v>
      </c>
      <c r="F256" s="15" t="s">
        <v>921</v>
      </c>
      <c r="G256" s="29" t="s">
        <v>919</v>
      </c>
      <c r="H256" s="15"/>
      <c r="I256" s="15" t="s">
        <v>214</v>
      </c>
      <c r="J256" s="15" t="s">
        <v>215</v>
      </c>
      <c r="K256" s="15" t="s">
        <v>920</v>
      </c>
      <c r="L256" s="15" t="s">
        <v>217</v>
      </c>
      <c r="M256" s="15" t="s">
        <v>219</v>
      </c>
      <c r="N256" s="15" t="s">
        <v>219</v>
      </c>
      <c r="O256" s="15" t="s">
        <v>219</v>
      </c>
      <c r="P256" s="15" t="s">
        <v>219</v>
      </c>
      <c r="Q256" s="15" t="s">
        <v>219</v>
      </c>
      <c r="R256" s="15" t="s">
        <v>219</v>
      </c>
      <c r="S256" s="15" t="s">
        <v>219</v>
      </c>
      <c r="T256" s="15" t="s">
        <v>219</v>
      </c>
      <c r="U256" s="15" t="s">
        <v>220</v>
      </c>
      <c r="V256" s="15" t="s">
        <v>219</v>
      </c>
      <c r="W256" s="15">
        <v>16</v>
      </c>
      <c r="X256" s="15" t="str">
        <f>_xlfn.XLOOKUP(tblMeasure[[#This Row],[id_src]],tblSource[id_src],tblSource[org])</f>
        <v>PHE</v>
      </c>
      <c r="Y256" s="15" t="str">
        <f>_xlfn.XLOOKUP(tblMeasure[[#This Row],[id_src]],tblSource[id_src],tblSource[source])</f>
        <v>Palliative and End of Life Care Profiles - Care Homes and Community</v>
      </c>
      <c r="Z256" s="15" t="str">
        <f>_xlfn.XLOOKUP(tblMeasure[[#This Row],[id_src]],tblSource[id_src],tblSource[url_source])</f>
        <v>https://fingertips.phe.org.uk/profile/end-of-life/data#page/4/gid/1938133060/pat/6/par/E12000004/ati/102/are/E06000015/iid/92490/age/162/sex/4</v>
      </c>
      <c r="AA256" s="15">
        <f>_xlfn.XLOOKUP(tblMeasure[[#This Row],[id_src]],tblSource[id_src],tblSource[year_first_published])</f>
        <v>2012</v>
      </c>
      <c r="AB256" s="15">
        <f>_xlfn.XLOOKUP(tblMeasure[[#This Row],[id_src]],tblSource[id_src],tblSource[year_last_published])</f>
        <v>2018</v>
      </c>
      <c r="AC256" s="15">
        <f>_xlfn.XLOOKUP(tblMeasure[[#This Row],[id_src]],tblSource[id_src],tblSource[discontinuity])</f>
        <v>0</v>
      </c>
      <c r="AD256" s="15" t="str">
        <f>_xlfn.XLOOKUP(tblMeasure[[#This Row],[id_src]],tblSource[id_src],tblSource[publication_frequency])</f>
        <v>Annual</v>
      </c>
      <c r="AE256" s="15" t="str">
        <f>_xlfn.XLOOKUP(tblMeasure[[#This Row],[id_src]],tblSource[id_src],tblSource[publication_lag_months])</f>
        <v>TBD</v>
      </c>
      <c r="AF256" s="25" t="str">
        <f>_xlfn.XLOOKUP(tblMeasure[[#This Row],[id_src]],tblSource[id_src],tblSource[data_providers])</f>
        <v>CQC, ONS, ASCOF</v>
      </c>
      <c r="AG256" s="25" t="str">
        <f>_xlfn.XLOOKUP(tblMeasure[[#This Row],[id_src]],tblSource[id_src],tblSource[statistic_class])</f>
        <v>TBD</v>
      </c>
      <c r="AH256" s="25" t="str">
        <f>_xlfn.XLOOKUP(tblMeasure[[#This Row],[id_src]],tblSource[id_src],tblSource[methodology_link])</f>
        <v>https://fingertips.phe.org.uk/profile/end-of-life/data#page/6/gid/1938133060/pat/6/par/E12000007/ati/202/are/E09000002/iid/1194/age/27/sex/4</v>
      </c>
      <c r="AI256" s="25" t="str">
        <f>_xlfn.XLOOKUP(tblMeasure[[#This Row],[id_src]],tblSource[id_src],tblSource[quality_issues])</f>
        <v>https://fingertips.phe.org.uk/profile/end-of-life/data#page/6/gid/1938133060/pat/6/par/E12000007/ati/202/are/E09000002/iid/1194/age/27/sex/4</v>
      </c>
      <c r="AJ256" s="25">
        <f>VLOOKUP(tblMeasure[[#This Row],[msr_population_or_survey]],strlu_msr_population_or_survey,2,FALSE)</f>
        <v>1</v>
      </c>
      <c r="AK256" s="25">
        <f>VLOOKUP(tblMeasure[[#This Row],[msr_min_geo_resolution]],strlu_msr_min_geo_resolution,2,FALSE)</f>
        <v>1</v>
      </c>
      <c r="AL256" s="25">
        <f>(MAX(tblMeasure[[#This Row],[src_year_last_published]]-2010+1,0)+MIN(2010-tblMeasure[[#This Row],[src_year_first_published]],0)-MAX(tblMeasure[[#This Row],[src_year_last_published]]-2019,0))/10</f>
        <v>0.7</v>
      </c>
      <c r="AM256" s="25">
        <f>IF(OR(tblMeasure[[#This Row],[src_discontinuity]]="None",tblMeasure[[#This Row],[src_discontinuity]]=0),1,0)</f>
        <v>1</v>
      </c>
      <c r="AN256" s="25">
        <f>VLOOKUP(tblMeasure[[#This Row],[src_pub_frequency]],strlu_src_pub_frequency,2,FALSE)</f>
        <v>0.8</v>
      </c>
      <c r="AO256" s="25">
        <f>VLOOKUP(tblMeasure[[#This Row],[src_pub_lag_months]],strlu_src_pub_lag_months,2,FALSE)</f>
        <v>0</v>
      </c>
      <c r="AP256" s="25">
        <f>VLOOKUP(tblMeasure[[#This Row],[src_statistic_class]],strlu_src_statistic_class,2,FALSE)</f>
        <v>0</v>
      </c>
      <c r="AQ256" s="25">
        <f>IF(tblMeasure[[#This Row],[src_methodology_url]]="TBD",0,1)</f>
        <v>1</v>
      </c>
      <c r="AR256" s="25">
        <f>IF(tblMeasure[[#This Row],[src_quality_url]]="TBD",0,1)</f>
        <v>1</v>
      </c>
      <c r="AS256" s="85" cm="1">
        <f t="array" ref="AS256">SUMPRODUCT(TRANSPOSE(tblMeasure[[#This Row],[str_msr_population_or_survey]:[str_src_quality_url]]),str_weights)/str_weights_total</f>
        <v>0.69230769230769229</v>
      </c>
    </row>
    <row r="257" spans="1:45" hidden="1" x14ac:dyDescent="0.15">
      <c r="A257" s="30">
        <v>255</v>
      </c>
      <c r="B257" s="15">
        <f>COUNTIF(requirement_measure_map!$D$3:$D$1514,measure!A257)</f>
        <v>2</v>
      </c>
      <c r="C257" s="30" t="s">
        <v>857</v>
      </c>
      <c r="D257" s="15" t="s">
        <v>922</v>
      </c>
      <c r="E257" s="15">
        <v>92453</v>
      </c>
      <c r="F257" s="15" t="s">
        <v>923</v>
      </c>
      <c r="G257" s="29" t="s">
        <v>924</v>
      </c>
      <c r="H257" s="15"/>
      <c r="I257" s="15" t="s">
        <v>214</v>
      </c>
      <c r="J257" s="15" t="s">
        <v>215</v>
      </c>
      <c r="K257" s="15" t="s">
        <v>925</v>
      </c>
      <c r="L257" s="15" t="s">
        <v>217</v>
      </c>
      <c r="M257" s="15" t="s">
        <v>219</v>
      </c>
      <c r="N257" s="15" t="s">
        <v>219</v>
      </c>
      <c r="O257" s="15" t="s">
        <v>219</v>
      </c>
      <c r="P257" s="15" t="s">
        <v>219</v>
      </c>
      <c r="Q257" s="15" t="s">
        <v>219</v>
      </c>
      <c r="R257" s="15" t="s">
        <v>219</v>
      </c>
      <c r="S257" s="15" t="s">
        <v>219</v>
      </c>
      <c r="T257" s="15" t="s">
        <v>219</v>
      </c>
      <c r="U257" s="15" t="s">
        <v>220</v>
      </c>
      <c r="V257" s="15" t="s">
        <v>219</v>
      </c>
      <c r="W257" s="15">
        <v>16</v>
      </c>
      <c r="X257" s="15" t="str">
        <f>_xlfn.XLOOKUP(tblMeasure[[#This Row],[id_src]],tblSource[id_src],tblSource[org])</f>
        <v>PHE</v>
      </c>
      <c r="Y257" s="25" t="str">
        <f>_xlfn.XLOOKUP(tblMeasure[[#This Row],[id_src]],tblSource[id_src],tblSource[source])</f>
        <v>Palliative and End of Life Care Profiles - Care Homes and Community</v>
      </c>
      <c r="Z257" s="25" t="str">
        <f>_xlfn.XLOOKUP(tblMeasure[[#This Row],[id_src]],tblSource[id_src],tblSource[url_source])</f>
        <v>https://fingertips.phe.org.uk/profile/end-of-life/data#page/4/gid/1938133060/pat/6/par/E12000004/ati/102/are/E06000015/iid/92490/age/162/sex/4</v>
      </c>
      <c r="AA257" s="25">
        <f>_xlfn.XLOOKUP(tblMeasure[[#This Row],[id_src]],tblSource[id_src],tblSource[year_first_published])</f>
        <v>2012</v>
      </c>
      <c r="AB257" s="25">
        <f>_xlfn.XLOOKUP(tblMeasure[[#This Row],[id_src]],tblSource[id_src],tblSource[year_last_published])</f>
        <v>2018</v>
      </c>
      <c r="AC257" s="25">
        <f>_xlfn.XLOOKUP(tblMeasure[[#This Row],[id_src]],tblSource[id_src],tblSource[discontinuity])</f>
        <v>0</v>
      </c>
      <c r="AD257" s="25" t="str">
        <f>_xlfn.XLOOKUP(tblMeasure[[#This Row],[id_src]],tblSource[id_src],tblSource[publication_frequency])</f>
        <v>Annual</v>
      </c>
      <c r="AE257" s="15" t="str">
        <f>_xlfn.XLOOKUP(tblMeasure[[#This Row],[id_src]],tblSource[id_src],tblSource[publication_lag_months])</f>
        <v>TBD</v>
      </c>
      <c r="AF257" s="25" t="str">
        <f>_xlfn.XLOOKUP(tblMeasure[[#This Row],[id_src]],tblSource[id_src],tblSource[data_providers])</f>
        <v>CQC, ONS, ASCOF</v>
      </c>
      <c r="AG257" s="25" t="str">
        <f>_xlfn.XLOOKUP(tblMeasure[[#This Row],[id_src]],tblSource[id_src],tblSource[statistic_class])</f>
        <v>TBD</v>
      </c>
      <c r="AH257" s="25" t="str">
        <f>_xlfn.XLOOKUP(tblMeasure[[#This Row],[id_src]],tblSource[id_src],tblSource[methodology_link])</f>
        <v>https://fingertips.phe.org.uk/profile/end-of-life/data#page/6/gid/1938133060/pat/6/par/E12000007/ati/202/are/E09000002/iid/1194/age/27/sex/4</v>
      </c>
      <c r="AI257" s="25" t="str">
        <f>_xlfn.XLOOKUP(tblMeasure[[#This Row],[id_src]],tblSource[id_src],tblSource[quality_issues])</f>
        <v>https://fingertips.phe.org.uk/profile/end-of-life/data#page/6/gid/1938133060/pat/6/par/E12000007/ati/202/are/E09000002/iid/1194/age/27/sex/4</v>
      </c>
      <c r="AJ257" s="25">
        <f>VLOOKUP(tblMeasure[[#This Row],[msr_population_or_survey]],strlu_msr_population_or_survey,2,FALSE)</f>
        <v>1</v>
      </c>
      <c r="AK257" s="25">
        <f>VLOOKUP(tblMeasure[[#This Row],[msr_min_geo_resolution]],strlu_msr_min_geo_resolution,2,FALSE)</f>
        <v>1</v>
      </c>
      <c r="AL257" s="25">
        <f>(MAX(tblMeasure[[#This Row],[src_year_last_published]]-2010+1,0)+MIN(2010-tblMeasure[[#This Row],[src_year_first_published]],0)-MAX(tblMeasure[[#This Row],[src_year_last_published]]-2019,0))/10</f>
        <v>0.7</v>
      </c>
      <c r="AM257" s="25">
        <f>IF(OR(tblMeasure[[#This Row],[src_discontinuity]]="None",tblMeasure[[#This Row],[src_discontinuity]]=0),1,0)</f>
        <v>1</v>
      </c>
      <c r="AN257" s="25">
        <f>VLOOKUP(tblMeasure[[#This Row],[src_pub_frequency]],strlu_src_pub_frequency,2,FALSE)</f>
        <v>0.8</v>
      </c>
      <c r="AO257" s="25">
        <f>VLOOKUP(tblMeasure[[#This Row],[src_pub_lag_months]],strlu_src_pub_lag_months,2,FALSE)</f>
        <v>0</v>
      </c>
      <c r="AP257" s="25">
        <f>VLOOKUP(tblMeasure[[#This Row],[src_statistic_class]],strlu_src_statistic_class,2,FALSE)</f>
        <v>0</v>
      </c>
      <c r="AQ257" s="25">
        <f>IF(tblMeasure[[#This Row],[src_methodology_url]]="TBD",0,1)</f>
        <v>1</v>
      </c>
      <c r="AR257" s="25">
        <f>IF(tblMeasure[[#This Row],[src_quality_url]]="TBD",0,1)</f>
        <v>1</v>
      </c>
      <c r="AS257" s="85" cm="1">
        <f t="array" ref="AS257">SUMPRODUCT(TRANSPOSE(tblMeasure[[#This Row],[str_msr_population_or_survey]:[str_src_quality_url]]),str_weights)/str_weights_total</f>
        <v>0.69230769230769229</v>
      </c>
    </row>
    <row r="258" spans="1:45" hidden="1" x14ac:dyDescent="0.15">
      <c r="A258" s="30">
        <v>256</v>
      </c>
      <c r="B258" s="15">
        <f>COUNTIF(requirement_measure_map!$D$3:$D$1514,measure!A258)</f>
        <v>3</v>
      </c>
      <c r="C258" s="30" t="s">
        <v>857</v>
      </c>
      <c r="D258" s="15" t="s">
        <v>926</v>
      </c>
      <c r="E258" s="15">
        <v>1194</v>
      </c>
      <c r="F258" s="15" t="s">
        <v>927</v>
      </c>
      <c r="G258" s="29" t="s">
        <v>928</v>
      </c>
      <c r="H258" s="15"/>
      <c r="I258" s="15" t="s">
        <v>214</v>
      </c>
      <c r="J258" s="15" t="s">
        <v>215</v>
      </c>
      <c r="K258" s="15" t="s">
        <v>929</v>
      </c>
      <c r="L258" s="15" t="s">
        <v>217</v>
      </c>
      <c r="M258" s="15" t="s">
        <v>220</v>
      </c>
      <c r="N258" s="15" t="s">
        <v>219</v>
      </c>
      <c r="O258" s="15" t="s">
        <v>219</v>
      </c>
      <c r="P258" s="15" t="s">
        <v>219</v>
      </c>
      <c r="Q258" s="15" t="s">
        <v>219</v>
      </c>
      <c r="R258" s="15" t="s">
        <v>219</v>
      </c>
      <c r="S258" s="15" t="s">
        <v>219</v>
      </c>
      <c r="T258" s="15" t="s">
        <v>219</v>
      </c>
      <c r="U258" s="15" t="s">
        <v>220</v>
      </c>
      <c r="V258" s="15" t="s">
        <v>219</v>
      </c>
      <c r="W258" s="15">
        <v>16</v>
      </c>
      <c r="X258" s="15" t="str">
        <f>_xlfn.XLOOKUP(tblMeasure[[#This Row],[id_src]],tblSource[id_src],tblSource[org])</f>
        <v>PHE</v>
      </c>
      <c r="Y258" s="25" t="str">
        <f>_xlfn.XLOOKUP(tblMeasure[[#This Row],[id_src]],tblSource[id_src],tblSource[source])</f>
        <v>Palliative and End of Life Care Profiles - Care Homes and Community</v>
      </c>
      <c r="Z258" s="25" t="str">
        <f>_xlfn.XLOOKUP(tblMeasure[[#This Row],[id_src]],tblSource[id_src],tblSource[url_source])</f>
        <v>https://fingertips.phe.org.uk/profile/end-of-life/data#page/4/gid/1938133060/pat/6/par/E12000004/ati/102/are/E06000015/iid/92490/age/162/sex/4</v>
      </c>
      <c r="AA258" s="25">
        <f>_xlfn.XLOOKUP(tblMeasure[[#This Row],[id_src]],tblSource[id_src],tblSource[year_first_published])</f>
        <v>2012</v>
      </c>
      <c r="AB258" s="25">
        <f>_xlfn.XLOOKUP(tblMeasure[[#This Row],[id_src]],tblSource[id_src],tblSource[year_last_published])</f>
        <v>2018</v>
      </c>
      <c r="AC258" s="25">
        <f>_xlfn.XLOOKUP(tblMeasure[[#This Row],[id_src]],tblSource[id_src],tblSource[discontinuity])</f>
        <v>0</v>
      </c>
      <c r="AD258" s="25" t="str">
        <f>_xlfn.XLOOKUP(tblMeasure[[#This Row],[id_src]],tblSource[id_src],tblSource[publication_frequency])</f>
        <v>Annual</v>
      </c>
      <c r="AE258" s="15" t="str">
        <f>_xlfn.XLOOKUP(tblMeasure[[#This Row],[id_src]],tblSource[id_src],tblSource[publication_lag_months])</f>
        <v>TBD</v>
      </c>
      <c r="AF258" s="25" t="str">
        <f>_xlfn.XLOOKUP(tblMeasure[[#This Row],[id_src]],tblSource[id_src],tblSource[data_providers])</f>
        <v>CQC, ONS, ASCOF</v>
      </c>
      <c r="AG258" s="25" t="str">
        <f>_xlfn.XLOOKUP(tblMeasure[[#This Row],[id_src]],tblSource[id_src],tblSource[statistic_class])</f>
        <v>TBD</v>
      </c>
      <c r="AH258" s="25" t="str">
        <f>_xlfn.XLOOKUP(tblMeasure[[#This Row],[id_src]],tblSource[id_src],tblSource[methodology_link])</f>
        <v>https://fingertips.phe.org.uk/profile/end-of-life/data#page/6/gid/1938133060/pat/6/par/E12000007/ati/202/are/E09000002/iid/1194/age/27/sex/4</v>
      </c>
      <c r="AI258" s="25" t="str">
        <f>_xlfn.XLOOKUP(tblMeasure[[#This Row],[id_src]],tblSource[id_src],tblSource[quality_issues])</f>
        <v>https://fingertips.phe.org.uk/profile/end-of-life/data#page/6/gid/1938133060/pat/6/par/E12000007/ati/202/are/E09000002/iid/1194/age/27/sex/4</v>
      </c>
      <c r="AJ258" s="25">
        <f>VLOOKUP(tblMeasure[[#This Row],[msr_population_or_survey]],strlu_msr_population_or_survey,2,FALSE)</f>
        <v>1</v>
      </c>
      <c r="AK258" s="25">
        <f>VLOOKUP(tblMeasure[[#This Row],[msr_min_geo_resolution]],strlu_msr_min_geo_resolution,2,FALSE)</f>
        <v>1</v>
      </c>
      <c r="AL258" s="25">
        <f>(MAX(tblMeasure[[#This Row],[src_year_last_published]]-2010+1,0)+MIN(2010-tblMeasure[[#This Row],[src_year_first_published]],0)-MAX(tblMeasure[[#This Row],[src_year_last_published]]-2019,0))/10</f>
        <v>0.7</v>
      </c>
      <c r="AM258" s="25">
        <f>IF(OR(tblMeasure[[#This Row],[src_discontinuity]]="None",tblMeasure[[#This Row],[src_discontinuity]]=0),1,0)</f>
        <v>1</v>
      </c>
      <c r="AN258" s="25">
        <f>VLOOKUP(tblMeasure[[#This Row],[src_pub_frequency]],strlu_src_pub_frequency,2,FALSE)</f>
        <v>0.8</v>
      </c>
      <c r="AO258" s="25">
        <f>VLOOKUP(tblMeasure[[#This Row],[src_pub_lag_months]],strlu_src_pub_lag_months,2,FALSE)</f>
        <v>0</v>
      </c>
      <c r="AP258" s="25">
        <f>VLOOKUP(tblMeasure[[#This Row],[src_statistic_class]],strlu_src_statistic_class,2,FALSE)</f>
        <v>0</v>
      </c>
      <c r="AQ258" s="25">
        <f>IF(tblMeasure[[#This Row],[src_methodology_url]]="TBD",0,1)</f>
        <v>1</v>
      </c>
      <c r="AR258" s="25">
        <f>IF(tblMeasure[[#This Row],[src_quality_url]]="TBD",0,1)</f>
        <v>1</v>
      </c>
      <c r="AS258" s="85" cm="1">
        <f t="array" ref="AS258">SUMPRODUCT(TRANSPOSE(tblMeasure[[#This Row],[str_msr_population_or_survey]:[str_src_quality_url]]),str_weights)/str_weights_total</f>
        <v>0.69230769230769229</v>
      </c>
    </row>
    <row r="259" spans="1:45" hidden="1" x14ac:dyDescent="0.15">
      <c r="A259" s="30">
        <v>257</v>
      </c>
      <c r="B259" s="15">
        <f>COUNTIF(requirement_measure_map!$D$3:$D$1514,measure!A259)</f>
        <v>7</v>
      </c>
      <c r="C259" s="30" t="s">
        <v>857</v>
      </c>
      <c r="D259" s="15" t="s">
        <v>930</v>
      </c>
      <c r="E259" s="15" t="s">
        <v>579</v>
      </c>
      <c r="F259" s="15" t="s">
        <v>931</v>
      </c>
      <c r="G259" s="29" t="s">
        <v>932</v>
      </c>
      <c r="H259" s="15"/>
      <c r="I259" s="15" t="s">
        <v>933</v>
      </c>
      <c r="J259" s="15" t="s">
        <v>934</v>
      </c>
      <c r="K259" s="15" t="s">
        <v>811</v>
      </c>
      <c r="L259" s="15" t="s">
        <v>287</v>
      </c>
      <c r="M259" s="15" t="s">
        <v>219</v>
      </c>
      <c r="N259" s="15" t="s">
        <v>219</v>
      </c>
      <c r="O259" s="15" t="s">
        <v>219</v>
      </c>
      <c r="P259" s="15" t="s">
        <v>219</v>
      </c>
      <c r="Q259" s="15" t="s">
        <v>219</v>
      </c>
      <c r="R259" s="15" t="s">
        <v>267</v>
      </c>
      <c r="S259" s="15" t="s">
        <v>267</v>
      </c>
      <c r="T259" s="15" t="s">
        <v>219</v>
      </c>
      <c r="U259" s="15" t="s">
        <v>240</v>
      </c>
      <c r="V259" s="15" t="s">
        <v>219</v>
      </c>
      <c r="W259" s="15">
        <v>17</v>
      </c>
      <c r="X259" s="15" t="str">
        <f>_xlfn.XLOOKUP(tblMeasure[[#This Row],[id_src]],tblSource[id_src],tblSource[org])</f>
        <v>Skills for Care</v>
      </c>
      <c r="Y259" s="15" t="str">
        <f>_xlfn.XLOOKUP(tblMeasure[[#This Row],[id_src]],tblSource[id_src],tblSource[source])</f>
        <v>State of the ASC sector and workforce</v>
      </c>
      <c r="Z259" s="15" t="str">
        <f>_xlfn.XLOOKUP(tblMeasure[[#This Row],[id_src]],tblSource[id_src],tblSource[url_source])</f>
        <v>https://www.skillsforcare.org.uk/adult-social-care-workforce-data/Workforce-intelligence/publications/national-information/The-state-of-the-adult-social-care-sector-and-workforce-in-England.aspx</v>
      </c>
      <c r="AA259" s="15">
        <f>_xlfn.XLOOKUP(tblMeasure[[#This Row],[id_src]],tblSource[id_src],tblSource[year_first_published])</f>
        <v>2012</v>
      </c>
      <c r="AB259" s="15">
        <f>_xlfn.XLOOKUP(tblMeasure[[#This Row],[id_src]],tblSource[id_src],tblSource[year_last_published])</f>
        <v>2019</v>
      </c>
      <c r="AC259" s="15">
        <f>_xlfn.XLOOKUP(tblMeasure[[#This Row],[id_src]],tblSource[id_src],tblSource[discontinuity])</f>
        <v>0</v>
      </c>
      <c r="AD259" s="15" t="str">
        <f>_xlfn.XLOOKUP(tblMeasure[[#This Row],[id_src]],tblSource[id_src],tblSource[publication_frequency])</f>
        <v>Annual</v>
      </c>
      <c r="AE259" s="15" t="str">
        <f>_xlfn.XLOOKUP(tblMeasure[[#This Row],[id_src]],tblSource[id_src],tblSource[publication_lag_months])</f>
        <v>TBD</v>
      </c>
      <c r="AF259" s="25" t="str">
        <f>_xlfn.XLOOKUP(tblMeasure[[#This Row],[id_src]],tblSource[id_src],tblSource[data_providers])</f>
        <v>LA,Independents</v>
      </c>
      <c r="AG259" s="25" t="str">
        <f>_xlfn.XLOOKUP(tblMeasure[[#This Row],[id_src]],tblSource[id_src],tblSource[statistic_class])</f>
        <v>TBD</v>
      </c>
      <c r="AH259" s="25" t="str">
        <f>_xlfn.XLOOKUP(tblMeasure[[#This Row],[id_src]],tblSource[id_src],tblSource[methodology_link])</f>
        <v>https://www.skillsforcare.org.uk/adult-social-care-workforce-data/Workforce-intelligence/Our-work/Our-data.aspx</v>
      </c>
      <c r="AI259" s="25" t="str">
        <f>_xlfn.XLOOKUP(tblMeasure[[#This Row],[id_src]],tblSource[id_src],tblSource[quality_issues])</f>
        <v>https://www.skillsforcare.org.uk/adult-social-care-workforce-data/Workforce-intelligence/documents/ASC-Workforce-Statistical-Appendix-2019.xlsx</v>
      </c>
      <c r="AJ259" s="25">
        <f>VLOOKUP(tblMeasure[[#This Row],[msr_population_or_survey]],strlu_msr_population_or_survey,2,FALSE)</f>
        <v>0.5</v>
      </c>
      <c r="AK259" s="25">
        <f>VLOOKUP(tblMeasure[[#This Row],[msr_min_geo_resolution]],strlu_msr_min_geo_resolution,2,FALSE)</f>
        <v>0.5</v>
      </c>
      <c r="AL259" s="25">
        <f>(MAX(tblMeasure[[#This Row],[src_year_last_published]]-2010+1,0)+MIN(2010-tblMeasure[[#This Row],[src_year_first_published]],0)-MAX(tblMeasure[[#This Row],[src_year_last_published]]-2019,0))/10</f>
        <v>0.8</v>
      </c>
      <c r="AM259" s="25">
        <f>IF(OR(tblMeasure[[#This Row],[src_discontinuity]]="None",tblMeasure[[#This Row],[src_discontinuity]]=0),1,0)</f>
        <v>1</v>
      </c>
      <c r="AN259" s="25">
        <f>VLOOKUP(tblMeasure[[#This Row],[src_pub_frequency]],strlu_src_pub_frequency,2,FALSE)</f>
        <v>0.8</v>
      </c>
      <c r="AO259" s="25">
        <f>VLOOKUP(tblMeasure[[#This Row],[src_pub_lag_months]],strlu_src_pub_lag_months,2,FALSE)</f>
        <v>0</v>
      </c>
      <c r="AP259" s="25">
        <f>VLOOKUP(tblMeasure[[#This Row],[src_statistic_class]],strlu_src_statistic_class,2,FALSE)</f>
        <v>0</v>
      </c>
      <c r="AQ259" s="25">
        <f>IF(tblMeasure[[#This Row],[src_methodology_url]]="TBD",0,1)</f>
        <v>1</v>
      </c>
      <c r="AR259" s="25">
        <f>IF(tblMeasure[[#This Row],[src_quality_url]]="TBD",0,1)</f>
        <v>1</v>
      </c>
      <c r="AS259" s="85" cm="1">
        <f t="array" ref="AS259">SUMPRODUCT(TRANSPOSE(tblMeasure[[#This Row],[str_msr_population_or_survey]:[str_src_quality_url]]),str_weights)/str_weights_total</f>
        <v>0.55384615384615377</v>
      </c>
    </row>
    <row r="260" spans="1:45" hidden="1" x14ac:dyDescent="0.15">
      <c r="A260" s="30">
        <v>258</v>
      </c>
      <c r="B260" s="15">
        <f>COUNTIF(requirement_measure_map!$D$3:$D$1514,measure!A260)</f>
        <v>8</v>
      </c>
      <c r="C260" s="30" t="s">
        <v>857</v>
      </c>
      <c r="D260" s="15" t="s">
        <v>935</v>
      </c>
      <c r="E260" s="15" t="s">
        <v>936</v>
      </c>
      <c r="F260" s="15" t="s">
        <v>937</v>
      </c>
      <c r="G260" s="29" t="s">
        <v>932</v>
      </c>
      <c r="H260" s="15"/>
      <c r="I260" s="15" t="s">
        <v>933</v>
      </c>
      <c r="J260" s="15" t="s">
        <v>934</v>
      </c>
      <c r="K260" s="15" t="s">
        <v>938</v>
      </c>
      <c r="L260" s="15" t="s">
        <v>233</v>
      </c>
      <c r="M260" s="15" t="s">
        <v>219</v>
      </c>
      <c r="N260" s="15" t="s">
        <v>219</v>
      </c>
      <c r="O260" s="15" t="s">
        <v>219</v>
      </c>
      <c r="P260" s="15" t="s">
        <v>219</v>
      </c>
      <c r="Q260" s="15" t="s">
        <v>219</v>
      </c>
      <c r="R260" s="15" t="s">
        <v>267</v>
      </c>
      <c r="S260" s="15" t="s">
        <v>939</v>
      </c>
      <c r="T260" s="15" t="s">
        <v>219</v>
      </c>
      <c r="U260" s="15" t="s">
        <v>349</v>
      </c>
      <c r="V260" s="15" t="s">
        <v>219</v>
      </c>
      <c r="W260" s="15">
        <v>17</v>
      </c>
      <c r="X260" s="15" t="str">
        <f>_xlfn.XLOOKUP(tblMeasure[[#This Row],[id_src]],tblSource[id_src],tblSource[org])</f>
        <v>Skills for Care</v>
      </c>
      <c r="Y260" s="15" t="str">
        <f>_xlfn.XLOOKUP(tblMeasure[[#This Row],[id_src]],tblSource[id_src],tblSource[source])</f>
        <v>State of the ASC sector and workforce</v>
      </c>
      <c r="Z260" s="15" t="str">
        <f>_xlfn.XLOOKUP(tblMeasure[[#This Row],[id_src]],tblSource[id_src],tblSource[url_source])</f>
        <v>https://www.skillsforcare.org.uk/adult-social-care-workforce-data/Workforce-intelligence/publications/national-information/The-state-of-the-adult-social-care-sector-and-workforce-in-England.aspx</v>
      </c>
      <c r="AA260" s="15">
        <f>_xlfn.XLOOKUP(tblMeasure[[#This Row],[id_src]],tblSource[id_src],tblSource[year_first_published])</f>
        <v>2012</v>
      </c>
      <c r="AB260" s="15">
        <f>_xlfn.XLOOKUP(tblMeasure[[#This Row],[id_src]],tblSource[id_src],tblSource[year_last_published])</f>
        <v>2019</v>
      </c>
      <c r="AC260" s="15">
        <f>_xlfn.XLOOKUP(tblMeasure[[#This Row],[id_src]],tblSource[id_src],tblSource[discontinuity])</f>
        <v>0</v>
      </c>
      <c r="AD260" s="15" t="str">
        <f>_xlfn.XLOOKUP(tblMeasure[[#This Row],[id_src]],tblSource[id_src],tblSource[publication_frequency])</f>
        <v>Annual</v>
      </c>
      <c r="AE260" s="15" t="str">
        <f>_xlfn.XLOOKUP(tblMeasure[[#This Row],[id_src]],tblSource[id_src],tblSource[publication_lag_months])</f>
        <v>TBD</v>
      </c>
      <c r="AF260" s="25" t="str">
        <f>_xlfn.XLOOKUP(tblMeasure[[#This Row],[id_src]],tblSource[id_src],tblSource[data_providers])</f>
        <v>LA,Independents</v>
      </c>
      <c r="AG260" s="25" t="str">
        <f>_xlfn.XLOOKUP(tblMeasure[[#This Row],[id_src]],tblSource[id_src],tblSource[statistic_class])</f>
        <v>TBD</v>
      </c>
      <c r="AH260" s="25" t="str">
        <f>_xlfn.XLOOKUP(tblMeasure[[#This Row],[id_src]],tblSource[id_src],tblSource[methodology_link])</f>
        <v>https://www.skillsforcare.org.uk/adult-social-care-workforce-data/Workforce-intelligence/Our-work/Our-data.aspx</v>
      </c>
      <c r="AI260" s="25" t="str">
        <f>_xlfn.XLOOKUP(tblMeasure[[#This Row],[id_src]],tblSource[id_src],tblSource[quality_issues])</f>
        <v>https://www.skillsforcare.org.uk/adult-social-care-workforce-data/Workforce-intelligence/documents/ASC-Workforce-Statistical-Appendix-2019.xlsx</v>
      </c>
      <c r="AJ260" s="25">
        <f>VLOOKUP(tblMeasure[[#This Row],[msr_population_or_survey]],strlu_msr_population_or_survey,2,FALSE)</f>
        <v>0.5</v>
      </c>
      <c r="AK260" s="25">
        <f>VLOOKUP(tblMeasure[[#This Row],[msr_min_geo_resolution]],strlu_msr_min_geo_resolution,2,FALSE)</f>
        <v>0</v>
      </c>
      <c r="AL260" s="25">
        <f>(MAX(tblMeasure[[#This Row],[src_year_last_published]]-2010+1,0)+MIN(2010-tblMeasure[[#This Row],[src_year_first_published]],0)-MAX(tblMeasure[[#This Row],[src_year_last_published]]-2019,0))/10</f>
        <v>0.8</v>
      </c>
      <c r="AM260" s="25">
        <f>IF(OR(tblMeasure[[#This Row],[src_discontinuity]]="None",tblMeasure[[#This Row],[src_discontinuity]]=0),1,0)</f>
        <v>1</v>
      </c>
      <c r="AN260" s="25">
        <f>VLOOKUP(tblMeasure[[#This Row],[src_pub_frequency]],strlu_src_pub_frequency,2,FALSE)</f>
        <v>0.8</v>
      </c>
      <c r="AO260" s="25">
        <f>VLOOKUP(tblMeasure[[#This Row],[src_pub_lag_months]],strlu_src_pub_lag_months,2,FALSE)</f>
        <v>0</v>
      </c>
      <c r="AP260" s="25">
        <f>VLOOKUP(tblMeasure[[#This Row],[src_statistic_class]],strlu_src_statistic_class,2,FALSE)</f>
        <v>0</v>
      </c>
      <c r="AQ260" s="25">
        <f>IF(tblMeasure[[#This Row],[src_methodology_url]]="TBD",0,1)</f>
        <v>1</v>
      </c>
      <c r="AR260" s="25">
        <f>IF(tblMeasure[[#This Row],[src_quality_url]]="TBD",0,1)</f>
        <v>1</v>
      </c>
      <c r="AS260" s="85" cm="1">
        <f t="array" ref="AS260">SUMPRODUCT(TRANSPOSE(tblMeasure[[#This Row],[str_msr_population_or_survey]:[str_src_quality_url]]),str_weights)/str_weights_total</f>
        <v>0.47692307692307695</v>
      </c>
    </row>
    <row r="261" spans="1:45" hidden="1" x14ac:dyDescent="0.15">
      <c r="A261" s="30">
        <v>259</v>
      </c>
      <c r="B261" s="15">
        <f>COUNTIF(requirement_measure_map!$D$3:$D$1514,measure!A261)</f>
        <v>8</v>
      </c>
      <c r="C261" s="30" t="s">
        <v>857</v>
      </c>
      <c r="D261" s="15" t="s">
        <v>935</v>
      </c>
      <c r="E261" s="15" t="s">
        <v>940</v>
      </c>
      <c r="F261" s="15" t="s">
        <v>941</v>
      </c>
      <c r="G261" s="29" t="s">
        <v>932</v>
      </c>
      <c r="H261" s="15"/>
      <c r="I261" s="15" t="s">
        <v>933</v>
      </c>
      <c r="J261" s="15" t="s">
        <v>934</v>
      </c>
      <c r="K261" s="15" t="s">
        <v>942</v>
      </c>
      <c r="L261" s="15" t="s">
        <v>233</v>
      </c>
      <c r="M261" s="15" t="s">
        <v>219</v>
      </c>
      <c r="N261" s="15" t="s">
        <v>219</v>
      </c>
      <c r="O261" s="15" t="s">
        <v>219</v>
      </c>
      <c r="P261" s="15" t="s">
        <v>219</v>
      </c>
      <c r="Q261" s="15" t="s">
        <v>219</v>
      </c>
      <c r="R261" s="15" t="s">
        <v>267</v>
      </c>
      <c r="S261" s="15" t="s">
        <v>943</v>
      </c>
      <c r="T261" s="15" t="s">
        <v>219</v>
      </c>
      <c r="U261" s="15" t="s">
        <v>349</v>
      </c>
      <c r="V261" s="15" t="s">
        <v>219</v>
      </c>
      <c r="W261" s="15">
        <v>17</v>
      </c>
      <c r="X261" s="15" t="str">
        <f>_xlfn.XLOOKUP(tblMeasure[[#This Row],[id_src]],tblSource[id_src],tblSource[org])</f>
        <v>Skills for Care</v>
      </c>
      <c r="Y261" s="15" t="str">
        <f>_xlfn.XLOOKUP(tblMeasure[[#This Row],[id_src]],tblSource[id_src],tblSource[source])</f>
        <v>State of the ASC sector and workforce</v>
      </c>
      <c r="Z261" s="15" t="str">
        <f>_xlfn.XLOOKUP(tblMeasure[[#This Row],[id_src]],tblSource[id_src],tblSource[url_source])</f>
        <v>https://www.skillsforcare.org.uk/adult-social-care-workforce-data/Workforce-intelligence/publications/national-information/The-state-of-the-adult-social-care-sector-and-workforce-in-England.aspx</v>
      </c>
      <c r="AA261" s="15">
        <f>_xlfn.XLOOKUP(tblMeasure[[#This Row],[id_src]],tblSource[id_src],tblSource[year_first_published])</f>
        <v>2012</v>
      </c>
      <c r="AB261" s="15">
        <f>_xlfn.XLOOKUP(tblMeasure[[#This Row],[id_src]],tblSource[id_src],tblSource[year_last_published])</f>
        <v>2019</v>
      </c>
      <c r="AC261" s="15">
        <f>_xlfn.XLOOKUP(tblMeasure[[#This Row],[id_src]],tblSource[id_src],tblSource[discontinuity])</f>
        <v>0</v>
      </c>
      <c r="AD261" s="15" t="str">
        <f>_xlfn.XLOOKUP(tblMeasure[[#This Row],[id_src]],tblSource[id_src],tblSource[publication_frequency])</f>
        <v>Annual</v>
      </c>
      <c r="AE261" s="15" t="str">
        <f>_xlfn.XLOOKUP(tblMeasure[[#This Row],[id_src]],tblSource[id_src],tblSource[publication_lag_months])</f>
        <v>TBD</v>
      </c>
      <c r="AF261" s="25" t="str">
        <f>_xlfn.XLOOKUP(tblMeasure[[#This Row],[id_src]],tblSource[id_src],tblSource[data_providers])</f>
        <v>LA,Independents</v>
      </c>
      <c r="AG261" s="25" t="str">
        <f>_xlfn.XLOOKUP(tblMeasure[[#This Row],[id_src]],tblSource[id_src],tblSource[statistic_class])</f>
        <v>TBD</v>
      </c>
      <c r="AH261" s="25" t="str">
        <f>_xlfn.XLOOKUP(tblMeasure[[#This Row],[id_src]],tblSource[id_src],tblSource[methodology_link])</f>
        <v>https://www.skillsforcare.org.uk/adult-social-care-workforce-data/Workforce-intelligence/Our-work/Our-data.aspx</v>
      </c>
      <c r="AI261" s="25" t="str">
        <f>_xlfn.XLOOKUP(tblMeasure[[#This Row],[id_src]],tblSource[id_src],tblSource[quality_issues])</f>
        <v>https://www.skillsforcare.org.uk/adult-social-care-workforce-data/Workforce-intelligence/documents/ASC-Workforce-Statistical-Appendix-2019.xlsx</v>
      </c>
      <c r="AJ261" s="25">
        <f>VLOOKUP(tblMeasure[[#This Row],[msr_population_or_survey]],strlu_msr_population_or_survey,2,FALSE)</f>
        <v>0.5</v>
      </c>
      <c r="AK261" s="25">
        <f>VLOOKUP(tblMeasure[[#This Row],[msr_min_geo_resolution]],strlu_msr_min_geo_resolution,2,FALSE)</f>
        <v>0</v>
      </c>
      <c r="AL261" s="25">
        <f>(MAX(tblMeasure[[#This Row],[src_year_last_published]]-2010+1,0)+MIN(2010-tblMeasure[[#This Row],[src_year_first_published]],0)-MAX(tblMeasure[[#This Row],[src_year_last_published]]-2019,0))/10</f>
        <v>0.8</v>
      </c>
      <c r="AM261" s="25">
        <f>IF(OR(tblMeasure[[#This Row],[src_discontinuity]]="None",tblMeasure[[#This Row],[src_discontinuity]]=0),1,0)</f>
        <v>1</v>
      </c>
      <c r="AN261" s="25">
        <f>VLOOKUP(tblMeasure[[#This Row],[src_pub_frequency]],strlu_src_pub_frequency,2,FALSE)</f>
        <v>0.8</v>
      </c>
      <c r="AO261" s="25">
        <f>VLOOKUP(tblMeasure[[#This Row],[src_pub_lag_months]],strlu_src_pub_lag_months,2,FALSE)</f>
        <v>0</v>
      </c>
      <c r="AP261" s="25">
        <f>VLOOKUP(tblMeasure[[#This Row],[src_statistic_class]],strlu_src_statistic_class,2,FALSE)</f>
        <v>0</v>
      </c>
      <c r="AQ261" s="25">
        <f>IF(tblMeasure[[#This Row],[src_methodology_url]]="TBD",0,1)</f>
        <v>1</v>
      </c>
      <c r="AR261" s="25">
        <f>IF(tblMeasure[[#This Row],[src_quality_url]]="TBD",0,1)</f>
        <v>1</v>
      </c>
      <c r="AS261" s="85" cm="1">
        <f t="array" ref="AS261">SUMPRODUCT(TRANSPOSE(tblMeasure[[#This Row],[str_msr_population_or_survey]:[str_src_quality_url]]),str_weights)/str_weights_total</f>
        <v>0.47692307692307695</v>
      </c>
    </row>
    <row r="262" spans="1:45" hidden="1" x14ac:dyDescent="0.15">
      <c r="A262" s="30">
        <v>260</v>
      </c>
      <c r="B262" s="15">
        <f>COUNTIF(requirement_measure_map!$D$3:$D$1514,measure!A262)</f>
        <v>8</v>
      </c>
      <c r="C262" s="30" t="s">
        <v>857</v>
      </c>
      <c r="D262" s="15" t="s">
        <v>935</v>
      </c>
      <c r="E262" s="15" t="s">
        <v>944</v>
      </c>
      <c r="F262" s="15" t="s">
        <v>945</v>
      </c>
      <c r="G262" s="29" t="s">
        <v>932</v>
      </c>
      <c r="H262" s="15"/>
      <c r="I262" s="15" t="s">
        <v>933</v>
      </c>
      <c r="J262" s="15" t="s">
        <v>934</v>
      </c>
      <c r="K262" s="15" t="s">
        <v>946</v>
      </c>
      <c r="L262" s="15" t="s">
        <v>233</v>
      </c>
      <c r="M262" s="15" t="s">
        <v>219</v>
      </c>
      <c r="N262" s="15" t="s">
        <v>219</v>
      </c>
      <c r="O262" s="15" t="s">
        <v>219</v>
      </c>
      <c r="P262" s="15" t="s">
        <v>219</v>
      </c>
      <c r="Q262" s="15" t="s">
        <v>219</v>
      </c>
      <c r="R262" s="15" t="s">
        <v>267</v>
      </c>
      <c r="S262" s="15" t="s">
        <v>947</v>
      </c>
      <c r="T262" s="15" t="s">
        <v>219</v>
      </c>
      <c r="U262" s="15" t="s">
        <v>349</v>
      </c>
      <c r="V262" s="15" t="s">
        <v>219</v>
      </c>
      <c r="W262" s="15">
        <v>17</v>
      </c>
      <c r="X262" s="15" t="str">
        <f>_xlfn.XLOOKUP(tblMeasure[[#This Row],[id_src]],tblSource[id_src],tblSource[org])</f>
        <v>Skills for Care</v>
      </c>
      <c r="Y262" s="15" t="str">
        <f>_xlfn.XLOOKUP(tblMeasure[[#This Row],[id_src]],tblSource[id_src],tblSource[source])</f>
        <v>State of the ASC sector and workforce</v>
      </c>
      <c r="Z262" s="15" t="str">
        <f>_xlfn.XLOOKUP(tblMeasure[[#This Row],[id_src]],tblSource[id_src],tblSource[url_source])</f>
        <v>https://www.skillsforcare.org.uk/adult-social-care-workforce-data/Workforce-intelligence/publications/national-information/The-state-of-the-adult-social-care-sector-and-workforce-in-England.aspx</v>
      </c>
      <c r="AA262" s="15">
        <f>_xlfn.XLOOKUP(tblMeasure[[#This Row],[id_src]],tblSource[id_src],tblSource[year_first_published])</f>
        <v>2012</v>
      </c>
      <c r="AB262" s="15">
        <f>_xlfn.XLOOKUP(tblMeasure[[#This Row],[id_src]],tblSource[id_src],tblSource[year_last_published])</f>
        <v>2019</v>
      </c>
      <c r="AC262" s="15">
        <f>_xlfn.XLOOKUP(tblMeasure[[#This Row],[id_src]],tblSource[id_src],tblSource[discontinuity])</f>
        <v>0</v>
      </c>
      <c r="AD262" s="15" t="str">
        <f>_xlfn.XLOOKUP(tblMeasure[[#This Row],[id_src]],tblSource[id_src],tblSource[publication_frequency])</f>
        <v>Annual</v>
      </c>
      <c r="AE262" s="15" t="str">
        <f>_xlfn.XLOOKUP(tblMeasure[[#This Row],[id_src]],tblSource[id_src],tblSource[publication_lag_months])</f>
        <v>TBD</v>
      </c>
      <c r="AF262" s="25" t="str">
        <f>_xlfn.XLOOKUP(tblMeasure[[#This Row],[id_src]],tblSource[id_src],tblSource[data_providers])</f>
        <v>LA,Independents</v>
      </c>
      <c r="AG262" s="25" t="str">
        <f>_xlfn.XLOOKUP(tblMeasure[[#This Row],[id_src]],tblSource[id_src],tblSource[statistic_class])</f>
        <v>TBD</v>
      </c>
      <c r="AH262" s="25" t="str">
        <f>_xlfn.XLOOKUP(tblMeasure[[#This Row],[id_src]],tblSource[id_src],tblSource[methodology_link])</f>
        <v>https://www.skillsforcare.org.uk/adult-social-care-workforce-data/Workforce-intelligence/Our-work/Our-data.aspx</v>
      </c>
      <c r="AI262" s="25" t="str">
        <f>_xlfn.XLOOKUP(tblMeasure[[#This Row],[id_src]],tblSource[id_src],tblSource[quality_issues])</f>
        <v>https://www.skillsforcare.org.uk/adult-social-care-workforce-data/Workforce-intelligence/documents/ASC-Workforce-Statistical-Appendix-2019.xlsx</v>
      </c>
      <c r="AJ262" s="25">
        <f>VLOOKUP(tblMeasure[[#This Row],[msr_population_or_survey]],strlu_msr_population_or_survey,2,FALSE)</f>
        <v>0.5</v>
      </c>
      <c r="AK262" s="25">
        <f>VLOOKUP(tblMeasure[[#This Row],[msr_min_geo_resolution]],strlu_msr_min_geo_resolution,2,FALSE)</f>
        <v>0</v>
      </c>
      <c r="AL262" s="25">
        <f>(MAX(tblMeasure[[#This Row],[src_year_last_published]]-2010+1,0)+MIN(2010-tblMeasure[[#This Row],[src_year_first_published]],0)-MAX(tblMeasure[[#This Row],[src_year_last_published]]-2019,0))/10</f>
        <v>0.8</v>
      </c>
      <c r="AM262" s="25">
        <f>IF(OR(tblMeasure[[#This Row],[src_discontinuity]]="None",tblMeasure[[#This Row],[src_discontinuity]]=0),1,0)</f>
        <v>1</v>
      </c>
      <c r="AN262" s="25">
        <f>VLOOKUP(tblMeasure[[#This Row],[src_pub_frequency]],strlu_src_pub_frequency,2,FALSE)</f>
        <v>0.8</v>
      </c>
      <c r="AO262" s="25">
        <f>VLOOKUP(tblMeasure[[#This Row],[src_pub_lag_months]],strlu_src_pub_lag_months,2,FALSE)</f>
        <v>0</v>
      </c>
      <c r="AP262" s="25">
        <f>VLOOKUP(tblMeasure[[#This Row],[src_statistic_class]],strlu_src_statistic_class,2,FALSE)</f>
        <v>0</v>
      </c>
      <c r="AQ262" s="25">
        <f>IF(tblMeasure[[#This Row],[src_methodology_url]]="TBD",0,1)</f>
        <v>1</v>
      </c>
      <c r="AR262" s="25">
        <f>IF(tblMeasure[[#This Row],[src_quality_url]]="TBD",0,1)</f>
        <v>1</v>
      </c>
      <c r="AS262" s="85" cm="1">
        <f t="array" ref="AS262">SUMPRODUCT(TRANSPOSE(tblMeasure[[#This Row],[str_msr_population_or_survey]:[str_src_quality_url]]),str_weights)/str_weights_total</f>
        <v>0.47692307692307695</v>
      </c>
    </row>
    <row r="263" spans="1:45" hidden="1" x14ac:dyDescent="0.15">
      <c r="A263" s="30">
        <v>261</v>
      </c>
      <c r="B263" s="15">
        <f>COUNTIF(requirement_measure_map!$D$3:$D$1514,measure!A263)</f>
        <v>0</v>
      </c>
      <c r="C263" s="30" t="s">
        <v>847</v>
      </c>
      <c r="D263" s="15" t="s">
        <v>935</v>
      </c>
      <c r="E263" s="15" t="s">
        <v>948</v>
      </c>
      <c r="F263" s="15" t="s">
        <v>949</v>
      </c>
      <c r="G263" s="29" t="s">
        <v>932</v>
      </c>
      <c r="H263" s="15"/>
      <c r="I263" s="15" t="s">
        <v>933</v>
      </c>
      <c r="J263" s="15" t="s">
        <v>934</v>
      </c>
      <c r="K263" s="15" t="s">
        <v>950</v>
      </c>
      <c r="L263" s="15" t="s">
        <v>233</v>
      </c>
      <c r="M263" s="15" t="s">
        <v>219</v>
      </c>
      <c r="N263" s="15" t="s">
        <v>219</v>
      </c>
      <c r="O263" s="15" t="s">
        <v>219</v>
      </c>
      <c r="P263" s="15" t="s">
        <v>219</v>
      </c>
      <c r="Q263" s="15" t="s">
        <v>219</v>
      </c>
      <c r="R263" s="15" t="s">
        <v>218</v>
      </c>
      <c r="S263" s="15" t="s">
        <v>252</v>
      </c>
      <c r="T263" s="15" t="s">
        <v>219</v>
      </c>
      <c r="U263" s="15" t="s">
        <v>219</v>
      </c>
      <c r="V263" s="15" t="s">
        <v>219</v>
      </c>
      <c r="W263" s="15">
        <v>17</v>
      </c>
      <c r="X263" s="15" t="str">
        <f>_xlfn.XLOOKUP(tblMeasure[[#This Row],[id_src]],tblSource[id_src],tblSource[org])</f>
        <v>Skills for Care</v>
      </c>
      <c r="Y263" s="15" t="str">
        <f>_xlfn.XLOOKUP(tblMeasure[[#This Row],[id_src]],tblSource[id_src],tblSource[source])</f>
        <v>State of the ASC sector and workforce</v>
      </c>
      <c r="Z263" s="15" t="str">
        <f>_xlfn.XLOOKUP(tblMeasure[[#This Row],[id_src]],tblSource[id_src],tblSource[url_source])</f>
        <v>https://www.skillsforcare.org.uk/adult-social-care-workforce-data/Workforce-intelligence/publications/national-information/The-state-of-the-adult-social-care-sector-and-workforce-in-England.aspx</v>
      </c>
      <c r="AA263" s="15">
        <f>_xlfn.XLOOKUP(tblMeasure[[#This Row],[id_src]],tblSource[id_src],tblSource[year_first_published])</f>
        <v>2012</v>
      </c>
      <c r="AB263" s="15">
        <f>_xlfn.XLOOKUP(tblMeasure[[#This Row],[id_src]],tblSource[id_src],tblSource[year_last_published])</f>
        <v>2019</v>
      </c>
      <c r="AC263" s="15">
        <f>_xlfn.XLOOKUP(tblMeasure[[#This Row],[id_src]],tblSource[id_src],tblSource[discontinuity])</f>
        <v>0</v>
      </c>
      <c r="AD263" s="15" t="str">
        <f>_xlfn.XLOOKUP(tblMeasure[[#This Row],[id_src]],tblSource[id_src],tblSource[publication_frequency])</f>
        <v>Annual</v>
      </c>
      <c r="AE263" s="15" t="str">
        <f>_xlfn.XLOOKUP(tblMeasure[[#This Row],[id_src]],tblSource[id_src],tblSource[publication_lag_months])</f>
        <v>TBD</v>
      </c>
      <c r="AF263" s="25" t="str">
        <f>_xlfn.XLOOKUP(tblMeasure[[#This Row],[id_src]],tblSource[id_src],tblSource[data_providers])</f>
        <v>LA,Independents</v>
      </c>
      <c r="AG263" s="25" t="str">
        <f>_xlfn.XLOOKUP(tblMeasure[[#This Row],[id_src]],tblSource[id_src],tblSource[statistic_class])</f>
        <v>TBD</v>
      </c>
      <c r="AH263" s="25" t="str">
        <f>_xlfn.XLOOKUP(tblMeasure[[#This Row],[id_src]],tblSource[id_src],tblSource[methodology_link])</f>
        <v>https://www.skillsforcare.org.uk/adult-social-care-workforce-data/Workforce-intelligence/Our-work/Our-data.aspx</v>
      </c>
      <c r="AI263" s="25" t="str">
        <f>_xlfn.XLOOKUP(tblMeasure[[#This Row],[id_src]],tblSource[id_src],tblSource[quality_issues])</f>
        <v>https://www.skillsforcare.org.uk/adult-social-care-workforce-data/Workforce-intelligence/documents/ASC-Workforce-Statistical-Appendix-2019.xlsx</v>
      </c>
      <c r="AJ263" s="25">
        <f>VLOOKUP(tblMeasure[[#This Row],[msr_population_or_survey]],strlu_msr_population_or_survey,2,FALSE)</f>
        <v>0.5</v>
      </c>
      <c r="AK263" s="25">
        <f>VLOOKUP(tblMeasure[[#This Row],[msr_min_geo_resolution]],strlu_msr_min_geo_resolution,2,FALSE)</f>
        <v>0</v>
      </c>
      <c r="AL263" s="25">
        <f>(MAX(tblMeasure[[#This Row],[src_year_last_published]]-2010+1,0)+MIN(2010-tblMeasure[[#This Row],[src_year_first_published]],0)-MAX(tblMeasure[[#This Row],[src_year_last_published]]-2019,0))/10</f>
        <v>0.8</v>
      </c>
      <c r="AM263" s="25">
        <f>IF(OR(tblMeasure[[#This Row],[src_discontinuity]]="None",tblMeasure[[#This Row],[src_discontinuity]]=0),1,0)</f>
        <v>1</v>
      </c>
      <c r="AN263" s="25">
        <f>VLOOKUP(tblMeasure[[#This Row],[src_pub_frequency]],strlu_src_pub_frequency,2,FALSE)</f>
        <v>0.8</v>
      </c>
      <c r="AO263" s="25">
        <f>VLOOKUP(tblMeasure[[#This Row],[src_pub_lag_months]],strlu_src_pub_lag_months,2,FALSE)</f>
        <v>0</v>
      </c>
      <c r="AP263" s="25">
        <f>VLOOKUP(tblMeasure[[#This Row],[src_statistic_class]],strlu_src_statistic_class,2,FALSE)</f>
        <v>0</v>
      </c>
      <c r="AQ263" s="25">
        <f>IF(tblMeasure[[#This Row],[src_methodology_url]]="TBD",0,1)</f>
        <v>1</v>
      </c>
      <c r="AR263" s="25">
        <f>IF(tblMeasure[[#This Row],[src_quality_url]]="TBD",0,1)</f>
        <v>1</v>
      </c>
      <c r="AS263" s="85" cm="1">
        <f t="array" ref="AS263">SUMPRODUCT(TRANSPOSE(tblMeasure[[#This Row],[str_msr_population_or_survey]:[str_src_quality_url]]),str_weights)/str_weights_total</f>
        <v>0.47692307692307695</v>
      </c>
    </row>
    <row r="264" spans="1:45" hidden="1" x14ac:dyDescent="0.15">
      <c r="A264" s="30">
        <v>262</v>
      </c>
      <c r="B264" s="15">
        <f>COUNTIF(requirement_measure_map!$D$3:$D$1514,measure!A264)</f>
        <v>1</v>
      </c>
      <c r="C264" s="30" t="s">
        <v>857</v>
      </c>
      <c r="D264" s="15" t="s">
        <v>935</v>
      </c>
      <c r="E264" s="15" t="s">
        <v>951</v>
      </c>
      <c r="F264" s="15" t="s">
        <v>952</v>
      </c>
      <c r="G264" s="29" t="s">
        <v>932</v>
      </c>
      <c r="H264" s="15"/>
      <c r="I264" s="15" t="s">
        <v>933</v>
      </c>
      <c r="J264" s="15" t="s">
        <v>934</v>
      </c>
      <c r="K264" s="15" t="s">
        <v>953</v>
      </c>
      <c r="L264" s="15" t="s">
        <v>287</v>
      </c>
      <c r="M264" s="15" t="s">
        <v>219</v>
      </c>
      <c r="N264" s="15" t="s">
        <v>219</v>
      </c>
      <c r="O264" s="15" t="s">
        <v>219</v>
      </c>
      <c r="P264" s="15" t="s">
        <v>219</v>
      </c>
      <c r="Q264" s="15" t="s">
        <v>219</v>
      </c>
      <c r="R264" s="15" t="s">
        <v>219</v>
      </c>
      <c r="S264" s="15" t="s">
        <v>220</v>
      </c>
      <c r="T264" s="15" t="s">
        <v>219</v>
      </c>
      <c r="U264" s="15" t="s">
        <v>219</v>
      </c>
      <c r="V264" s="15" t="s">
        <v>219</v>
      </c>
      <c r="W264" s="15">
        <v>17</v>
      </c>
      <c r="X264" s="15" t="str">
        <f>_xlfn.XLOOKUP(tblMeasure[[#This Row],[id_src]],tblSource[id_src],tblSource[org])</f>
        <v>Skills for Care</v>
      </c>
      <c r="Y264" s="15" t="str">
        <f>_xlfn.XLOOKUP(tblMeasure[[#This Row],[id_src]],tblSource[id_src],tblSource[source])</f>
        <v>State of the ASC sector and workforce</v>
      </c>
      <c r="Z264" s="15" t="str">
        <f>_xlfn.XLOOKUP(tblMeasure[[#This Row],[id_src]],tblSource[id_src],tblSource[url_source])</f>
        <v>https://www.skillsforcare.org.uk/adult-social-care-workforce-data/Workforce-intelligence/publications/national-information/The-state-of-the-adult-social-care-sector-and-workforce-in-England.aspx</v>
      </c>
      <c r="AA264" s="15">
        <f>_xlfn.XLOOKUP(tblMeasure[[#This Row],[id_src]],tblSource[id_src],tblSource[year_first_published])</f>
        <v>2012</v>
      </c>
      <c r="AB264" s="15">
        <f>_xlfn.XLOOKUP(tblMeasure[[#This Row],[id_src]],tblSource[id_src],tblSource[year_last_published])</f>
        <v>2019</v>
      </c>
      <c r="AC264" s="15">
        <f>_xlfn.XLOOKUP(tblMeasure[[#This Row],[id_src]],tblSource[id_src],tblSource[discontinuity])</f>
        <v>0</v>
      </c>
      <c r="AD264" s="15" t="str">
        <f>_xlfn.XLOOKUP(tblMeasure[[#This Row],[id_src]],tblSource[id_src],tblSource[publication_frequency])</f>
        <v>Annual</v>
      </c>
      <c r="AE264" s="15" t="str">
        <f>_xlfn.XLOOKUP(tblMeasure[[#This Row],[id_src]],tblSource[id_src],tblSource[publication_lag_months])</f>
        <v>TBD</v>
      </c>
      <c r="AF264" s="25" t="str">
        <f>_xlfn.XLOOKUP(tblMeasure[[#This Row],[id_src]],tblSource[id_src],tblSource[data_providers])</f>
        <v>LA,Independents</v>
      </c>
      <c r="AG264" s="25" t="str">
        <f>_xlfn.XLOOKUP(tblMeasure[[#This Row],[id_src]],tblSource[id_src],tblSource[statistic_class])</f>
        <v>TBD</v>
      </c>
      <c r="AH264" s="25" t="str">
        <f>_xlfn.XLOOKUP(tblMeasure[[#This Row],[id_src]],tblSource[id_src],tblSource[methodology_link])</f>
        <v>https://www.skillsforcare.org.uk/adult-social-care-workforce-data/Workforce-intelligence/Our-work/Our-data.aspx</v>
      </c>
      <c r="AI264" s="25" t="str">
        <f>_xlfn.XLOOKUP(tblMeasure[[#This Row],[id_src]],tblSource[id_src],tblSource[quality_issues])</f>
        <v>https://www.skillsforcare.org.uk/adult-social-care-workforce-data/Workforce-intelligence/documents/ASC-Workforce-Statistical-Appendix-2019.xlsx</v>
      </c>
      <c r="AJ264" s="25">
        <f>VLOOKUP(tblMeasure[[#This Row],[msr_population_or_survey]],strlu_msr_population_or_survey,2,FALSE)</f>
        <v>0.5</v>
      </c>
      <c r="AK264" s="25">
        <f>VLOOKUP(tblMeasure[[#This Row],[msr_min_geo_resolution]],strlu_msr_min_geo_resolution,2,FALSE)</f>
        <v>0.5</v>
      </c>
      <c r="AL264" s="25">
        <f>(MAX(tblMeasure[[#This Row],[src_year_last_published]]-2010+1,0)+MIN(2010-tblMeasure[[#This Row],[src_year_first_published]],0)-MAX(tblMeasure[[#This Row],[src_year_last_published]]-2019,0))/10</f>
        <v>0.8</v>
      </c>
      <c r="AM264" s="25">
        <f>IF(OR(tblMeasure[[#This Row],[src_discontinuity]]="None",tblMeasure[[#This Row],[src_discontinuity]]=0),1,0)</f>
        <v>1</v>
      </c>
      <c r="AN264" s="25">
        <f>VLOOKUP(tblMeasure[[#This Row],[src_pub_frequency]],strlu_src_pub_frequency,2,FALSE)</f>
        <v>0.8</v>
      </c>
      <c r="AO264" s="25">
        <f>VLOOKUP(tblMeasure[[#This Row],[src_pub_lag_months]],strlu_src_pub_lag_months,2,FALSE)</f>
        <v>0</v>
      </c>
      <c r="AP264" s="25">
        <f>VLOOKUP(tblMeasure[[#This Row],[src_statistic_class]],strlu_src_statistic_class,2,FALSE)</f>
        <v>0</v>
      </c>
      <c r="AQ264" s="25">
        <f>IF(tblMeasure[[#This Row],[src_methodology_url]]="TBD",0,1)</f>
        <v>1</v>
      </c>
      <c r="AR264" s="25">
        <f>IF(tblMeasure[[#This Row],[src_quality_url]]="TBD",0,1)</f>
        <v>1</v>
      </c>
      <c r="AS264" s="85" cm="1">
        <f t="array" ref="AS264">SUMPRODUCT(TRANSPOSE(tblMeasure[[#This Row],[str_msr_population_or_survey]:[str_src_quality_url]]),str_weights)/str_weights_total</f>
        <v>0.55384615384615377</v>
      </c>
    </row>
    <row r="265" spans="1:45" hidden="1" x14ac:dyDescent="0.15">
      <c r="A265" s="30">
        <v>263</v>
      </c>
      <c r="B265" s="15">
        <f>COUNTIF(requirement_measure_map!$D$3:$D$1514,measure!A265)</f>
        <v>2</v>
      </c>
      <c r="C265" s="30" t="s">
        <v>857</v>
      </c>
      <c r="D265" s="15" t="s">
        <v>935</v>
      </c>
      <c r="E265" s="15" t="s">
        <v>954</v>
      </c>
      <c r="F265" s="15" t="s">
        <v>955</v>
      </c>
      <c r="G265" s="29" t="s">
        <v>932</v>
      </c>
      <c r="H265" s="15"/>
      <c r="I265" s="15" t="s">
        <v>933</v>
      </c>
      <c r="J265" s="15" t="s">
        <v>934</v>
      </c>
      <c r="K265" s="15" t="s">
        <v>956</v>
      </c>
      <c r="L265" s="15" t="s">
        <v>287</v>
      </c>
      <c r="M265" s="15" t="s">
        <v>219</v>
      </c>
      <c r="N265" s="15" t="s">
        <v>219</v>
      </c>
      <c r="O265" s="15" t="s">
        <v>219</v>
      </c>
      <c r="P265" s="15" t="s">
        <v>219</v>
      </c>
      <c r="Q265" s="15" t="s">
        <v>219</v>
      </c>
      <c r="R265" s="15" t="s">
        <v>219</v>
      </c>
      <c r="S265" s="15" t="s">
        <v>220</v>
      </c>
      <c r="T265" s="15" t="s">
        <v>219</v>
      </c>
      <c r="U265" s="15" t="s">
        <v>219</v>
      </c>
      <c r="V265" s="15" t="s">
        <v>219</v>
      </c>
      <c r="W265" s="15">
        <v>17</v>
      </c>
      <c r="X265" s="15" t="str">
        <f>_xlfn.XLOOKUP(tblMeasure[[#This Row],[id_src]],tblSource[id_src],tblSource[org])</f>
        <v>Skills for Care</v>
      </c>
      <c r="Y265" s="15" t="str">
        <f>_xlfn.XLOOKUP(tblMeasure[[#This Row],[id_src]],tblSource[id_src],tblSource[source])</f>
        <v>State of the ASC sector and workforce</v>
      </c>
      <c r="Z265" s="15" t="str">
        <f>_xlfn.XLOOKUP(tblMeasure[[#This Row],[id_src]],tblSource[id_src],tblSource[url_source])</f>
        <v>https://www.skillsforcare.org.uk/adult-social-care-workforce-data/Workforce-intelligence/publications/national-information/The-state-of-the-adult-social-care-sector-and-workforce-in-England.aspx</v>
      </c>
      <c r="AA265" s="15">
        <f>_xlfn.XLOOKUP(tblMeasure[[#This Row],[id_src]],tblSource[id_src],tblSource[year_first_published])</f>
        <v>2012</v>
      </c>
      <c r="AB265" s="15">
        <f>_xlfn.XLOOKUP(tblMeasure[[#This Row],[id_src]],tblSource[id_src],tblSource[year_last_published])</f>
        <v>2019</v>
      </c>
      <c r="AC265" s="15">
        <f>_xlfn.XLOOKUP(tblMeasure[[#This Row],[id_src]],tblSource[id_src],tblSource[discontinuity])</f>
        <v>0</v>
      </c>
      <c r="AD265" s="15" t="str">
        <f>_xlfn.XLOOKUP(tblMeasure[[#This Row],[id_src]],tblSource[id_src],tblSource[publication_frequency])</f>
        <v>Annual</v>
      </c>
      <c r="AE265" s="15" t="str">
        <f>_xlfn.XLOOKUP(tblMeasure[[#This Row],[id_src]],tblSource[id_src],tblSource[publication_lag_months])</f>
        <v>TBD</v>
      </c>
      <c r="AF265" s="25" t="str">
        <f>_xlfn.XLOOKUP(tblMeasure[[#This Row],[id_src]],tblSource[id_src],tblSource[data_providers])</f>
        <v>LA,Independents</v>
      </c>
      <c r="AG265" s="25" t="str">
        <f>_xlfn.XLOOKUP(tblMeasure[[#This Row],[id_src]],tblSource[id_src],tblSource[statistic_class])</f>
        <v>TBD</v>
      </c>
      <c r="AH265" s="25" t="str">
        <f>_xlfn.XLOOKUP(tblMeasure[[#This Row],[id_src]],tblSource[id_src],tblSource[methodology_link])</f>
        <v>https://www.skillsforcare.org.uk/adult-social-care-workforce-data/Workforce-intelligence/Our-work/Our-data.aspx</v>
      </c>
      <c r="AI265" s="25" t="str">
        <f>_xlfn.XLOOKUP(tblMeasure[[#This Row],[id_src]],tblSource[id_src],tblSource[quality_issues])</f>
        <v>https://www.skillsforcare.org.uk/adult-social-care-workforce-data/Workforce-intelligence/documents/ASC-Workforce-Statistical-Appendix-2019.xlsx</v>
      </c>
      <c r="AJ265" s="25">
        <f>VLOOKUP(tblMeasure[[#This Row],[msr_population_or_survey]],strlu_msr_population_or_survey,2,FALSE)</f>
        <v>0.5</v>
      </c>
      <c r="AK265" s="25">
        <f>VLOOKUP(tblMeasure[[#This Row],[msr_min_geo_resolution]],strlu_msr_min_geo_resolution,2,FALSE)</f>
        <v>0.5</v>
      </c>
      <c r="AL265" s="25">
        <f>(MAX(tblMeasure[[#This Row],[src_year_last_published]]-2010+1,0)+MIN(2010-tblMeasure[[#This Row],[src_year_first_published]],0)-MAX(tblMeasure[[#This Row],[src_year_last_published]]-2019,0))/10</f>
        <v>0.8</v>
      </c>
      <c r="AM265" s="25">
        <f>IF(OR(tblMeasure[[#This Row],[src_discontinuity]]="None",tblMeasure[[#This Row],[src_discontinuity]]=0),1,0)</f>
        <v>1</v>
      </c>
      <c r="AN265" s="25">
        <f>VLOOKUP(tblMeasure[[#This Row],[src_pub_frequency]],strlu_src_pub_frequency,2,FALSE)</f>
        <v>0.8</v>
      </c>
      <c r="AO265" s="25">
        <f>VLOOKUP(tblMeasure[[#This Row],[src_pub_lag_months]],strlu_src_pub_lag_months,2,FALSE)</f>
        <v>0</v>
      </c>
      <c r="AP265" s="25">
        <f>VLOOKUP(tblMeasure[[#This Row],[src_statistic_class]],strlu_src_statistic_class,2,FALSE)</f>
        <v>0</v>
      </c>
      <c r="AQ265" s="25">
        <f>IF(tblMeasure[[#This Row],[src_methodology_url]]="TBD",0,1)</f>
        <v>1</v>
      </c>
      <c r="AR265" s="25">
        <f>IF(tblMeasure[[#This Row],[src_quality_url]]="TBD",0,1)</f>
        <v>1</v>
      </c>
      <c r="AS265" s="85" cm="1">
        <f t="array" ref="AS265">SUMPRODUCT(TRANSPOSE(tblMeasure[[#This Row],[str_msr_population_or_survey]:[str_src_quality_url]]),str_weights)/str_weights_total</f>
        <v>0.55384615384615377</v>
      </c>
    </row>
    <row r="266" spans="1:45" hidden="1" x14ac:dyDescent="0.15">
      <c r="A266" s="30">
        <v>264</v>
      </c>
      <c r="B266" s="15">
        <f>COUNTIF(requirement_measure_map!$D$3:$D$1514,measure!A266)</f>
        <v>8</v>
      </c>
      <c r="C266" s="30" t="s">
        <v>857</v>
      </c>
      <c r="D266" s="15" t="s">
        <v>957</v>
      </c>
      <c r="E266" s="15" t="s">
        <v>958</v>
      </c>
      <c r="F266" s="15" t="s">
        <v>959</v>
      </c>
      <c r="G266" s="29" t="s">
        <v>932</v>
      </c>
      <c r="H266" s="15"/>
      <c r="I266" s="15" t="s">
        <v>933</v>
      </c>
      <c r="J266" s="15" t="s">
        <v>934</v>
      </c>
      <c r="K266" s="15" t="s">
        <v>960</v>
      </c>
      <c r="L266" s="15" t="s">
        <v>287</v>
      </c>
      <c r="M266" s="15" t="s">
        <v>219</v>
      </c>
      <c r="N266" s="15" t="s">
        <v>219</v>
      </c>
      <c r="O266" s="15" t="s">
        <v>219</v>
      </c>
      <c r="P266" s="15" t="s">
        <v>219</v>
      </c>
      <c r="Q266" s="15" t="s">
        <v>219</v>
      </c>
      <c r="R266" s="15" t="s">
        <v>267</v>
      </c>
      <c r="S266" s="15" t="s">
        <v>240</v>
      </c>
      <c r="T266" s="15" t="s">
        <v>219</v>
      </c>
      <c r="U266" s="15" t="s">
        <v>349</v>
      </c>
      <c r="V266" s="15" t="s">
        <v>219</v>
      </c>
      <c r="W266" s="15">
        <v>17</v>
      </c>
      <c r="X266" s="15" t="str">
        <f>_xlfn.XLOOKUP(tblMeasure[[#This Row],[id_src]],tblSource[id_src],tblSource[org])</f>
        <v>Skills for Care</v>
      </c>
      <c r="Y266" s="15" t="str">
        <f>_xlfn.XLOOKUP(tblMeasure[[#This Row],[id_src]],tblSource[id_src],tblSource[source])</f>
        <v>State of the ASC sector and workforce</v>
      </c>
      <c r="Z266" s="15" t="str">
        <f>_xlfn.XLOOKUP(tblMeasure[[#This Row],[id_src]],tblSource[id_src],tblSource[url_source])</f>
        <v>https://www.skillsforcare.org.uk/adult-social-care-workforce-data/Workforce-intelligence/publications/national-information/The-state-of-the-adult-social-care-sector-and-workforce-in-England.aspx</v>
      </c>
      <c r="AA266" s="15">
        <f>_xlfn.XLOOKUP(tblMeasure[[#This Row],[id_src]],tblSource[id_src],tblSource[year_first_published])</f>
        <v>2012</v>
      </c>
      <c r="AB266" s="15">
        <f>_xlfn.XLOOKUP(tblMeasure[[#This Row],[id_src]],tblSource[id_src],tblSource[year_last_published])</f>
        <v>2019</v>
      </c>
      <c r="AC266" s="15">
        <f>_xlfn.XLOOKUP(tblMeasure[[#This Row],[id_src]],tblSource[id_src],tblSource[discontinuity])</f>
        <v>0</v>
      </c>
      <c r="AD266" s="15" t="str">
        <f>_xlfn.XLOOKUP(tblMeasure[[#This Row],[id_src]],tblSource[id_src],tblSource[publication_frequency])</f>
        <v>Annual</v>
      </c>
      <c r="AE266" s="15" t="str">
        <f>_xlfn.XLOOKUP(tblMeasure[[#This Row],[id_src]],tblSource[id_src],tblSource[publication_lag_months])</f>
        <v>TBD</v>
      </c>
      <c r="AF266" s="25" t="str">
        <f>_xlfn.XLOOKUP(tblMeasure[[#This Row],[id_src]],tblSource[id_src],tblSource[data_providers])</f>
        <v>LA,Independents</v>
      </c>
      <c r="AG266" s="25" t="str">
        <f>_xlfn.XLOOKUP(tblMeasure[[#This Row],[id_src]],tblSource[id_src],tblSource[statistic_class])</f>
        <v>TBD</v>
      </c>
      <c r="AH266" s="25" t="str">
        <f>_xlfn.XLOOKUP(tblMeasure[[#This Row],[id_src]],tblSource[id_src],tblSource[methodology_link])</f>
        <v>https://www.skillsforcare.org.uk/adult-social-care-workforce-data/Workforce-intelligence/Our-work/Our-data.aspx</v>
      </c>
      <c r="AI266" s="25" t="str">
        <f>_xlfn.XLOOKUP(tblMeasure[[#This Row],[id_src]],tblSource[id_src],tblSource[quality_issues])</f>
        <v>https://www.skillsforcare.org.uk/adult-social-care-workforce-data/Workforce-intelligence/documents/ASC-Workforce-Statistical-Appendix-2019.xlsx</v>
      </c>
      <c r="AJ266" s="25">
        <f>VLOOKUP(tblMeasure[[#This Row],[msr_population_or_survey]],strlu_msr_population_or_survey,2,FALSE)</f>
        <v>0.5</v>
      </c>
      <c r="AK266" s="25">
        <f>VLOOKUP(tblMeasure[[#This Row],[msr_min_geo_resolution]],strlu_msr_min_geo_resolution,2,FALSE)</f>
        <v>0.5</v>
      </c>
      <c r="AL266" s="25">
        <f>(MAX(tblMeasure[[#This Row],[src_year_last_published]]-2010+1,0)+MIN(2010-tblMeasure[[#This Row],[src_year_first_published]],0)-MAX(tblMeasure[[#This Row],[src_year_last_published]]-2019,0))/10</f>
        <v>0.8</v>
      </c>
      <c r="AM266" s="25">
        <f>IF(OR(tblMeasure[[#This Row],[src_discontinuity]]="None",tblMeasure[[#This Row],[src_discontinuity]]=0),1,0)</f>
        <v>1</v>
      </c>
      <c r="AN266" s="25">
        <f>VLOOKUP(tblMeasure[[#This Row],[src_pub_frequency]],strlu_src_pub_frequency,2,FALSE)</f>
        <v>0.8</v>
      </c>
      <c r="AO266" s="25">
        <f>VLOOKUP(tblMeasure[[#This Row],[src_pub_lag_months]],strlu_src_pub_lag_months,2,FALSE)</f>
        <v>0</v>
      </c>
      <c r="AP266" s="25">
        <f>VLOOKUP(tblMeasure[[#This Row],[src_statistic_class]],strlu_src_statistic_class,2,FALSE)</f>
        <v>0</v>
      </c>
      <c r="AQ266" s="25">
        <f>IF(tblMeasure[[#This Row],[src_methodology_url]]="TBD",0,1)</f>
        <v>1</v>
      </c>
      <c r="AR266" s="25">
        <f>IF(tblMeasure[[#This Row],[src_quality_url]]="TBD",0,1)</f>
        <v>1</v>
      </c>
      <c r="AS266" s="85" cm="1">
        <f t="array" ref="AS266">SUMPRODUCT(TRANSPOSE(tblMeasure[[#This Row],[str_msr_population_or_survey]:[str_src_quality_url]]),str_weights)/str_weights_total</f>
        <v>0.55384615384615377</v>
      </c>
    </row>
    <row r="267" spans="1:45" hidden="1" x14ac:dyDescent="0.15">
      <c r="A267" s="30">
        <v>265</v>
      </c>
      <c r="B267" s="15">
        <f>COUNTIF(requirement_measure_map!$D$3:$D$1514,measure!A267)</f>
        <v>0</v>
      </c>
      <c r="C267" s="30" t="s">
        <v>847</v>
      </c>
      <c r="D267" s="15" t="s">
        <v>957</v>
      </c>
      <c r="E267" s="15" t="s">
        <v>961</v>
      </c>
      <c r="F267" s="15" t="s">
        <v>962</v>
      </c>
      <c r="G267" s="29" t="s">
        <v>932</v>
      </c>
      <c r="H267" s="15"/>
      <c r="I267" s="15" t="s">
        <v>933</v>
      </c>
      <c r="J267" s="15" t="s">
        <v>934</v>
      </c>
      <c r="K267" s="15" t="s">
        <v>963</v>
      </c>
      <c r="L267" s="15" t="s">
        <v>287</v>
      </c>
      <c r="M267" s="15" t="s">
        <v>219</v>
      </c>
      <c r="N267" s="15" t="s">
        <v>219</v>
      </c>
      <c r="O267" s="15" t="s">
        <v>219</v>
      </c>
      <c r="P267" s="15" t="s">
        <v>219</v>
      </c>
      <c r="Q267" s="15" t="s">
        <v>219</v>
      </c>
      <c r="R267" s="15" t="s">
        <v>267</v>
      </c>
      <c r="S267" s="15" t="s">
        <v>240</v>
      </c>
      <c r="T267" s="15" t="s">
        <v>219</v>
      </c>
      <c r="U267" s="15" t="s">
        <v>219</v>
      </c>
      <c r="V267" s="15" t="s">
        <v>219</v>
      </c>
      <c r="W267" s="15">
        <v>17</v>
      </c>
      <c r="X267" s="15" t="str">
        <f>_xlfn.XLOOKUP(tblMeasure[[#This Row],[id_src]],tblSource[id_src],tblSource[org])</f>
        <v>Skills for Care</v>
      </c>
      <c r="Y267" s="15" t="str">
        <f>_xlfn.XLOOKUP(tblMeasure[[#This Row],[id_src]],tblSource[id_src],tblSource[source])</f>
        <v>State of the ASC sector and workforce</v>
      </c>
      <c r="Z267" s="15" t="str">
        <f>_xlfn.XLOOKUP(tblMeasure[[#This Row],[id_src]],tblSource[id_src],tblSource[url_source])</f>
        <v>https://www.skillsforcare.org.uk/adult-social-care-workforce-data/Workforce-intelligence/publications/national-information/The-state-of-the-adult-social-care-sector-and-workforce-in-England.aspx</v>
      </c>
      <c r="AA267" s="15">
        <f>_xlfn.XLOOKUP(tblMeasure[[#This Row],[id_src]],tblSource[id_src],tblSource[year_first_published])</f>
        <v>2012</v>
      </c>
      <c r="AB267" s="15">
        <f>_xlfn.XLOOKUP(tblMeasure[[#This Row],[id_src]],tblSource[id_src],tblSource[year_last_published])</f>
        <v>2019</v>
      </c>
      <c r="AC267" s="15">
        <f>_xlfn.XLOOKUP(tblMeasure[[#This Row],[id_src]],tblSource[id_src],tblSource[discontinuity])</f>
        <v>0</v>
      </c>
      <c r="AD267" s="15" t="str">
        <f>_xlfn.XLOOKUP(tblMeasure[[#This Row],[id_src]],tblSource[id_src],tblSource[publication_frequency])</f>
        <v>Annual</v>
      </c>
      <c r="AE267" s="15" t="str">
        <f>_xlfn.XLOOKUP(tblMeasure[[#This Row],[id_src]],tblSource[id_src],tblSource[publication_lag_months])</f>
        <v>TBD</v>
      </c>
      <c r="AF267" s="25" t="str">
        <f>_xlfn.XLOOKUP(tblMeasure[[#This Row],[id_src]],tblSource[id_src],tblSource[data_providers])</f>
        <v>LA,Independents</v>
      </c>
      <c r="AG267" s="25" t="str">
        <f>_xlfn.XLOOKUP(tblMeasure[[#This Row],[id_src]],tblSource[id_src],tblSource[statistic_class])</f>
        <v>TBD</v>
      </c>
      <c r="AH267" s="25" t="str">
        <f>_xlfn.XLOOKUP(tblMeasure[[#This Row],[id_src]],tblSource[id_src],tblSource[methodology_link])</f>
        <v>https://www.skillsforcare.org.uk/adult-social-care-workforce-data/Workforce-intelligence/Our-work/Our-data.aspx</v>
      </c>
      <c r="AI267" s="25" t="str">
        <f>_xlfn.XLOOKUP(tblMeasure[[#This Row],[id_src]],tblSource[id_src],tblSource[quality_issues])</f>
        <v>https://www.skillsforcare.org.uk/adult-social-care-workforce-data/Workforce-intelligence/documents/ASC-Workforce-Statistical-Appendix-2019.xlsx</v>
      </c>
      <c r="AJ267" s="25">
        <f>VLOOKUP(tblMeasure[[#This Row],[msr_population_or_survey]],strlu_msr_population_or_survey,2,FALSE)</f>
        <v>0.5</v>
      </c>
      <c r="AK267" s="25">
        <f>VLOOKUP(tblMeasure[[#This Row],[msr_min_geo_resolution]],strlu_msr_min_geo_resolution,2,FALSE)</f>
        <v>0.5</v>
      </c>
      <c r="AL267" s="25">
        <f>(MAX(tblMeasure[[#This Row],[src_year_last_published]]-2010+1,0)+MIN(2010-tblMeasure[[#This Row],[src_year_first_published]],0)-MAX(tblMeasure[[#This Row],[src_year_last_published]]-2019,0))/10</f>
        <v>0.8</v>
      </c>
      <c r="AM267" s="25">
        <f>IF(OR(tblMeasure[[#This Row],[src_discontinuity]]="None",tblMeasure[[#This Row],[src_discontinuity]]=0),1,0)</f>
        <v>1</v>
      </c>
      <c r="AN267" s="25">
        <f>VLOOKUP(tblMeasure[[#This Row],[src_pub_frequency]],strlu_src_pub_frequency,2,FALSE)</f>
        <v>0.8</v>
      </c>
      <c r="AO267" s="25">
        <f>VLOOKUP(tblMeasure[[#This Row],[src_pub_lag_months]],strlu_src_pub_lag_months,2,FALSE)</f>
        <v>0</v>
      </c>
      <c r="AP267" s="25">
        <f>VLOOKUP(tblMeasure[[#This Row],[src_statistic_class]],strlu_src_statistic_class,2,FALSE)</f>
        <v>0</v>
      </c>
      <c r="AQ267" s="25">
        <f>IF(tblMeasure[[#This Row],[src_methodology_url]]="TBD",0,1)</f>
        <v>1</v>
      </c>
      <c r="AR267" s="25">
        <f>IF(tblMeasure[[#This Row],[src_quality_url]]="TBD",0,1)</f>
        <v>1</v>
      </c>
      <c r="AS267" s="85" cm="1">
        <f t="array" ref="AS267">SUMPRODUCT(TRANSPOSE(tblMeasure[[#This Row],[str_msr_population_or_survey]:[str_src_quality_url]]),str_weights)/str_weights_total</f>
        <v>0.55384615384615377</v>
      </c>
    </row>
    <row r="268" spans="1:45" hidden="1" x14ac:dyDescent="0.15">
      <c r="A268" s="30">
        <v>266</v>
      </c>
      <c r="B268" s="15">
        <f>COUNTIF(requirement_measure_map!$D$3:$D$1514,measure!A268)</f>
        <v>9</v>
      </c>
      <c r="C268" s="30" t="s">
        <v>857</v>
      </c>
      <c r="D268" s="15" t="s">
        <v>957</v>
      </c>
      <c r="E268" s="15" t="s">
        <v>964</v>
      </c>
      <c r="F268" s="15" t="s">
        <v>965</v>
      </c>
      <c r="G268" s="29" t="s">
        <v>932</v>
      </c>
      <c r="H268" s="15"/>
      <c r="I268" s="15" t="s">
        <v>933</v>
      </c>
      <c r="J268" s="15" t="s">
        <v>934</v>
      </c>
      <c r="K268" s="15" t="s">
        <v>966</v>
      </c>
      <c r="L268" s="15" t="s">
        <v>287</v>
      </c>
      <c r="M268" s="15" t="s">
        <v>219</v>
      </c>
      <c r="N268" s="15" t="s">
        <v>219</v>
      </c>
      <c r="O268" s="15" t="s">
        <v>219</v>
      </c>
      <c r="P268" s="15" t="s">
        <v>219</v>
      </c>
      <c r="Q268" s="15" t="s">
        <v>219</v>
      </c>
      <c r="R268" s="15" t="s">
        <v>267</v>
      </c>
      <c r="S268" s="15" t="s">
        <v>967</v>
      </c>
      <c r="T268" s="15" t="s">
        <v>219</v>
      </c>
      <c r="U268" s="15" t="s">
        <v>349</v>
      </c>
      <c r="V268" s="15" t="s">
        <v>219</v>
      </c>
      <c r="W268" s="15">
        <v>17</v>
      </c>
      <c r="X268" s="15" t="str">
        <f>_xlfn.XLOOKUP(tblMeasure[[#This Row],[id_src]],tblSource[id_src],tblSource[org])</f>
        <v>Skills for Care</v>
      </c>
      <c r="Y268" s="15" t="str">
        <f>_xlfn.XLOOKUP(tblMeasure[[#This Row],[id_src]],tblSource[id_src],tblSource[source])</f>
        <v>State of the ASC sector and workforce</v>
      </c>
      <c r="Z268" s="15" t="str">
        <f>_xlfn.XLOOKUP(tblMeasure[[#This Row],[id_src]],tblSource[id_src],tblSource[url_source])</f>
        <v>https://www.skillsforcare.org.uk/adult-social-care-workforce-data/Workforce-intelligence/publications/national-information/The-state-of-the-adult-social-care-sector-and-workforce-in-England.aspx</v>
      </c>
      <c r="AA268" s="15">
        <f>_xlfn.XLOOKUP(tblMeasure[[#This Row],[id_src]],tblSource[id_src],tblSource[year_first_published])</f>
        <v>2012</v>
      </c>
      <c r="AB268" s="15">
        <f>_xlfn.XLOOKUP(tblMeasure[[#This Row],[id_src]],tblSource[id_src],tblSource[year_last_published])</f>
        <v>2019</v>
      </c>
      <c r="AC268" s="15">
        <f>_xlfn.XLOOKUP(tblMeasure[[#This Row],[id_src]],tblSource[id_src],tblSource[discontinuity])</f>
        <v>0</v>
      </c>
      <c r="AD268" s="15" t="str">
        <f>_xlfn.XLOOKUP(tblMeasure[[#This Row],[id_src]],tblSource[id_src],tblSource[publication_frequency])</f>
        <v>Annual</v>
      </c>
      <c r="AE268" s="15" t="str">
        <f>_xlfn.XLOOKUP(tblMeasure[[#This Row],[id_src]],tblSource[id_src],tblSource[publication_lag_months])</f>
        <v>TBD</v>
      </c>
      <c r="AF268" s="25" t="str">
        <f>_xlfn.XLOOKUP(tblMeasure[[#This Row],[id_src]],tblSource[id_src],tblSource[data_providers])</f>
        <v>LA,Independents</v>
      </c>
      <c r="AG268" s="25" t="str">
        <f>_xlfn.XLOOKUP(tblMeasure[[#This Row],[id_src]],tblSource[id_src],tblSource[statistic_class])</f>
        <v>TBD</v>
      </c>
      <c r="AH268" s="25" t="str">
        <f>_xlfn.XLOOKUP(tblMeasure[[#This Row],[id_src]],tblSource[id_src],tblSource[methodology_link])</f>
        <v>https://www.skillsforcare.org.uk/adult-social-care-workforce-data/Workforce-intelligence/Our-work/Our-data.aspx</v>
      </c>
      <c r="AI268" s="25" t="str">
        <f>_xlfn.XLOOKUP(tblMeasure[[#This Row],[id_src]],tblSource[id_src],tblSource[quality_issues])</f>
        <v>https://www.skillsforcare.org.uk/adult-social-care-workforce-data/Workforce-intelligence/documents/ASC-Workforce-Statistical-Appendix-2019.xlsx</v>
      </c>
      <c r="AJ268" s="25">
        <f>VLOOKUP(tblMeasure[[#This Row],[msr_population_or_survey]],strlu_msr_population_or_survey,2,FALSE)</f>
        <v>0.5</v>
      </c>
      <c r="AK268" s="25">
        <f>VLOOKUP(tblMeasure[[#This Row],[msr_min_geo_resolution]],strlu_msr_min_geo_resolution,2,FALSE)</f>
        <v>0.5</v>
      </c>
      <c r="AL268" s="25">
        <f>(MAX(tblMeasure[[#This Row],[src_year_last_published]]-2010+1,0)+MIN(2010-tblMeasure[[#This Row],[src_year_first_published]],0)-MAX(tblMeasure[[#This Row],[src_year_last_published]]-2019,0))/10</f>
        <v>0.8</v>
      </c>
      <c r="AM268" s="25">
        <f>IF(OR(tblMeasure[[#This Row],[src_discontinuity]]="None",tblMeasure[[#This Row],[src_discontinuity]]=0),1,0)</f>
        <v>1</v>
      </c>
      <c r="AN268" s="25">
        <f>VLOOKUP(tblMeasure[[#This Row],[src_pub_frequency]],strlu_src_pub_frequency,2,FALSE)</f>
        <v>0.8</v>
      </c>
      <c r="AO268" s="25">
        <f>VLOOKUP(tblMeasure[[#This Row],[src_pub_lag_months]],strlu_src_pub_lag_months,2,FALSE)</f>
        <v>0</v>
      </c>
      <c r="AP268" s="25">
        <f>VLOOKUP(tblMeasure[[#This Row],[src_statistic_class]],strlu_src_statistic_class,2,FALSE)</f>
        <v>0</v>
      </c>
      <c r="AQ268" s="25">
        <f>IF(tblMeasure[[#This Row],[src_methodology_url]]="TBD",0,1)</f>
        <v>1</v>
      </c>
      <c r="AR268" s="25">
        <f>IF(tblMeasure[[#This Row],[src_quality_url]]="TBD",0,1)</f>
        <v>1</v>
      </c>
      <c r="AS268" s="85" cm="1">
        <f t="array" ref="AS268">SUMPRODUCT(TRANSPOSE(tblMeasure[[#This Row],[str_msr_population_or_survey]:[str_src_quality_url]]),str_weights)/str_weights_total</f>
        <v>0.55384615384615377</v>
      </c>
    </row>
    <row r="269" spans="1:45" hidden="1" x14ac:dyDescent="0.15">
      <c r="A269" s="30">
        <v>267</v>
      </c>
      <c r="B269" s="15">
        <f>COUNTIF(requirement_measure_map!$D$3:$D$1514,measure!A269)</f>
        <v>8</v>
      </c>
      <c r="C269" s="30" t="s">
        <v>857</v>
      </c>
      <c r="D269" s="15" t="s">
        <v>957</v>
      </c>
      <c r="E269" s="15" t="s">
        <v>968</v>
      </c>
      <c r="F269" s="15" t="s">
        <v>969</v>
      </c>
      <c r="G269" s="29" t="s">
        <v>932</v>
      </c>
      <c r="H269" s="15"/>
      <c r="I269" s="15" t="s">
        <v>933</v>
      </c>
      <c r="J269" s="15" t="s">
        <v>934</v>
      </c>
      <c r="K269" s="15" t="s">
        <v>970</v>
      </c>
      <c r="L269" s="15" t="s">
        <v>287</v>
      </c>
      <c r="M269" s="15" t="s">
        <v>219</v>
      </c>
      <c r="N269" s="15" t="s">
        <v>219</v>
      </c>
      <c r="O269" s="15" t="s">
        <v>219</v>
      </c>
      <c r="P269" s="15" t="s">
        <v>219</v>
      </c>
      <c r="Q269" s="15" t="s">
        <v>219</v>
      </c>
      <c r="R269" s="15" t="s">
        <v>218</v>
      </c>
      <c r="S269" s="15" t="s">
        <v>252</v>
      </c>
      <c r="T269" s="15" t="s">
        <v>219</v>
      </c>
      <c r="U269" s="15" t="s">
        <v>349</v>
      </c>
      <c r="V269" s="15" t="s">
        <v>219</v>
      </c>
      <c r="W269" s="15">
        <v>17</v>
      </c>
      <c r="X269" s="15" t="str">
        <f>_xlfn.XLOOKUP(tblMeasure[[#This Row],[id_src]],tblSource[id_src],tblSource[org])</f>
        <v>Skills for Care</v>
      </c>
      <c r="Y269" s="15" t="str">
        <f>_xlfn.XLOOKUP(tblMeasure[[#This Row],[id_src]],tblSource[id_src],tblSource[source])</f>
        <v>State of the ASC sector and workforce</v>
      </c>
      <c r="Z269" s="15" t="str">
        <f>_xlfn.XLOOKUP(tblMeasure[[#This Row],[id_src]],tblSource[id_src],tblSource[url_source])</f>
        <v>https://www.skillsforcare.org.uk/adult-social-care-workforce-data/Workforce-intelligence/publications/national-information/The-state-of-the-adult-social-care-sector-and-workforce-in-England.aspx</v>
      </c>
      <c r="AA269" s="15">
        <f>_xlfn.XLOOKUP(tblMeasure[[#This Row],[id_src]],tblSource[id_src],tblSource[year_first_published])</f>
        <v>2012</v>
      </c>
      <c r="AB269" s="15">
        <f>_xlfn.XLOOKUP(tblMeasure[[#This Row],[id_src]],tblSource[id_src],tblSource[year_last_published])</f>
        <v>2019</v>
      </c>
      <c r="AC269" s="15">
        <f>_xlfn.XLOOKUP(tblMeasure[[#This Row],[id_src]],tblSource[id_src],tblSource[discontinuity])</f>
        <v>0</v>
      </c>
      <c r="AD269" s="15" t="str">
        <f>_xlfn.XLOOKUP(tblMeasure[[#This Row],[id_src]],tblSource[id_src],tblSource[publication_frequency])</f>
        <v>Annual</v>
      </c>
      <c r="AE269" s="15" t="str">
        <f>_xlfn.XLOOKUP(tblMeasure[[#This Row],[id_src]],tblSource[id_src],tblSource[publication_lag_months])</f>
        <v>TBD</v>
      </c>
      <c r="AF269" s="25" t="str">
        <f>_xlfn.XLOOKUP(tblMeasure[[#This Row],[id_src]],tblSource[id_src],tblSource[data_providers])</f>
        <v>LA,Independents</v>
      </c>
      <c r="AG269" s="25" t="str">
        <f>_xlfn.XLOOKUP(tblMeasure[[#This Row],[id_src]],tblSource[id_src],tblSource[statistic_class])</f>
        <v>TBD</v>
      </c>
      <c r="AH269" s="25" t="str">
        <f>_xlfn.XLOOKUP(tblMeasure[[#This Row],[id_src]],tblSource[id_src],tblSource[methodology_link])</f>
        <v>https://www.skillsforcare.org.uk/adult-social-care-workforce-data/Workforce-intelligence/Our-work/Our-data.aspx</v>
      </c>
      <c r="AI269" s="25" t="str">
        <f>_xlfn.XLOOKUP(tblMeasure[[#This Row],[id_src]],tblSource[id_src],tblSource[quality_issues])</f>
        <v>https://www.skillsforcare.org.uk/adult-social-care-workforce-data/Workforce-intelligence/documents/ASC-Workforce-Statistical-Appendix-2019.xlsx</v>
      </c>
      <c r="AJ269" s="25">
        <f>VLOOKUP(tblMeasure[[#This Row],[msr_population_or_survey]],strlu_msr_population_or_survey,2,FALSE)</f>
        <v>0.5</v>
      </c>
      <c r="AK269" s="25">
        <f>VLOOKUP(tblMeasure[[#This Row],[msr_min_geo_resolution]],strlu_msr_min_geo_resolution,2,FALSE)</f>
        <v>0.5</v>
      </c>
      <c r="AL269" s="25">
        <f>(MAX(tblMeasure[[#This Row],[src_year_last_published]]-2010+1,0)+MIN(2010-tblMeasure[[#This Row],[src_year_first_published]],0)-MAX(tblMeasure[[#This Row],[src_year_last_published]]-2019,0))/10</f>
        <v>0.8</v>
      </c>
      <c r="AM269" s="25">
        <f>IF(OR(tblMeasure[[#This Row],[src_discontinuity]]="None",tblMeasure[[#This Row],[src_discontinuity]]=0),1,0)</f>
        <v>1</v>
      </c>
      <c r="AN269" s="25">
        <f>VLOOKUP(tblMeasure[[#This Row],[src_pub_frequency]],strlu_src_pub_frequency,2,FALSE)</f>
        <v>0.8</v>
      </c>
      <c r="AO269" s="25">
        <f>VLOOKUP(tblMeasure[[#This Row],[src_pub_lag_months]],strlu_src_pub_lag_months,2,FALSE)</f>
        <v>0</v>
      </c>
      <c r="AP269" s="25">
        <f>VLOOKUP(tblMeasure[[#This Row],[src_statistic_class]],strlu_src_statistic_class,2,FALSE)</f>
        <v>0</v>
      </c>
      <c r="AQ269" s="25">
        <f>IF(tblMeasure[[#This Row],[src_methodology_url]]="TBD",0,1)</f>
        <v>1</v>
      </c>
      <c r="AR269" s="25">
        <f>IF(tblMeasure[[#This Row],[src_quality_url]]="TBD",0,1)</f>
        <v>1</v>
      </c>
      <c r="AS269" s="85" cm="1">
        <f t="array" ref="AS269">SUMPRODUCT(TRANSPOSE(tblMeasure[[#This Row],[str_msr_population_or_survey]:[str_src_quality_url]]),str_weights)/str_weights_total</f>
        <v>0.55384615384615377</v>
      </c>
    </row>
    <row r="270" spans="1:45" hidden="1" x14ac:dyDescent="0.15">
      <c r="A270" s="30">
        <v>268</v>
      </c>
      <c r="B270" s="15">
        <f>COUNTIF(requirement_measure_map!$D$3:$D$1514,measure!A270)</f>
        <v>9</v>
      </c>
      <c r="C270" s="30" t="s">
        <v>857</v>
      </c>
      <c r="D270" s="15" t="s">
        <v>957</v>
      </c>
      <c r="E270" s="15" t="s">
        <v>971</v>
      </c>
      <c r="F270" s="15" t="s">
        <v>972</v>
      </c>
      <c r="G270" s="29" t="s">
        <v>932</v>
      </c>
      <c r="H270" s="15"/>
      <c r="I270" s="15" t="s">
        <v>933</v>
      </c>
      <c r="J270" s="15" t="s">
        <v>934</v>
      </c>
      <c r="K270" s="15" t="s">
        <v>973</v>
      </c>
      <c r="L270" s="15" t="s">
        <v>287</v>
      </c>
      <c r="M270" s="15" t="s">
        <v>219</v>
      </c>
      <c r="N270" s="15" t="s">
        <v>219</v>
      </c>
      <c r="O270" s="15" t="s">
        <v>219</v>
      </c>
      <c r="P270" s="15" t="s">
        <v>219</v>
      </c>
      <c r="Q270" s="15" t="s">
        <v>219</v>
      </c>
      <c r="R270" s="15" t="s">
        <v>267</v>
      </c>
      <c r="S270" s="15" t="s">
        <v>967</v>
      </c>
      <c r="T270" s="15" t="s">
        <v>219</v>
      </c>
      <c r="U270" s="15" t="s">
        <v>349</v>
      </c>
      <c r="V270" s="15" t="s">
        <v>219</v>
      </c>
      <c r="W270" s="15">
        <v>17</v>
      </c>
      <c r="X270" s="15" t="str">
        <f>_xlfn.XLOOKUP(tblMeasure[[#This Row],[id_src]],tblSource[id_src],tblSource[org])</f>
        <v>Skills for Care</v>
      </c>
      <c r="Y270" s="15" t="str">
        <f>_xlfn.XLOOKUP(tblMeasure[[#This Row],[id_src]],tblSource[id_src],tblSource[source])</f>
        <v>State of the ASC sector and workforce</v>
      </c>
      <c r="Z270" s="15" t="str">
        <f>_xlfn.XLOOKUP(tblMeasure[[#This Row],[id_src]],tblSource[id_src],tblSource[url_source])</f>
        <v>https://www.skillsforcare.org.uk/adult-social-care-workforce-data/Workforce-intelligence/publications/national-information/The-state-of-the-adult-social-care-sector-and-workforce-in-England.aspx</v>
      </c>
      <c r="AA270" s="15">
        <f>_xlfn.XLOOKUP(tblMeasure[[#This Row],[id_src]],tblSource[id_src],tblSource[year_first_published])</f>
        <v>2012</v>
      </c>
      <c r="AB270" s="15">
        <f>_xlfn.XLOOKUP(tblMeasure[[#This Row],[id_src]],tblSource[id_src],tblSource[year_last_published])</f>
        <v>2019</v>
      </c>
      <c r="AC270" s="15">
        <f>_xlfn.XLOOKUP(tblMeasure[[#This Row],[id_src]],tblSource[id_src],tblSource[discontinuity])</f>
        <v>0</v>
      </c>
      <c r="AD270" s="15" t="str">
        <f>_xlfn.XLOOKUP(tblMeasure[[#This Row],[id_src]],tblSource[id_src],tblSource[publication_frequency])</f>
        <v>Annual</v>
      </c>
      <c r="AE270" s="15" t="str">
        <f>_xlfn.XLOOKUP(tblMeasure[[#This Row],[id_src]],tblSource[id_src],tblSource[publication_lag_months])</f>
        <v>TBD</v>
      </c>
      <c r="AF270" s="25" t="str">
        <f>_xlfn.XLOOKUP(tblMeasure[[#This Row],[id_src]],tblSource[id_src],tblSource[data_providers])</f>
        <v>LA,Independents</v>
      </c>
      <c r="AG270" s="25" t="str">
        <f>_xlfn.XLOOKUP(tblMeasure[[#This Row],[id_src]],tblSource[id_src],tblSource[statistic_class])</f>
        <v>TBD</v>
      </c>
      <c r="AH270" s="25" t="str">
        <f>_xlfn.XLOOKUP(tblMeasure[[#This Row],[id_src]],tblSource[id_src],tblSource[methodology_link])</f>
        <v>https://www.skillsforcare.org.uk/adult-social-care-workforce-data/Workforce-intelligence/Our-work/Our-data.aspx</v>
      </c>
      <c r="AI270" s="25" t="str">
        <f>_xlfn.XLOOKUP(tblMeasure[[#This Row],[id_src]],tblSource[id_src],tblSource[quality_issues])</f>
        <v>https://www.skillsforcare.org.uk/adult-social-care-workforce-data/Workforce-intelligence/documents/ASC-Workforce-Statistical-Appendix-2019.xlsx</v>
      </c>
      <c r="AJ270" s="25">
        <f>VLOOKUP(tblMeasure[[#This Row],[msr_population_or_survey]],strlu_msr_population_or_survey,2,FALSE)</f>
        <v>0.5</v>
      </c>
      <c r="AK270" s="25">
        <f>VLOOKUP(tblMeasure[[#This Row],[msr_min_geo_resolution]],strlu_msr_min_geo_resolution,2,FALSE)</f>
        <v>0.5</v>
      </c>
      <c r="AL270" s="25">
        <f>(MAX(tblMeasure[[#This Row],[src_year_last_published]]-2010+1,0)+MIN(2010-tblMeasure[[#This Row],[src_year_first_published]],0)-MAX(tblMeasure[[#This Row],[src_year_last_published]]-2019,0))/10</f>
        <v>0.8</v>
      </c>
      <c r="AM270" s="25">
        <f>IF(OR(tblMeasure[[#This Row],[src_discontinuity]]="None",tblMeasure[[#This Row],[src_discontinuity]]=0),1,0)</f>
        <v>1</v>
      </c>
      <c r="AN270" s="25">
        <f>VLOOKUP(tblMeasure[[#This Row],[src_pub_frequency]],strlu_src_pub_frequency,2,FALSE)</f>
        <v>0.8</v>
      </c>
      <c r="AO270" s="25">
        <f>VLOOKUP(tblMeasure[[#This Row],[src_pub_lag_months]],strlu_src_pub_lag_months,2,FALSE)</f>
        <v>0</v>
      </c>
      <c r="AP270" s="25">
        <f>VLOOKUP(tblMeasure[[#This Row],[src_statistic_class]],strlu_src_statistic_class,2,FALSE)</f>
        <v>0</v>
      </c>
      <c r="AQ270" s="25">
        <f>IF(tblMeasure[[#This Row],[src_methodology_url]]="TBD",0,1)</f>
        <v>1</v>
      </c>
      <c r="AR270" s="25">
        <f>IF(tblMeasure[[#This Row],[src_quality_url]]="TBD",0,1)</f>
        <v>1</v>
      </c>
      <c r="AS270" s="85" cm="1">
        <f t="array" ref="AS270">SUMPRODUCT(TRANSPOSE(tblMeasure[[#This Row],[str_msr_population_or_survey]:[str_src_quality_url]]),str_weights)/str_weights_total</f>
        <v>0.55384615384615377</v>
      </c>
    </row>
    <row r="271" spans="1:45" hidden="1" x14ac:dyDescent="0.15">
      <c r="A271" s="30">
        <v>269</v>
      </c>
      <c r="B271" s="15">
        <f>COUNTIF(requirement_measure_map!$D$3:$D$1514,measure!A271)</f>
        <v>0</v>
      </c>
      <c r="C271" s="30" t="s">
        <v>847</v>
      </c>
      <c r="D271" s="15" t="s">
        <v>957</v>
      </c>
      <c r="E271" s="15" t="s">
        <v>974</v>
      </c>
      <c r="F271" s="15" t="s">
        <v>975</v>
      </c>
      <c r="G271" s="29" t="s">
        <v>932</v>
      </c>
      <c r="H271" s="15"/>
      <c r="I271" s="15" t="s">
        <v>933</v>
      </c>
      <c r="J271" s="15" t="s">
        <v>934</v>
      </c>
      <c r="K271" s="15" t="s">
        <v>976</v>
      </c>
      <c r="L271" s="15" t="s">
        <v>287</v>
      </c>
      <c r="M271" s="15" t="s">
        <v>219</v>
      </c>
      <c r="N271" s="15" t="s">
        <v>219</v>
      </c>
      <c r="O271" s="15" t="s">
        <v>219</v>
      </c>
      <c r="P271" s="15" t="s">
        <v>219</v>
      </c>
      <c r="Q271" s="15" t="s">
        <v>219</v>
      </c>
      <c r="R271" s="15" t="s">
        <v>218</v>
      </c>
      <c r="S271" s="15" t="s">
        <v>240</v>
      </c>
      <c r="T271" s="15" t="s">
        <v>219</v>
      </c>
      <c r="U271" s="15" t="s">
        <v>219</v>
      </c>
      <c r="V271" s="15" t="s">
        <v>219</v>
      </c>
      <c r="W271" s="15">
        <v>17</v>
      </c>
      <c r="X271" s="15" t="str">
        <f>_xlfn.XLOOKUP(tblMeasure[[#This Row],[id_src]],tblSource[id_src],tblSource[org])</f>
        <v>Skills for Care</v>
      </c>
      <c r="Y271" s="15" t="str">
        <f>_xlfn.XLOOKUP(tblMeasure[[#This Row],[id_src]],tblSource[id_src],tblSource[source])</f>
        <v>State of the ASC sector and workforce</v>
      </c>
      <c r="Z271" s="15" t="str">
        <f>_xlfn.XLOOKUP(tblMeasure[[#This Row],[id_src]],tblSource[id_src],tblSource[url_source])</f>
        <v>https://www.skillsforcare.org.uk/adult-social-care-workforce-data/Workforce-intelligence/publications/national-information/The-state-of-the-adult-social-care-sector-and-workforce-in-England.aspx</v>
      </c>
      <c r="AA271" s="15">
        <f>_xlfn.XLOOKUP(tblMeasure[[#This Row],[id_src]],tblSource[id_src],tblSource[year_first_published])</f>
        <v>2012</v>
      </c>
      <c r="AB271" s="15">
        <f>_xlfn.XLOOKUP(tblMeasure[[#This Row],[id_src]],tblSource[id_src],tblSource[year_last_published])</f>
        <v>2019</v>
      </c>
      <c r="AC271" s="15">
        <f>_xlfn.XLOOKUP(tblMeasure[[#This Row],[id_src]],tblSource[id_src],tblSource[discontinuity])</f>
        <v>0</v>
      </c>
      <c r="AD271" s="15" t="str">
        <f>_xlfn.XLOOKUP(tblMeasure[[#This Row],[id_src]],tblSource[id_src],tblSource[publication_frequency])</f>
        <v>Annual</v>
      </c>
      <c r="AE271" s="15" t="str">
        <f>_xlfn.XLOOKUP(tblMeasure[[#This Row],[id_src]],tblSource[id_src],tblSource[publication_lag_months])</f>
        <v>TBD</v>
      </c>
      <c r="AF271" s="25" t="str">
        <f>_xlfn.XLOOKUP(tblMeasure[[#This Row],[id_src]],tblSource[id_src],tblSource[data_providers])</f>
        <v>LA,Independents</v>
      </c>
      <c r="AG271" s="25" t="str">
        <f>_xlfn.XLOOKUP(tblMeasure[[#This Row],[id_src]],tblSource[id_src],tblSource[statistic_class])</f>
        <v>TBD</v>
      </c>
      <c r="AH271" s="25" t="str">
        <f>_xlfn.XLOOKUP(tblMeasure[[#This Row],[id_src]],tblSource[id_src],tblSource[methodology_link])</f>
        <v>https://www.skillsforcare.org.uk/adult-social-care-workforce-data/Workforce-intelligence/Our-work/Our-data.aspx</v>
      </c>
      <c r="AI271" s="25" t="str">
        <f>_xlfn.XLOOKUP(tblMeasure[[#This Row],[id_src]],tblSource[id_src],tblSource[quality_issues])</f>
        <v>https://www.skillsforcare.org.uk/adult-social-care-workforce-data/Workforce-intelligence/documents/ASC-Workforce-Statistical-Appendix-2019.xlsx</v>
      </c>
      <c r="AJ271" s="25">
        <f>VLOOKUP(tblMeasure[[#This Row],[msr_population_or_survey]],strlu_msr_population_or_survey,2,FALSE)</f>
        <v>0.5</v>
      </c>
      <c r="AK271" s="25">
        <f>VLOOKUP(tblMeasure[[#This Row],[msr_min_geo_resolution]],strlu_msr_min_geo_resolution,2,FALSE)</f>
        <v>0.5</v>
      </c>
      <c r="AL271" s="25">
        <f>(MAX(tblMeasure[[#This Row],[src_year_last_published]]-2010+1,0)+MIN(2010-tblMeasure[[#This Row],[src_year_first_published]],0)-MAX(tblMeasure[[#This Row],[src_year_last_published]]-2019,0))/10</f>
        <v>0.8</v>
      </c>
      <c r="AM271" s="25">
        <f>IF(OR(tblMeasure[[#This Row],[src_discontinuity]]="None",tblMeasure[[#This Row],[src_discontinuity]]=0),1,0)</f>
        <v>1</v>
      </c>
      <c r="AN271" s="25">
        <f>VLOOKUP(tblMeasure[[#This Row],[src_pub_frequency]],strlu_src_pub_frequency,2,FALSE)</f>
        <v>0.8</v>
      </c>
      <c r="AO271" s="25">
        <f>VLOOKUP(tblMeasure[[#This Row],[src_pub_lag_months]],strlu_src_pub_lag_months,2,FALSE)</f>
        <v>0</v>
      </c>
      <c r="AP271" s="25">
        <f>VLOOKUP(tblMeasure[[#This Row],[src_statistic_class]],strlu_src_statistic_class,2,FALSE)</f>
        <v>0</v>
      </c>
      <c r="AQ271" s="25">
        <f>IF(tblMeasure[[#This Row],[src_methodology_url]]="TBD",0,1)</f>
        <v>1</v>
      </c>
      <c r="AR271" s="25">
        <f>IF(tblMeasure[[#This Row],[src_quality_url]]="TBD",0,1)</f>
        <v>1</v>
      </c>
      <c r="AS271" s="85" cm="1">
        <f t="array" ref="AS271">SUMPRODUCT(TRANSPOSE(tblMeasure[[#This Row],[str_msr_population_or_survey]:[str_src_quality_url]]),str_weights)/str_weights_total</f>
        <v>0.55384615384615377</v>
      </c>
    </row>
    <row r="272" spans="1:45" hidden="1" x14ac:dyDescent="0.15">
      <c r="A272" s="30">
        <v>270</v>
      </c>
      <c r="B272" s="15">
        <f>COUNTIF(requirement_measure_map!$D$3:$D$1514,measure!A272)</f>
        <v>9</v>
      </c>
      <c r="C272" s="30" t="s">
        <v>857</v>
      </c>
      <c r="D272" s="15" t="s">
        <v>957</v>
      </c>
      <c r="E272" s="15" t="s">
        <v>977</v>
      </c>
      <c r="F272" s="15" t="s">
        <v>978</v>
      </c>
      <c r="G272" s="29" t="s">
        <v>932</v>
      </c>
      <c r="H272" s="15"/>
      <c r="I272" s="15" t="s">
        <v>933</v>
      </c>
      <c r="J272" s="15" t="s">
        <v>934</v>
      </c>
      <c r="K272" s="15" t="s">
        <v>979</v>
      </c>
      <c r="L272" s="15" t="s">
        <v>287</v>
      </c>
      <c r="M272" s="15" t="s">
        <v>219</v>
      </c>
      <c r="N272" s="15" t="s">
        <v>219</v>
      </c>
      <c r="O272" s="15" t="s">
        <v>219</v>
      </c>
      <c r="P272" s="15" t="s">
        <v>219</v>
      </c>
      <c r="Q272" s="15" t="s">
        <v>219</v>
      </c>
      <c r="R272" s="15" t="s">
        <v>267</v>
      </c>
      <c r="S272" s="15" t="s">
        <v>967</v>
      </c>
      <c r="T272" s="15" t="s">
        <v>219</v>
      </c>
      <c r="U272" s="15" t="s">
        <v>349</v>
      </c>
      <c r="V272" s="15" t="s">
        <v>219</v>
      </c>
      <c r="W272" s="15">
        <v>17</v>
      </c>
      <c r="X272" s="15" t="str">
        <f>_xlfn.XLOOKUP(tblMeasure[[#This Row],[id_src]],tblSource[id_src],tblSource[org])</f>
        <v>Skills for Care</v>
      </c>
      <c r="Y272" s="15" t="str">
        <f>_xlfn.XLOOKUP(tblMeasure[[#This Row],[id_src]],tblSource[id_src],tblSource[source])</f>
        <v>State of the ASC sector and workforce</v>
      </c>
      <c r="Z272" s="15" t="str">
        <f>_xlfn.XLOOKUP(tblMeasure[[#This Row],[id_src]],tblSource[id_src],tblSource[url_source])</f>
        <v>https://www.skillsforcare.org.uk/adult-social-care-workforce-data/Workforce-intelligence/publications/national-information/The-state-of-the-adult-social-care-sector-and-workforce-in-England.aspx</v>
      </c>
      <c r="AA272" s="15">
        <f>_xlfn.XLOOKUP(tblMeasure[[#This Row],[id_src]],tblSource[id_src],tblSource[year_first_published])</f>
        <v>2012</v>
      </c>
      <c r="AB272" s="15">
        <f>_xlfn.XLOOKUP(tblMeasure[[#This Row],[id_src]],tblSource[id_src],tblSource[year_last_published])</f>
        <v>2019</v>
      </c>
      <c r="AC272" s="15">
        <f>_xlfn.XLOOKUP(tblMeasure[[#This Row],[id_src]],tblSource[id_src],tblSource[discontinuity])</f>
        <v>0</v>
      </c>
      <c r="AD272" s="15" t="str">
        <f>_xlfn.XLOOKUP(tblMeasure[[#This Row],[id_src]],tblSource[id_src],tblSource[publication_frequency])</f>
        <v>Annual</v>
      </c>
      <c r="AE272" s="15" t="str">
        <f>_xlfn.XLOOKUP(tblMeasure[[#This Row],[id_src]],tblSource[id_src],tblSource[publication_lag_months])</f>
        <v>TBD</v>
      </c>
      <c r="AF272" s="25" t="str">
        <f>_xlfn.XLOOKUP(tblMeasure[[#This Row],[id_src]],tblSource[id_src],tblSource[data_providers])</f>
        <v>LA,Independents</v>
      </c>
      <c r="AG272" s="25" t="str">
        <f>_xlfn.XLOOKUP(tblMeasure[[#This Row],[id_src]],tblSource[id_src],tblSource[statistic_class])</f>
        <v>TBD</v>
      </c>
      <c r="AH272" s="25" t="str">
        <f>_xlfn.XLOOKUP(tblMeasure[[#This Row],[id_src]],tblSource[id_src],tblSource[methodology_link])</f>
        <v>https://www.skillsforcare.org.uk/adult-social-care-workforce-data/Workforce-intelligence/Our-work/Our-data.aspx</v>
      </c>
      <c r="AI272" s="25" t="str">
        <f>_xlfn.XLOOKUP(tblMeasure[[#This Row],[id_src]],tblSource[id_src],tblSource[quality_issues])</f>
        <v>https://www.skillsforcare.org.uk/adult-social-care-workforce-data/Workforce-intelligence/documents/ASC-Workforce-Statistical-Appendix-2019.xlsx</v>
      </c>
      <c r="AJ272" s="25">
        <f>VLOOKUP(tblMeasure[[#This Row],[msr_population_or_survey]],strlu_msr_population_or_survey,2,FALSE)</f>
        <v>0.5</v>
      </c>
      <c r="AK272" s="25">
        <f>VLOOKUP(tblMeasure[[#This Row],[msr_min_geo_resolution]],strlu_msr_min_geo_resolution,2,FALSE)</f>
        <v>0.5</v>
      </c>
      <c r="AL272" s="25">
        <f>(MAX(tblMeasure[[#This Row],[src_year_last_published]]-2010+1,0)+MIN(2010-tblMeasure[[#This Row],[src_year_first_published]],0)-MAX(tblMeasure[[#This Row],[src_year_last_published]]-2019,0))/10</f>
        <v>0.8</v>
      </c>
      <c r="AM272" s="25">
        <f>IF(OR(tblMeasure[[#This Row],[src_discontinuity]]="None",tblMeasure[[#This Row],[src_discontinuity]]=0),1,0)</f>
        <v>1</v>
      </c>
      <c r="AN272" s="25">
        <f>VLOOKUP(tblMeasure[[#This Row],[src_pub_frequency]],strlu_src_pub_frequency,2,FALSE)</f>
        <v>0.8</v>
      </c>
      <c r="AO272" s="25">
        <f>VLOOKUP(tblMeasure[[#This Row],[src_pub_lag_months]],strlu_src_pub_lag_months,2,FALSE)</f>
        <v>0</v>
      </c>
      <c r="AP272" s="25">
        <f>VLOOKUP(tblMeasure[[#This Row],[src_statistic_class]],strlu_src_statistic_class,2,FALSE)</f>
        <v>0</v>
      </c>
      <c r="AQ272" s="25">
        <f>IF(tblMeasure[[#This Row],[src_methodology_url]]="TBD",0,1)</f>
        <v>1</v>
      </c>
      <c r="AR272" s="25">
        <f>IF(tblMeasure[[#This Row],[src_quality_url]]="TBD",0,1)</f>
        <v>1</v>
      </c>
      <c r="AS272" s="85" cm="1">
        <f t="array" ref="AS272">SUMPRODUCT(TRANSPOSE(tblMeasure[[#This Row],[str_msr_population_or_survey]:[str_src_quality_url]]),str_weights)/str_weights_total</f>
        <v>0.55384615384615377</v>
      </c>
    </row>
    <row r="273" spans="1:45" hidden="1" x14ac:dyDescent="0.15">
      <c r="A273" s="30">
        <v>271</v>
      </c>
      <c r="B273" s="15">
        <f>COUNTIF(requirement_measure_map!$D$3:$D$1514,measure!A273)</f>
        <v>0</v>
      </c>
      <c r="C273" s="30" t="s">
        <v>847</v>
      </c>
      <c r="D273" s="15" t="s">
        <v>957</v>
      </c>
      <c r="E273" s="15" t="s">
        <v>980</v>
      </c>
      <c r="F273" s="15" t="s">
        <v>981</v>
      </c>
      <c r="G273" s="29" t="s">
        <v>932</v>
      </c>
      <c r="H273" s="15"/>
      <c r="I273" s="15" t="s">
        <v>933</v>
      </c>
      <c r="J273" s="15" t="s">
        <v>934</v>
      </c>
      <c r="K273" s="15" t="s">
        <v>982</v>
      </c>
      <c r="L273" s="15" t="s">
        <v>287</v>
      </c>
      <c r="M273" s="15" t="s">
        <v>219</v>
      </c>
      <c r="N273" s="15" t="s">
        <v>219</v>
      </c>
      <c r="O273" s="15" t="s">
        <v>219</v>
      </c>
      <c r="P273" s="15" t="s">
        <v>219</v>
      </c>
      <c r="Q273" s="15" t="s">
        <v>219</v>
      </c>
      <c r="R273" s="15" t="s">
        <v>218</v>
      </c>
      <c r="S273" s="15" t="s">
        <v>240</v>
      </c>
      <c r="T273" s="15" t="s">
        <v>219</v>
      </c>
      <c r="U273" s="15" t="s">
        <v>219</v>
      </c>
      <c r="V273" s="15" t="s">
        <v>219</v>
      </c>
      <c r="W273" s="15">
        <v>17</v>
      </c>
      <c r="X273" s="15" t="str">
        <f>_xlfn.XLOOKUP(tblMeasure[[#This Row],[id_src]],tblSource[id_src],tblSource[org])</f>
        <v>Skills for Care</v>
      </c>
      <c r="Y273" s="15" t="str">
        <f>_xlfn.XLOOKUP(tblMeasure[[#This Row],[id_src]],tblSource[id_src],tblSource[source])</f>
        <v>State of the ASC sector and workforce</v>
      </c>
      <c r="Z273" s="15" t="str">
        <f>_xlfn.XLOOKUP(tblMeasure[[#This Row],[id_src]],tblSource[id_src],tblSource[url_source])</f>
        <v>https://www.skillsforcare.org.uk/adult-social-care-workforce-data/Workforce-intelligence/publications/national-information/The-state-of-the-adult-social-care-sector-and-workforce-in-England.aspx</v>
      </c>
      <c r="AA273" s="15">
        <f>_xlfn.XLOOKUP(tblMeasure[[#This Row],[id_src]],tblSource[id_src],tblSource[year_first_published])</f>
        <v>2012</v>
      </c>
      <c r="AB273" s="15">
        <f>_xlfn.XLOOKUP(tblMeasure[[#This Row],[id_src]],tblSource[id_src],tblSource[year_last_published])</f>
        <v>2019</v>
      </c>
      <c r="AC273" s="15">
        <f>_xlfn.XLOOKUP(tblMeasure[[#This Row],[id_src]],tblSource[id_src],tblSource[discontinuity])</f>
        <v>0</v>
      </c>
      <c r="AD273" s="15" t="str">
        <f>_xlfn.XLOOKUP(tblMeasure[[#This Row],[id_src]],tblSource[id_src],tblSource[publication_frequency])</f>
        <v>Annual</v>
      </c>
      <c r="AE273" s="15" t="str">
        <f>_xlfn.XLOOKUP(tblMeasure[[#This Row],[id_src]],tblSource[id_src],tblSource[publication_lag_months])</f>
        <v>TBD</v>
      </c>
      <c r="AF273" s="25" t="str">
        <f>_xlfn.XLOOKUP(tblMeasure[[#This Row],[id_src]],tblSource[id_src],tblSource[data_providers])</f>
        <v>LA,Independents</v>
      </c>
      <c r="AG273" s="25" t="str">
        <f>_xlfn.XLOOKUP(tblMeasure[[#This Row],[id_src]],tblSource[id_src],tblSource[statistic_class])</f>
        <v>TBD</v>
      </c>
      <c r="AH273" s="25" t="str">
        <f>_xlfn.XLOOKUP(tblMeasure[[#This Row],[id_src]],tblSource[id_src],tblSource[methodology_link])</f>
        <v>https://www.skillsforcare.org.uk/adult-social-care-workforce-data/Workforce-intelligence/Our-work/Our-data.aspx</v>
      </c>
      <c r="AI273" s="25" t="str">
        <f>_xlfn.XLOOKUP(tblMeasure[[#This Row],[id_src]],tblSource[id_src],tblSource[quality_issues])</f>
        <v>https://www.skillsforcare.org.uk/adult-social-care-workforce-data/Workforce-intelligence/documents/ASC-Workforce-Statistical-Appendix-2019.xlsx</v>
      </c>
      <c r="AJ273" s="25">
        <f>VLOOKUP(tblMeasure[[#This Row],[msr_population_or_survey]],strlu_msr_population_or_survey,2,FALSE)</f>
        <v>0.5</v>
      </c>
      <c r="AK273" s="25">
        <f>VLOOKUP(tblMeasure[[#This Row],[msr_min_geo_resolution]],strlu_msr_min_geo_resolution,2,FALSE)</f>
        <v>0.5</v>
      </c>
      <c r="AL273" s="25">
        <f>(MAX(tblMeasure[[#This Row],[src_year_last_published]]-2010+1,0)+MIN(2010-tblMeasure[[#This Row],[src_year_first_published]],0)-MAX(tblMeasure[[#This Row],[src_year_last_published]]-2019,0))/10</f>
        <v>0.8</v>
      </c>
      <c r="AM273" s="25">
        <f>IF(OR(tblMeasure[[#This Row],[src_discontinuity]]="None",tblMeasure[[#This Row],[src_discontinuity]]=0),1,0)</f>
        <v>1</v>
      </c>
      <c r="AN273" s="25">
        <f>VLOOKUP(tblMeasure[[#This Row],[src_pub_frequency]],strlu_src_pub_frequency,2,FALSE)</f>
        <v>0.8</v>
      </c>
      <c r="AO273" s="25">
        <f>VLOOKUP(tblMeasure[[#This Row],[src_pub_lag_months]],strlu_src_pub_lag_months,2,FALSE)</f>
        <v>0</v>
      </c>
      <c r="AP273" s="25">
        <f>VLOOKUP(tblMeasure[[#This Row],[src_statistic_class]],strlu_src_statistic_class,2,FALSE)</f>
        <v>0</v>
      </c>
      <c r="AQ273" s="25">
        <f>IF(tblMeasure[[#This Row],[src_methodology_url]]="TBD",0,1)</f>
        <v>1</v>
      </c>
      <c r="AR273" s="25">
        <f>IF(tblMeasure[[#This Row],[src_quality_url]]="TBD",0,1)</f>
        <v>1</v>
      </c>
      <c r="AS273" s="85" cm="1">
        <f t="array" ref="AS273">SUMPRODUCT(TRANSPOSE(tblMeasure[[#This Row],[str_msr_population_or_survey]:[str_src_quality_url]]),str_weights)/str_weights_total</f>
        <v>0.55384615384615377</v>
      </c>
    </row>
    <row r="274" spans="1:45" hidden="1" x14ac:dyDescent="0.15">
      <c r="A274" s="30">
        <v>272</v>
      </c>
      <c r="B274" s="15">
        <f>COUNTIF(requirement_measure_map!$D$3:$D$1514,measure!A274)</f>
        <v>8</v>
      </c>
      <c r="C274" s="30" t="s">
        <v>857</v>
      </c>
      <c r="D274" s="15" t="s">
        <v>957</v>
      </c>
      <c r="E274" s="15" t="s">
        <v>983</v>
      </c>
      <c r="F274" s="15" t="s">
        <v>984</v>
      </c>
      <c r="G274" s="29" t="s">
        <v>932</v>
      </c>
      <c r="H274" s="15"/>
      <c r="I274" s="15" t="s">
        <v>933</v>
      </c>
      <c r="J274" s="15" t="s">
        <v>934</v>
      </c>
      <c r="K274" s="15" t="s">
        <v>985</v>
      </c>
      <c r="L274" s="15" t="s">
        <v>287</v>
      </c>
      <c r="M274" s="15" t="s">
        <v>219</v>
      </c>
      <c r="N274" s="15" t="s">
        <v>219</v>
      </c>
      <c r="O274" s="15" t="s">
        <v>219</v>
      </c>
      <c r="P274" s="15" t="s">
        <v>219</v>
      </c>
      <c r="Q274" s="15" t="s">
        <v>219</v>
      </c>
      <c r="R274" s="15" t="s">
        <v>267</v>
      </c>
      <c r="S274" s="15" t="s">
        <v>240</v>
      </c>
      <c r="T274" s="15" t="s">
        <v>219</v>
      </c>
      <c r="U274" s="15" t="s">
        <v>349</v>
      </c>
      <c r="V274" s="15" t="s">
        <v>219</v>
      </c>
      <c r="W274" s="15">
        <v>17</v>
      </c>
      <c r="X274" s="15" t="str">
        <f>_xlfn.XLOOKUP(tblMeasure[[#This Row],[id_src]],tblSource[id_src],tblSource[org])</f>
        <v>Skills for Care</v>
      </c>
      <c r="Y274" s="15" t="str">
        <f>_xlfn.XLOOKUP(tblMeasure[[#This Row],[id_src]],tblSource[id_src],tblSource[source])</f>
        <v>State of the ASC sector and workforce</v>
      </c>
      <c r="Z274" s="15" t="str">
        <f>_xlfn.XLOOKUP(tblMeasure[[#This Row],[id_src]],tblSource[id_src],tblSource[url_source])</f>
        <v>https://www.skillsforcare.org.uk/adult-social-care-workforce-data/Workforce-intelligence/publications/national-information/The-state-of-the-adult-social-care-sector-and-workforce-in-England.aspx</v>
      </c>
      <c r="AA274" s="15">
        <f>_xlfn.XLOOKUP(tblMeasure[[#This Row],[id_src]],tblSource[id_src],tblSource[year_first_published])</f>
        <v>2012</v>
      </c>
      <c r="AB274" s="15">
        <f>_xlfn.XLOOKUP(tblMeasure[[#This Row],[id_src]],tblSource[id_src],tblSource[year_last_published])</f>
        <v>2019</v>
      </c>
      <c r="AC274" s="15">
        <f>_xlfn.XLOOKUP(tblMeasure[[#This Row],[id_src]],tblSource[id_src],tblSource[discontinuity])</f>
        <v>0</v>
      </c>
      <c r="AD274" s="15" t="str">
        <f>_xlfn.XLOOKUP(tblMeasure[[#This Row],[id_src]],tblSource[id_src],tblSource[publication_frequency])</f>
        <v>Annual</v>
      </c>
      <c r="AE274" s="15" t="str">
        <f>_xlfn.XLOOKUP(tblMeasure[[#This Row],[id_src]],tblSource[id_src],tblSource[publication_lag_months])</f>
        <v>TBD</v>
      </c>
      <c r="AF274" s="25" t="str">
        <f>_xlfn.XLOOKUP(tblMeasure[[#This Row],[id_src]],tblSource[id_src],tblSource[data_providers])</f>
        <v>LA,Independents</v>
      </c>
      <c r="AG274" s="25" t="str">
        <f>_xlfn.XLOOKUP(tblMeasure[[#This Row],[id_src]],tblSource[id_src],tblSource[statistic_class])</f>
        <v>TBD</v>
      </c>
      <c r="AH274" s="25" t="str">
        <f>_xlfn.XLOOKUP(tblMeasure[[#This Row],[id_src]],tblSource[id_src],tblSource[methodology_link])</f>
        <v>https://www.skillsforcare.org.uk/adult-social-care-workforce-data/Workforce-intelligence/Our-work/Our-data.aspx</v>
      </c>
      <c r="AI274" s="25" t="str">
        <f>_xlfn.XLOOKUP(tblMeasure[[#This Row],[id_src]],tblSource[id_src],tblSource[quality_issues])</f>
        <v>https://www.skillsforcare.org.uk/adult-social-care-workforce-data/Workforce-intelligence/documents/ASC-Workforce-Statistical-Appendix-2019.xlsx</v>
      </c>
      <c r="AJ274" s="25">
        <f>VLOOKUP(tblMeasure[[#This Row],[msr_population_or_survey]],strlu_msr_population_or_survey,2,FALSE)</f>
        <v>0.5</v>
      </c>
      <c r="AK274" s="25">
        <f>VLOOKUP(tblMeasure[[#This Row],[msr_min_geo_resolution]],strlu_msr_min_geo_resolution,2,FALSE)</f>
        <v>0.5</v>
      </c>
      <c r="AL274" s="25">
        <f>(MAX(tblMeasure[[#This Row],[src_year_last_published]]-2010+1,0)+MIN(2010-tblMeasure[[#This Row],[src_year_first_published]],0)-MAX(tblMeasure[[#This Row],[src_year_last_published]]-2019,0))/10</f>
        <v>0.8</v>
      </c>
      <c r="AM274" s="25">
        <f>IF(OR(tblMeasure[[#This Row],[src_discontinuity]]="None",tblMeasure[[#This Row],[src_discontinuity]]=0),1,0)</f>
        <v>1</v>
      </c>
      <c r="AN274" s="25">
        <f>VLOOKUP(tblMeasure[[#This Row],[src_pub_frequency]],strlu_src_pub_frequency,2,FALSE)</f>
        <v>0.8</v>
      </c>
      <c r="AO274" s="25">
        <f>VLOOKUP(tblMeasure[[#This Row],[src_pub_lag_months]],strlu_src_pub_lag_months,2,FALSE)</f>
        <v>0</v>
      </c>
      <c r="AP274" s="25">
        <f>VLOOKUP(tblMeasure[[#This Row],[src_statistic_class]],strlu_src_statistic_class,2,FALSE)</f>
        <v>0</v>
      </c>
      <c r="AQ274" s="25">
        <f>IF(tblMeasure[[#This Row],[src_methodology_url]]="TBD",0,1)</f>
        <v>1</v>
      </c>
      <c r="AR274" s="25">
        <f>IF(tblMeasure[[#This Row],[src_quality_url]]="TBD",0,1)</f>
        <v>1</v>
      </c>
      <c r="AS274" s="85" cm="1">
        <f t="array" ref="AS274">SUMPRODUCT(TRANSPOSE(tblMeasure[[#This Row],[str_msr_population_or_survey]:[str_src_quality_url]]),str_weights)/str_weights_total</f>
        <v>0.55384615384615377</v>
      </c>
    </row>
    <row r="275" spans="1:45" hidden="1" x14ac:dyDescent="0.15">
      <c r="A275" s="30">
        <v>273</v>
      </c>
      <c r="B275" s="15">
        <f>COUNTIF(requirement_measure_map!$D$3:$D$1514,measure!A275)</f>
        <v>0</v>
      </c>
      <c r="C275" s="30" t="s">
        <v>847</v>
      </c>
      <c r="D275" s="15" t="s">
        <v>957</v>
      </c>
      <c r="E275" s="15" t="s">
        <v>986</v>
      </c>
      <c r="F275" s="15" t="s">
        <v>987</v>
      </c>
      <c r="G275" s="29" t="s">
        <v>932</v>
      </c>
      <c r="H275" s="15"/>
      <c r="I275" s="15" t="s">
        <v>933</v>
      </c>
      <c r="J275" s="15" t="s">
        <v>934</v>
      </c>
      <c r="K275" s="15" t="s">
        <v>988</v>
      </c>
      <c r="L275" s="15" t="s">
        <v>287</v>
      </c>
      <c r="M275" s="15" t="s">
        <v>219</v>
      </c>
      <c r="N275" s="15" t="s">
        <v>219</v>
      </c>
      <c r="O275" s="15" t="s">
        <v>219</v>
      </c>
      <c r="P275" s="15" t="s">
        <v>219</v>
      </c>
      <c r="Q275" s="15" t="s">
        <v>219</v>
      </c>
      <c r="R275" s="15" t="s">
        <v>218</v>
      </c>
      <c r="S275" s="15" t="s">
        <v>240</v>
      </c>
      <c r="T275" s="15" t="s">
        <v>219</v>
      </c>
      <c r="U275" s="15" t="s">
        <v>219</v>
      </c>
      <c r="V275" s="15" t="s">
        <v>219</v>
      </c>
      <c r="W275" s="15">
        <v>17</v>
      </c>
      <c r="X275" s="15" t="str">
        <f>_xlfn.XLOOKUP(tblMeasure[[#This Row],[id_src]],tblSource[id_src],tblSource[org])</f>
        <v>Skills for Care</v>
      </c>
      <c r="Y275" s="15" t="str">
        <f>_xlfn.XLOOKUP(tblMeasure[[#This Row],[id_src]],tblSource[id_src],tblSource[source])</f>
        <v>State of the ASC sector and workforce</v>
      </c>
      <c r="Z275" s="15" t="str">
        <f>_xlfn.XLOOKUP(tblMeasure[[#This Row],[id_src]],tblSource[id_src],tblSource[url_source])</f>
        <v>https://www.skillsforcare.org.uk/adult-social-care-workforce-data/Workforce-intelligence/publications/national-information/The-state-of-the-adult-social-care-sector-and-workforce-in-England.aspx</v>
      </c>
      <c r="AA275" s="15">
        <f>_xlfn.XLOOKUP(tblMeasure[[#This Row],[id_src]],tblSource[id_src],tblSource[year_first_published])</f>
        <v>2012</v>
      </c>
      <c r="AB275" s="15">
        <f>_xlfn.XLOOKUP(tblMeasure[[#This Row],[id_src]],tblSource[id_src],tblSource[year_last_published])</f>
        <v>2019</v>
      </c>
      <c r="AC275" s="15">
        <f>_xlfn.XLOOKUP(tblMeasure[[#This Row],[id_src]],tblSource[id_src],tblSource[discontinuity])</f>
        <v>0</v>
      </c>
      <c r="AD275" s="15" t="str">
        <f>_xlfn.XLOOKUP(tblMeasure[[#This Row],[id_src]],tblSource[id_src],tblSource[publication_frequency])</f>
        <v>Annual</v>
      </c>
      <c r="AE275" s="15" t="str">
        <f>_xlfn.XLOOKUP(tblMeasure[[#This Row],[id_src]],tblSource[id_src],tblSource[publication_lag_months])</f>
        <v>TBD</v>
      </c>
      <c r="AF275" s="25" t="str">
        <f>_xlfn.XLOOKUP(tblMeasure[[#This Row],[id_src]],tblSource[id_src],tblSource[data_providers])</f>
        <v>LA,Independents</v>
      </c>
      <c r="AG275" s="25" t="str">
        <f>_xlfn.XLOOKUP(tblMeasure[[#This Row],[id_src]],tblSource[id_src],tblSource[statistic_class])</f>
        <v>TBD</v>
      </c>
      <c r="AH275" s="25" t="str">
        <f>_xlfn.XLOOKUP(tblMeasure[[#This Row],[id_src]],tblSource[id_src],tblSource[methodology_link])</f>
        <v>https://www.skillsforcare.org.uk/adult-social-care-workforce-data/Workforce-intelligence/Our-work/Our-data.aspx</v>
      </c>
      <c r="AI275" s="25" t="str">
        <f>_xlfn.XLOOKUP(tblMeasure[[#This Row],[id_src]],tblSource[id_src],tblSource[quality_issues])</f>
        <v>https://www.skillsforcare.org.uk/adult-social-care-workforce-data/Workforce-intelligence/documents/ASC-Workforce-Statistical-Appendix-2019.xlsx</v>
      </c>
      <c r="AJ275" s="25">
        <f>VLOOKUP(tblMeasure[[#This Row],[msr_population_or_survey]],strlu_msr_population_or_survey,2,FALSE)</f>
        <v>0.5</v>
      </c>
      <c r="AK275" s="25">
        <f>VLOOKUP(tblMeasure[[#This Row],[msr_min_geo_resolution]],strlu_msr_min_geo_resolution,2,FALSE)</f>
        <v>0.5</v>
      </c>
      <c r="AL275" s="25">
        <f>(MAX(tblMeasure[[#This Row],[src_year_last_published]]-2010+1,0)+MIN(2010-tblMeasure[[#This Row],[src_year_first_published]],0)-MAX(tblMeasure[[#This Row],[src_year_last_published]]-2019,0))/10</f>
        <v>0.8</v>
      </c>
      <c r="AM275" s="25">
        <f>IF(OR(tblMeasure[[#This Row],[src_discontinuity]]="None",tblMeasure[[#This Row],[src_discontinuity]]=0),1,0)</f>
        <v>1</v>
      </c>
      <c r="AN275" s="25">
        <f>VLOOKUP(tblMeasure[[#This Row],[src_pub_frequency]],strlu_src_pub_frequency,2,FALSE)</f>
        <v>0.8</v>
      </c>
      <c r="AO275" s="25">
        <f>VLOOKUP(tblMeasure[[#This Row],[src_pub_lag_months]],strlu_src_pub_lag_months,2,FALSE)</f>
        <v>0</v>
      </c>
      <c r="AP275" s="25">
        <f>VLOOKUP(tblMeasure[[#This Row],[src_statistic_class]],strlu_src_statistic_class,2,FALSE)</f>
        <v>0</v>
      </c>
      <c r="AQ275" s="25">
        <f>IF(tblMeasure[[#This Row],[src_methodology_url]]="TBD",0,1)</f>
        <v>1</v>
      </c>
      <c r="AR275" s="25">
        <f>IF(tblMeasure[[#This Row],[src_quality_url]]="TBD",0,1)</f>
        <v>1</v>
      </c>
      <c r="AS275" s="85" cm="1">
        <f t="array" ref="AS275">SUMPRODUCT(TRANSPOSE(tblMeasure[[#This Row],[str_msr_population_or_survey]:[str_src_quality_url]]),str_weights)/str_weights_total</f>
        <v>0.55384615384615377</v>
      </c>
    </row>
    <row r="276" spans="1:45" x14ac:dyDescent="0.15">
      <c r="A276" s="30">
        <v>274</v>
      </c>
      <c r="B276" s="15">
        <f>COUNTIF(requirement_measure_map!$D$3:$D$1514,measure!A276)</f>
        <v>7</v>
      </c>
      <c r="C276" s="30" t="s">
        <v>857</v>
      </c>
      <c r="D276" s="15" t="s">
        <v>957</v>
      </c>
      <c r="E276" s="15" t="s">
        <v>989</v>
      </c>
      <c r="F276" s="15" t="s">
        <v>990</v>
      </c>
      <c r="G276" s="29" t="s">
        <v>932</v>
      </c>
      <c r="H276" s="15"/>
      <c r="I276" s="15" t="s">
        <v>933</v>
      </c>
      <c r="J276" s="15" t="s">
        <v>934</v>
      </c>
      <c r="K276" s="15" t="s">
        <v>991</v>
      </c>
      <c r="L276" s="15" t="s">
        <v>287</v>
      </c>
      <c r="M276" s="15" t="s">
        <v>219</v>
      </c>
      <c r="N276" s="15" t="s">
        <v>219</v>
      </c>
      <c r="O276" s="15" t="s">
        <v>219</v>
      </c>
      <c r="P276" s="15" t="s">
        <v>219</v>
      </c>
      <c r="Q276" s="15" t="s">
        <v>219</v>
      </c>
      <c r="R276" s="15" t="s">
        <v>218</v>
      </c>
      <c r="S276" s="15" t="s">
        <v>218</v>
      </c>
      <c r="T276" s="15" t="s">
        <v>219</v>
      </c>
      <c r="U276" s="15" t="s">
        <v>349</v>
      </c>
      <c r="V276" s="15" t="s">
        <v>219</v>
      </c>
      <c r="W276" s="15">
        <v>17</v>
      </c>
      <c r="X276" s="15" t="str">
        <f>_xlfn.XLOOKUP(tblMeasure[[#This Row],[id_src]],tblSource[id_src],tblSource[org])</f>
        <v>Skills for Care</v>
      </c>
      <c r="Y276" s="15" t="str">
        <f>_xlfn.XLOOKUP(tblMeasure[[#This Row],[id_src]],tblSource[id_src],tblSource[source])</f>
        <v>State of the ASC sector and workforce</v>
      </c>
      <c r="Z276" s="15" t="str">
        <f>_xlfn.XLOOKUP(tblMeasure[[#This Row],[id_src]],tblSource[id_src],tblSource[url_source])</f>
        <v>https://www.skillsforcare.org.uk/adult-social-care-workforce-data/Workforce-intelligence/publications/national-information/The-state-of-the-adult-social-care-sector-and-workforce-in-England.aspx</v>
      </c>
      <c r="AA276" s="15">
        <f>_xlfn.XLOOKUP(tblMeasure[[#This Row],[id_src]],tblSource[id_src],tblSource[year_first_published])</f>
        <v>2012</v>
      </c>
      <c r="AB276" s="15">
        <f>_xlfn.XLOOKUP(tblMeasure[[#This Row],[id_src]],tblSource[id_src],tblSource[year_last_published])</f>
        <v>2019</v>
      </c>
      <c r="AC276" s="15">
        <f>_xlfn.XLOOKUP(tblMeasure[[#This Row],[id_src]],tblSource[id_src],tblSource[discontinuity])</f>
        <v>0</v>
      </c>
      <c r="AD276" s="15" t="str">
        <f>_xlfn.XLOOKUP(tblMeasure[[#This Row],[id_src]],tblSource[id_src],tblSource[publication_frequency])</f>
        <v>Annual</v>
      </c>
      <c r="AE276" s="15" t="str">
        <f>_xlfn.XLOOKUP(tblMeasure[[#This Row],[id_src]],tblSource[id_src],tblSource[publication_lag_months])</f>
        <v>TBD</v>
      </c>
      <c r="AF276" s="25" t="str">
        <f>_xlfn.XLOOKUP(tblMeasure[[#This Row],[id_src]],tblSource[id_src],tblSource[data_providers])</f>
        <v>LA,Independents</v>
      </c>
      <c r="AG276" s="25" t="str">
        <f>_xlfn.XLOOKUP(tblMeasure[[#This Row],[id_src]],tblSource[id_src],tblSource[statistic_class])</f>
        <v>TBD</v>
      </c>
      <c r="AH276" s="25" t="str">
        <f>_xlfn.XLOOKUP(tblMeasure[[#This Row],[id_src]],tblSource[id_src],tblSource[methodology_link])</f>
        <v>https://www.skillsforcare.org.uk/adult-social-care-workforce-data/Workforce-intelligence/Our-work/Our-data.aspx</v>
      </c>
      <c r="AI276" s="25" t="str">
        <f>_xlfn.XLOOKUP(tblMeasure[[#This Row],[id_src]],tblSource[id_src],tblSource[quality_issues])</f>
        <v>https://www.skillsforcare.org.uk/adult-social-care-workforce-data/Workforce-intelligence/documents/ASC-Workforce-Statistical-Appendix-2019.xlsx</v>
      </c>
      <c r="AJ276" s="25">
        <f>VLOOKUP(tblMeasure[[#This Row],[msr_population_or_survey]],strlu_msr_population_or_survey,2,FALSE)</f>
        <v>0.5</v>
      </c>
      <c r="AK276" s="25">
        <f>VLOOKUP(tblMeasure[[#This Row],[msr_min_geo_resolution]],strlu_msr_min_geo_resolution,2,FALSE)</f>
        <v>0.5</v>
      </c>
      <c r="AL276" s="25">
        <f>(MAX(tblMeasure[[#This Row],[src_year_last_published]]-2010+1,0)+MIN(2010-tblMeasure[[#This Row],[src_year_first_published]],0)-MAX(tblMeasure[[#This Row],[src_year_last_published]]-2019,0))/10</f>
        <v>0.8</v>
      </c>
      <c r="AM276" s="25">
        <f>IF(OR(tblMeasure[[#This Row],[src_discontinuity]]="None",tblMeasure[[#This Row],[src_discontinuity]]=0),1,0)</f>
        <v>1</v>
      </c>
      <c r="AN276" s="25">
        <f>VLOOKUP(tblMeasure[[#This Row],[src_pub_frequency]],strlu_src_pub_frequency,2,FALSE)</f>
        <v>0.8</v>
      </c>
      <c r="AO276" s="25">
        <f>VLOOKUP(tblMeasure[[#This Row],[src_pub_lag_months]],strlu_src_pub_lag_months,2,FALSE)</f>
        <v>0</v>
      </c>
      <c r="AP276" s="25">
        <f>VLOOKUP(tblMeasure[[#This Row],[src_statistic_class]],strlu_src_statistic_class,2,FALSE)</f>
        <v>0</v>
      </c>
      <c r="AQ276" s="25">
        <f>IF(tblMeasure[[#This Row],[src_methodology_url]]="TBD",0,1)</f>
        <v>1</v>
      </c>
      <c r="AR276" s="25">
        <f>IF(tblMeasure[[#This Row],[src_quality_url]]="TBD",0,1)</f>
        <v>1</v>
      </c>
      <c r="AS276" s="85" cm="1">
        <f t="array" ref="AS276">SUMPRODUCT(TRANSPOSE(tblMeasure[[#This Row],[str_msr_population_or_survey]:[str_src_quality_url]]),str_weights)/str_weights_total</f>
        <v>0.55384615384615377</v>
      </c>
    </row>
    <row r="277" spans="1:45" hidden="1" x14ac:dyDescent="0.15">
      <c r="A277" s="30">
        <v>275</v>
      </c>
      <c r="B277" s="15">
        <f>COUNTIF(requirement_measure_map!$D$3:$D$1514,measure!A277)</f>
        <v>7</v>
      </c>
      <c r="C277" s="30" t="s">
        <v>857</v>
      </c>
      <c r="D277" s="15" t="s">
        <v>957</v>
      </c>
      <c r="E277" s="15" t="s">
        <v>992</v>
      </c>
      <c r="F277" s="15" t="s">
        <v>993</v>
      </c>
      <c r="G277" s="29" t="s">
        <v>932</v>
      </c>
      <c r="H277" s="15"/>
      <c r="I277" s="15" t="s">
        <v>933</v>
      </c>
      <c r="J277" s="15" t="s">
        <v>934</v>
      </c>
      <c r="K277" s="15" t="s">
        <v>994</v>
      </c>
      <c r="L277" s="15" t="s">
        <v>287</v>
      </c>
      <c r="M277" s="15" t="s">
        <v>219</v>
      </c>
      <c r="N277" s="15" t="s">
        <v>219</v>
      </c>
      <c r="O277" s="15" t="s">
        <v>219</v>
      </c>
      <c r="P277" s="15" t="s">
        <v>219</v>
      </c>
      <c r="Q277" s="15" t="s">
        <v>219</v>
      </c>
      <c r="R277" s="15" t="s">
        <v>218</v>
      </c>
      <c r="S277" s="15" t="s">
        <v>218</v>
      </c>
      <c r="T277" s="15" t="s">
        <v>219</v>
      </c>
      <c r="U277" s="15" t="s">
        <v>349</v>
      </c>
      <c r="V277" s="15" t="s">
        <v>219</v>
      </c>
      <c r="W277" s="15">
        <v>17</v>
      </c>
      <c r="X277" s="15" t="str">
        <f>_xlfn.XLOOKUP(tblMeasure[[#This Row],[id_src]],tblSource[id_src],tblSource[org])</f>
        <v>Skills for Care</v>
      </c>
      <c r="Y277" s="15" t="str">
        <f>_xlfn.XLOOKUP(tblMeasure[[#This Row],[id_src]],tblSource[id_src],tblSource[source])</f>
        <v>State of the ASC sector and workforce</v>
      </c>
      <c r="Z277" s="15" t="str">
        <f>_xlfn.XLOOKUP(tblMeasure[[#This Row],[id_src]],tblSource[id_src],tblSource[url_source])</f>
        <v>https://www.skillsforcare.org.uk/adult-social-care-workforce-data/Workforce-intelligence/publications/national-information/The-state-of-the-adult-social-care-sector-and-workforce-in-England.aspx</v>
      </c>
      <c r="AA277" s="15">
        <f>_xlfn.XLOOKUP(tblMeasure[[#This Row],[id_src]],tblSource[id_src],tblSource[year_first_published])</f>
        <v>2012</v>
      </c>
      <c r="AB277" s="15">
        <f>_xlfn.XLOOKUP(tblMeasure[[#This Row],[id_src]],tblSource[id_src],tblSource[year_last_published])</f>
        <v>2019</v>
      </c>
      <c r="AC277" s="15">
        <f>_xlfn.XLOOKUP(tblMeasure[[#This Row],[id_src]],tblSource[id_src],tblSource[discontinuity])</f>
        <v>0</v>
      </c>
      <c r="AD277" s="15" t="str">
        <f>_xlfn.XLOOKUP(tblMeasure[[#This Row],[id_src]],tblSource[id_src],tblSource[publication_frequency])</f>
        <v>Annual</v>
      </c>
      <c r="AE277" s="15" t="str">
        <f>_xlfn.XLOOKUP(tblMeasure[[#This Row],[id_src]],tblSource[id_src],tblSource[publication_lag_months])</f>
        <v>TBD</v>
      </c>
      <c r="AF277" s="25" t="str">
        <f>_xlfn.XLOOKUP(tblMeasure[[#This Row],[id_src]],tblSource[id_src],tblSource[data_providers])</f>
        <v>LA,Independents</v>
      </c>
      <c r="AG277" s="25" t="str">
        <f>_xlfn.XLOOKUP(tblMeasure[[#This Row],[id_src]],tblSource[id_src],tblSource[statistic_class])</f>
        <v>TBD</v>
      </c>
      <c r="AH277" s="25" t="str">
        <f>_xlfn.XLOOKUP(tblMeasure[[#This Row],[id_src]],tblSource[id_src],tblSource[methodology_link])</f>
        <v>https://www.skillsforcare.org.uk/adult-social-care-workforce-data/Workforce-intelligence/Our-work/Our-data.aspx</v>
      </c>
      <c r="AI277" s="25" t="str">
        <f>_xlfn.XLOOKUP(tblMeasure[[#This Row],[id_src]],tblSource[id_src],tblSource[quality_issues])</f>
        <v>https://www.skillsforcare.org.uk/adult-social-care-workforce-data/Workforce-intelligence/documents/ASC-Workforce-Statistical-Appendix-2019.xlsx</v>
      </c>
      <c r="AJ277" s="25">
        <f>VLOOKUP(tblMeasure[[#This Row],[msr_population_or_survey]],strlu_msr_population_or_survey,2,FALSE)</f>
        <v>0.5</v>
      </c>
      <c r="AK277" s="25">
        <f>VLOOKUP(tblMeasure[[#This Row],[msr_min_geo_resolution]],strlu_msr_min_geo_resolution,2,FALSE)</f>
        <v>0.5</v>
      </c>
      <c r="AL277" s="25">
        <f>(MAX(tblMeasure[[#This Row],[src_year_last_published]]-2010+1,0)+MIN(2010-tblMeasure[[#This Row],[src_year_first_published]],0)-MAX(tblMeasure[[#This Row],[src_year_last_published]]-2019,0))/10</f>
        <v>0.8</v>
      </c>
      <c r="AM277" s="25">
        <f>IF(OR(tblMeasure[[#This Row],[src_discontinuity]]="None",tblMeasure[[#This Row],[src_discontinuity]]=0),1,0)</f>
        <v>1</v>
      </c>
      <c r="AN277" s="25">
        <f>VLOOKUP(tblMeasure[[#This Row],[src_pub_frequency]],strlu_src_pub_frequency,2,FALSE)</f>
        <v>0.8</v>
      </c>
      <c r="AO277" s="25">
        <f>VLOOKUP(tblMeasure[[#This Row],[src_pub_lag_months]],strlu_src_pub_lag_months,2,FALSE)</f>
        <v>0</v>
      </c>
      <c r="AP277" s="25">
        <f>VLOOKUP(tblMeasure[[#This Row],[src_statistic_class]],strlu_src_statistic_class,2,FALSE)</f>
        <v>0</v>
      </c>
      <c r="AQ277" s="25">
        <f>IF(tblMeasure[[#This Row],[src_methodology_url]]="TBD",0,1)</f>
        <v>1</v>
      </c>
      <c r="AR277" s="25">
        <f>IF(tblMeasure[[#This Row],[src_quality_url]]="TBD",0,1)</f>
        <v>1</v>
      </c>
      <c r="AS277" s="85" cm="1">
        <f t="array" ref="AS277">SUMPRODUCT(TRANSPOSE(tblMeasure[[#This Row],[str_msr_population_or_survey]:[str_src_quality_url]]),str_weights)/str_weights_total</f>
        <v>0.55384615384615377</v>
      </c>
    </row>
    <row r="278" spans="1:45" hidden="1" x14ac:dyDescent="0.15">
      <c r="A278" s="30">
        <v>276</v>
      </c>
      <c r="B278" s="15">
        <f>COUNTIF(requirement_measure_map!$D$3:$D$1514,measure!A278)</f>
        <v>8</v>
      </c>
      <c r="C278" s="30" t="s">
        <v>857</v>
      </c>
      <c r="D278" s="15" t="s">
        <v>957</v>
      </c>
      <c r="E278" s="15" t="s">
        <v>995</v>
      </c>
      <c r="F278" s="15" t="s">
        <v>996</v>
      </c>
      <c r="G278" s="29" t="s">
        <v>932</v>
      </c>
      <c r="H278" s="15"/>
      <c r="I278" s="15" t="s">
        <v>933</v>
      </c>
      <c r="J278" s="15" t="s">
        <v>934</v>
      </c>
      <c r="K278" s="15" t="s">
        <v>997</v>
      </c>
      <c r="L278" s="15" t="s">
        <v>287</v>
      </c>
      <c r="M278" s="15" t="s">
        <v>219</v>
      </c>
      <c r="N278" s="15" t="s">
        <v>219</v>
      </c>
      <c r="O278" s="15" t="s">
        <v>219</v>
      </c>
      <c r="P278" s="15" t="s">
        <v>219</v>
      </c>
      <c r="Q278" s="15" t="s">
        <v>219</v>
      </c>
      <c r="R278" s="15" t="s">
        <v>267</v>
      </c>
      <c r="S278" s="15" t="s">
        <v>240</v>
      </c>
      <c r="T278" s="15" t="s">
        <v>219</v>
      </c>
      <c r="U278" s="15" t="s">
        <v>349</v>
      </c>
      <c r="V278" s="15" t="s">
        <v>219</v>
      </c>
      <c r="W278" s="15">
        <v>17</v>
      </c>
      <c r="X278" s="15" t="str">
        <f>_xlfn.XLOOKUP(tblMeasure[[#This Row],[id_src]],tblSource[id_src],tblSource[org])</f>
        <v>Skills for Care</v>
      </c>
      <c r="Y278" s="15" t="str">
        <f>_xlfn.XLOOKUP(tblMeasure[[#This Row],[id_src]],tblSource[id_src],tblSource[source])</f>
        <v>State of the ASC sector and workforce</v>
      </c>
      <c r="Z278" s="15" t="str">
        <f>_xlfn.XLOOKUP(tblMeasure[[#This Row],[id_src]],tblSource[id_src],tblSource[url_source])</f>
        <v>https://www.skillsforcare.org.uk/adult-social-care-workforce-data/Workforce-intelligence/publications/national-information/The-state-of-the-adult-social-care-sector-and-workforce-in-England.aspx</v>
      </c>
      <c r="AA278" s="15">
        <f>_xlfn.XLOOKUP(tblMeasure[[#This Row],[id_src]],tblSource[id_src],tblSource[year_first_published])</f>
        <v>2012</v>
      </c>
      <c r="AB278" s="15">
        <f>_xlfn.XLOOKUP(tblMeasure[[#This Row],[id_src]],tblSource[id_src],tblSource[year_last_published])</f>
        <v>2019</v>
      </c>
      <c r="AC278" s="15">
        <f>_xlfn.XLOOKUP(tblMeasure[[#This Row],[id_src]],tblSource[id_src],tblSource[discontinuity])</f>
        <v>0</v>
      </c>
      <c r="AD278" s="15" t="str">
        <f>_xlfn.XLOOKUP(tblMeasure[[#This Row],[id_src]],tblSource[id_src],tblSource[publication_frequency])</f>
        <v>Annual</v>
      </c>
      <c r="AE278" s="15" t="str">
        <f>_xlfn.XLOOKUP(tblMeasure[[#This Row],[id_src]],tblSource[id_src],tblSource[publication_lag_months])</f>
        <v>TBD</v>
      </c>
      <c r="AF278" s="25" t="str">
        <f>_xlfn.XLOOKUP(tblMeasure[[#This Row],[id_src]],tblSource[id_src],tblSource[data_providers])</f>
        <v>LA,Independents</v>
      </c>
      <c r="AG278" s="25" t="str">
        <f>_xlfn.XLOOKUP(tblMeasure[[#This Row],[id_src]],tblSource[id_src],tblSource[statistic_class])</f>
        <v>TBD</v>
      </c>
      <c r="AH278" s="25" t="str">
        <f>_xlfn.XLOOKUP(tblMeasure[[#This Row],[id_src]],tblSource[id_src],tblSource[methodology_link])</f>
        <v>https://www.skillsforcare.org.uk/adult-social-care-workforce-data/Workforce-intelligence/Our-work/Our-data.aspx</v>
      </c>
      <c r="AI278" s="25" t="str">
        <f>_xlfn.XLOOKUP(tblMeasure[[#This Row],[id_src]],tblSource[id_src],tblSource[quality_issues])</f>
        <v>https://www.skillsforcare.org.uk/adult-social-care-workforce-data/Workforce-intelligence/documents/ASC-Workforce-Statistical-Appendix-2019.xlsx</v>
      </c>
      <c r="AJ278" s="25">
        <f>VLOOKUP(tblMeasure[[#This Row],[msr_population_or_survey]],strlu_msr_population_or_survey,2,FALSE)</f>
        <v>0.5</v>
      </c>
      <c r="AK278" s="25">
        <f>VLOOKUP(tblMeasure[[#This Row],[msr_min_geo_resolution]],strlu_msr_min_geo_resolution,2,FALSE)</f>
        <v>0.5</v>
      </c>
      <c r="AL278" s="25">
        <f>(MAX(tblMeasure[[#This Row],[src_year_last_published]]-2010+1,0)+MIN(2010-tblMeasure[[#This Row],[src_year_first_published]],0)-MAX(tblMeasure[[#This Row],[src_year_last_published]]-2019,0))/10</f>
        <v>0.8</v>
      </c>
      <c r="AM278" s="25">
        <f>IF(OR(tblMeasure[[#This Row],[src_discontinuity]]="None",tblMeasure[[#This Row],[src_discontinuity]]=0),1,0)</f>
        <v>1</v>
      </c>
      <c r="AN278" s="25">
        <f>VLOOKUP(tblMeasure[[#This Row],[src_pub_frequency]],strlu_src_pub_frequency,2,FALSE)</f>
        <v>0.8</v>
      </c>
      <c r="AO278" s="25">
        <f>VLOOKUP(tblMeasure[[#This Row],[src_pub_lag_months]],strlu_src_pub_lag_months,2,FALSE)</f>
        <v>0</v>
      </c>
      <c r="AP278" s="25">
        <f>VLOOKUP(tblMeasure[[#This Row],[src_statistic_class]],strlu_src_statistic_class,2,FALSE)</f>
        <v>0</v>
      </c>
      <c r="AQ278" s="25">
        <f>IF(tblMeasure[[#This Row],[src_methodology_url]]="TBD",0,1)</f>
        <v>1</v>
      </c>
      <c r="AR278" s="25">
        <f>IF(tblMeasure[[#This Row],[src_quality_url]]="TBD",0,1)</f>
        <v>1</v>
      </c>
      <c r="AS278" s="85" cm="1">
        <f t="array" ref="AS278">SUMPRODUCT(TRANSPOSE(tblMeasure[[#This Row],[str_msr_population_or_survey]:[str_src_quality_url]]),str_weights)/str_weights_total</f>
        <v>0.55384615384615377</v>
      </c>
    </row>
    <row r="279" spans="1:45" hidden="1" x14ac:dyDescent="0.15">
      <c r="A279" s="30">
        <v>277</v>
      </c>
      <c r="B279" s="15">
        <f>COUNTIF(requirement_measure_map!$D$3:$D$1514,measure!A279)</f>
        <v>0</v>
      </c>
      <c r="C279" s="30" t="s">
        <v>847</v>
      </c>
      <c r="D279" s="15" t="s">
        <v>957</v>
      </c>
      <c r="E279" s="15" t="s">
        <v>998</v>
      </c>
      <c r="F279" s="15" t="s">
        <v>999</v>
      </c>
      <c r="G279" s="29" t="s">
        <v>932</v>
      </c>
      <c r="H279" s="15"/>
      <c r="I279" s="15" t="s">
        <v>933</v>
      </c>
      <c r="J279" s="15" t="s">
        <v>934</v>
      </c>
      <c r="K279" s="15" t="s">
        <v>1000</v>
      </c>
      <c r="L279" s="15" t="s">
        <v>287</v>
      </c>
      <c r="M279" s="15" t="s">
        <v>219</v>
      </c>
      <c r="N279" s="15" t="s">
        <v>219</v>
      </c>
      <c r="O279" s="15" t="s">
        <v>219</v>
      </c>
      <c r="P279" s="15" t="s">
        <v>219</v>
      </c>
      <c r="Q279" s="15" t="s">
        <v>219</v>
      </c>
      <c r="R279" s="15" t="s">
        <v>218</v>
      </c>
      <c r="S279" s="15" t="s">
        <v>240</v>
      </c>
      <c r="T279" s="15" t="s">
        <v>219</v>
      </c>
      <c r="U279" s="15" t="s">
        <v>219</v>
      </c>
      <c r="V279" s="15" t="s">
        <v>219</v>
      </c>
      <c r="W279" s="15">
        <v>17</v>
      </c>
      <c r="X279" s="15" t="str">
        <f>_xlfn.XLOOKUP(tblMeasure[[#This Row],[id_src]],tblSource[id_src],tblSource[org])</f>
        <v>Skills for Care</v>
      </c>
      <c r="Y279" s="15" t="str">
        <f>_xlfn.XLOOKUP(tblMeasure[[#This Row],[id_src]],tblSource[id_src],tblSource[source])</f>
        <v>State of the ASC sector and workforce</v>
      </c>
      <c r="Z279" s="15" t="str">
        <f>_xlfn.XLOOKUP(tblMeasure[[#This Row],[id_src]],tblSource[id_src],tblSource[url_source])</f>
        <v>https://www.skillsforcare.org.uk/adult-social-care-workforce-data/Workforce-intelligence/publications/national-information/The-state-of-the-adult-social-care-sector-and-workforce-in-England.aspx</v>
      </c>
      <c r="AA279" s="15">
        <f>_xlfn.XLOOKUP(tblMeasure[[#This Row],[id_src]],tblSource[id_src],tblSource[year_first_published])</f>
        <v>2012</v>
      </c>
      <c r="AB279" s="15">
        <f>_xlfn.XLOOKUP(tblMeasure[[#This Row],[id_src]],tblSource[id_src],tblSource[year_last_published])</f>
        <v>2019</v>
      </c>
      <c r="AC279" s="15">
        <f>_xlfn.XLOOKUP(tblMeasure[[#This Row],[id_src]],tblSource[id_src],tblSource[discontinuity])</f>
        <v>0</v>
      </c>
      <c r="AD279" s="15" t="str">
        <f>_xlfn.XLOOKUP(tblMeasure[[#This Row],[id_src]],tblSource[id_src],tblSource[publication_frequency])</f>
        <v>Annual</v>
      </c>
      <c r="AE279" s="15" t="str">
        <f>_xlfn.XLOOKUP(tblMeasure[[#This Row],[id_src]],tblSource[id_src],tblSource[publication_lag_months])</f>
        <v>TBD</v>
      </c>
      <c r="AF279" s="25" t="str">
        <f>_xlfn.XLOOKUP(tblMeasure[[#This Row],[id_src]],tblSource[id_src],tblSource[data_providers])</f>
        <v>LA,Independents</v>
      </c>
      <c r="AG279" s="25" t="str">
        <f>_xlfn.XLOOKUP(tblMeasure[[#This Row],[id_src]],tblSource[id_src],tblSource[statistic_class])</f>
        <v>TBD</v>
      </c>
      <c r="AH279" s="25" t="str">
        <f>_xlfn.XLOOKUP(tblMeasure[[#This Row],[id_src]],tblSource[id_src],tblSource[methodology_link])</f>
        <v>https://www.skillsforcare.org.uk/adult-social-care-workforce-data/Workforce-intelligence/Our-work/Our-data.aspx</v>
      </c>
      <c r="AI279" s="25" t="str">
        <f>_xlfn.XLOOKUP(tblMeasure[[#This Row],[id_src]],tblSource[id_src],tblSource[quality_issues])</f>
        <v>https://www.skillsforcare.org.uk/adult-social-care-workforce-data/Workforce-intelligence/documents/ASC-Workforce-Statistical-Appendix-2019.xlsx</v>
      </c>
      <c r="AJ279" s="25">
        <f>VLOOKUP(tblMeasure[[#This Row],[msr_population_or_survey]],strlu_msr_population_or_survey,2,FALSE)</f>
        <v>0.5</v>
      </c>
      <c r="AK279" s="25">
        <f>VLOOKUP(tblMeasure[[#This Row],[msr_min_geo_resolution]],strlu_msr_min_geo_resolution,2,FALSE)</f>
        <v>0.5</v>
      </c>
      <c r="AL279" s="25">
        <f>(MAX(tblMeasure[[#This Row],[src_year_last_published]]-2010+1,0)+MIN(2010-tblMeasure[[#This Row],[src_year_first_published]],0)-MAX(tblMeasure[[#This Row],[src_year_last_published]]-2019,0))/10</f>
        <v>0.8</v>
      </c>
      <c r="AM279" s="25">
        <f>IF(OR(tblMeasure[[#This Row],[src_discontinuity]]="None",tblMeasure[[#This Row],[src_discontinuity]]=0),1,0)</f>
        <v>1</v>
      </c>
      <c r="AN279" s="25">
        <f>VLOOKUP(tblMeasure[[#This Row],[src_pub_frequency]],strlu_src_pub_frequency,2,FALSE)</f>
        <v>0.8</v>
      </c>
      <c r="AO279" s="25">
        <f>VLOOKUP(tblMeasure[[#This Row],[src_pub_lag_months]],strlu_src_pub_lag_months,2,FALSE)</f>
        <v>0</v>
      </c>
      <c r="AP279" s="25">
        <f>VLOOKUP(tblMeasure[[#This Row],[src_statistic_class]],strlu_src_statistic_class,2,FALSE)</f>
        <v>0</v>
      </c>
      <c r="AQ279" s="25">
        <f>IF(tblMeasure[[#This Row],[src_methodology_url]]="TBD",0,1)</f>
        <v>1</v>
      </c>
      <c r="AR279" s="25">
        <f>IF(tblMeasure[[#This Row],[src_quality_url]]="TBD",0,1)</f>
        <v>1</v>
      </c>
      <c r="AS279" s="85" cm="1">
        <f t="array" ref="AS279">SUMPRODUCT(TRANSPOSE(tblMeasure[[#This Row],[str_msr_population_or_survey]:[str_src_quality_url]]),str_weights)/str_weights_total</f>
        <v>0.55384615384615377</v>
      </c>
    </row>
    <row r="280" spans="1:45" hidden="1" x14ac:dyDescent="0.15">
      <c r="A280" s="30">
        <v>278</v>
      </c>
      <c r="B280" s="15">
        <f>COUNTIF(requirement_measure_map!$D$3:$D$1514,measure!A280)</f>
        <v>8</v>
      </c>
      <c r="C280" s="30" t="s">
        <v>857</v>
      </c>
      <c r="D280" s="15" t="s">
        <v>957</v>
      </c>
      <c r="E280" s="15" t="s">
        <v>1001</v>
      </c>
      <c r="F280" s="15" t="s">
        <v>1002</v>
      </c>
      <c r="G280" s="29" t="s">
        <v>932</v>
      </c>
      <c r="H280" s="15"/>
      <c r="I280" s="15" t="s">
        <v>933</v>
      </c>
      <c r="J280" s="15" t="s">
        <v>934</v>
      </c>
      <c r="K280" s="15" t="s">
        <v>1003</v>
      </c>
      <c r="L280" s="15" t="s">
        <v>287</v>
      </c>
      <c r="M280" s="15" t="s">
        <v>219</v>
      </c>
      <c r="N280" s="15" t="s">
        <v>219</v>
      </c>
      <c r="O280" s="15" t="s">
        <v>219</v>
      </c>
      <c r="P280" s="15" t="s">
        <v>219</v>
      </c>
      <c r="Q280" s="15" t="s">
        <v>219</v>
      </c>
      <c r="R280" s="15" t="s">
        <v>267</v>
      </c>
      <c r="S280" s="15" t="s">
        <v>967</v>
      </c>
      <c r="T280" s="15" t="s">
        <v>219</v>
      </c>
      <c r="U280" s="15" t="s">
        <v>349</v>
      </c>
      <c r="V280" s="15" t="s">
        <v>219</v>
      </c>
      <c r="W280" s="15">
        <v>17</v>
      </c>
      <c r="X280" s="15" t="str">
        <f>_xlfn.XLOOKUP(tblMeasure[[#This Row],[id_src]],tblSource[id_src],tblSource[org])</f>
        <v>Skills for Care</v>
      </c>
      <c r="Y280" s="15" t="str">
        <f>_xlfn.XLOOKUP(tblMeasure[[#This Row],[id_src]],tblSource[id_src],tblSource[source])</f>
        <v>State of the ASC sector and workforce</v>
      </c>
      <c r="Z280" s="15" t="str">
        <f>_xlfn.XLOOKUP(tblMeasure[[#This Row],[id_src]],tblSource[id_src],tblSource[url_source])</f>
        <v>https://www.skillsforcare.org.uk/adult-social-care-workforce-data/Workforce-intelligence/publications/national-information/The-state-of-the-adult-social-care-sector-and-workforce-in-England.aspx</v>
      </c>
      <c r="AA280" s="15">
        <f>_xlfn.XLOOKUP(tblMeasure[[#This Row],[id_src]],tblSource[id_src],tblSource[year_first_published])</f>
        <v>2012</v>
      </c>
      <c r="AB280" s="15">
        <f>_xlfn.XLOOKUP(tblMeasure[[#This Row],[id_src]],tblSource[id_src],tblSource[year_last_published])</f>
        <v>2019</v>
      </c>
      <c r="AC280" s="15">
        <f>_xlfn.XLOOKUP(tblMeasure[[#This Row],[id_src]],tblSource[id_src],tblSource[discontinuity])</f>
        <v>0</v>
      </c>
      <c r="AD280" s="15" t="str">
        <f>_xlfn.XLOOKUP(tblMeasure[[#This Row],[id_src]],tblSource[id_src],tblSource[publication_frequency])</f>
        <v>Annual</v>
      </c>
      <c r="AE280" s="15" t="str">
        <f>_xlfn.XLOOKUP(tblMeasure[[#This Row],[id_src]],tblSource[id_src],tblSource[publication_lag_months])</f>
        <v>TBD</v>
      </c>
      <c r="AF280" s="25" t="str">
        <f>_xlfn.XLOOKUP(tblMeasure[[#This Row],[id_src]],tblSource[id_src],tblSource[data_providers])</f>
        <v>LA,Independents</v>
      </c>
      <c r="AG280" s="25" t="str">
        <f>_xlfn.XLOOKUP(tblMeasure[[#This Row],[id_src]],tblSource[id_src],tblSource[statistic_class])</f>
        <v>TBD</v>
      </c>
      <c r="AH280" s="25" t="str">
        <f>_xlfn.XLOOKUP(tblMeasure[[#This Row],[id_src]],tblSource[id_src],tblSource[methodology_link])</f>
        <v>https://www.skillsforcare.org.uk/adult-social-care-workforce-data/Workforce-intelligence/Our-work/Our-data.aspx</v>
      </c>
      <c r="AI280" s="25" t="str">
        <f>_xlfn.XLOOKUP(tblMeasure[[#This Row],[id_src]],tblSource[id_src],tblSource[quality_issues])</f>
        <v>https://www.skillsforcare.org.uk/adult-social-care-workforce-data/Workforce-intelligence/documents/ASC-Workforce-Statistical-Appendix-2019.xlsx</v>
      </c>
      <c r="AJ280" s="25">
        <f>VLOOKUP(tblMeasure[[#This Row],[msr_population_or_survey]],strlu_msr_population_or_survey,2,FALSE)</f>
        <v>0.5</v>
      </c>
      <c r="AK280" s="25">
        <f>VLOOKUP(tblMeasure[[#This Row],[msr_min_geo_resolution]],strlu_msr_min_geo_resolution,2,FALSE)</f>
        <v>0.5</v>
      </c>
      <c r="AL280" s="25">
        <f>(MAX(tblMeasure[[#This Row],[src_year_last_published]]-2010+1,0)+MIN(2010-tblMeasure[[#This Row],[src_year_first_published]],0)-MAX(tblMeasure[[#This Row],[src_year_last_published]]-2019,0))/10</f>
        <v>0.8</v>
      </c>
      <c r="AM280" s="25">
        <f>IF(OR(tblMeasure[[#This Row],[src_discontinuity]]="None",tblMeasure[[#This Row],[src_discontinuity]]=0),1,0)</f>
        <v>1</v>
      </c>
      <c r="AN280" s="25">
        <f>VLOOKUP(tblMeasure[[#This Row],[src_pub_frequency]],strlu_src_pub_frequency,2,FALSE)</f>
        <v>0.8</v>
      </c>
      <c r="AO280" s="25">
        <f>VLOOKUP(tblMeasure[[#This Row],[src_pub_lag_months]],strlu_src_pub_lag_months,2,FALSE)</f>
        <v>0</v>
      </c>
      <c r="AP280" s="25">
        <f>VLOOKUP(tblMeasure[[#This Row],[src_statistic_class]],strlu_src_statistic_class,2,FALSE)</f>
        <v>0</v>
      </c>
      <c r="AQ280" s="25">
        <f>IF(tblMeasure[[#This Row],[src_methodology_url]]="TBD",0,1)</f>
        <v>1</v>
      </c>
      <c r="AR280" s="25">
        <f>IF(tblMeasure[[#This Row],[src_quality_url]]="TBD",0,1)</f>
        <v>1</v>
      </c>
      <c r="AS280" s="85" cm="1">
        <f t="array" ref="AS280">SUMPRODUCT(TRANSPOSE(tblMeasure[[#This Row],[str_msr_population_or_survey]:[str_src_quality_url]]),str_weights)/str_weights_total</f>
        <v>0.55384615384615377</v>
      </c>
    </row>
    <row r="281" spans="1:45" hidden="1" x14ac:dyDescent="0.15">
      <c r="A281" s="30">
        <v>279</v>
      </c>
      <c r="B281" s="15">
        <f>COUNTIF(requirement_measure_map!$D$3:$D$1514,measure!A281)</f>
        <v>8</v>
      </c>
      <c r="C281" s="30" t="s">
        <v>857</v>
      </c>
      <c r="D281" s="15" t="s">
        <v>1004</v>
      </c>
      <c r="E281" s="15" t="s">
        <v>1005</v>
      </c>
      <c r="F281" s="15" t="s">
        <v>1006</v>
      </c>
      <c r="G281" s="29" t="s">
        <v>932</v>
      </c>
      <c r="H281" s="15"/>
      <c r="I281" s="15" t="s">
        <v>933</v>
      </c>
      <c r="J281" s="15" t="s">
        <v>934</v>
      </c>
      <c r="K281" s="15" t="s">
        <v>1007</v>
      </c>
      <c r="L281" s="15" t="s">
        <v>287</v>
      </c>
      <c r="M281" s="15" t="s">
        <v>219</v>
      </c>
      <c r="N281" s="15" t="s">
        <v>219</v>
      </c>
      <c r="O281" s="15" t="s">
        <v>219</v>
      </c>
      <c r="P281" s="15" t="s">
        <v>219</v>
      </c>
      <c r="Q281" s="15" t="s">
        <v>219</v>
      </c>
      <c r="R281" s="15" t="s">
        <v>267</v>
      </c>
      <c r="S281" s="15" t="s">
        <v>967</v>
      </c>
      <c r="T281" s="15" t="s">
        <v>219</v>
      </c>
      <c r="U281" s="15" t="s">
        <v>349</v>
      </c>
      <c r="V281" s="15" t="s">
        <v>219</v>
      </c>
      <c r="W281" s="15">
        <v>17</v>
      </c>
      <c r="X281" s="15" t="str">
        <f>_xlfn.XLOOKUP(tblMeasure[[#This Row],[id_src]],tblSource[id_src],tblSource[org])</f>
        <v>Skills for Care</v>
      </c>
      <c r="Y281" s="15" t="str">
        <f>_xlfn.XLOOKUP(tblMeasure[[#This Row],[id_src]],tblSource[id_src],tblSource[source])</f>
        <v>State of the ASC sector and workforce</v>
      </c>
      <c r="Z281" s="15" t="str">
        <f>_xlfn.XLOOKUP(tblMeasure[[#This Row],[id_src]],tblSource[id_src],tblSource[url_source])</f>
        <v>https://www.skillsforcare.org.uk/adult-social-care-workforce-data/Workforce-intelligence/publications/national-information/The-state-of-the-adult-social-care-sector-and-workforce-in-England.aspx</v>
      </c>
      <c r="AA281" s="15">
        <f>_xlfn.XLOOKUP(tblMeasure[[#This Row],[id_src]],tblSource[id_src],tblSource[year_first_published])</f>
        <v>2012</v>
      </c>
      <c r="AB281" s="15">
        <f>_xlfn.XLOOKUP(tblMeasure[[#This Row],[id_src]],tblSource[id_src],tblSource[year_last_published])</f>
        <v>2019</v>
      </c>
      <c r="AC281" s="15">
        <f>_xlfn.XLOOKUP(tblMeasure[[#This Row],[id_src]],tblSource[id_src],tblSource[discontinuity])</f>
        <v>0</v>
      </c>
      <c r="AD281" s="15" t="str">
        <f>_xlfn.XLOOKUP(tblMeasure[[#This Row],[id_src]],tblSource[id_src],tblSource[publication_frequency])</f>
        <v>Annual</v>
      </c>
      <c r="AE281" s="15" t="str">
        <f>_xlfn.XLOOKUP(tblMeasure[[#This Row],[id_src]],tblSource[id_src],tblSource[publication_lag_months])</f>
        <v>TBD</v>
      </c>
      <c r="AF281" s="25" t="str">
        <f>_xlfn.XLOOKUP(tblMeasure[[#This Row],[id_src]],tblSource[id_src],tblSource[data_providers])</f>
        <v>LA,Independents</v>
      </c>
      <c r="AG281" s="25" t="str">
        <f>_xlfn.XLOOKUP(tblMeasure[[#This Row],[id_src]],tblSource[id_src],tblSource[statistic_class])</f>
        <v>TBD</v>
      </c>
      <c r="AH281" s="25" t="str">
        <f>_xlfn.XLOOKUP(tblMeasure[[#This Row],[id_src]],tblSource[id_src],tblSource[methodology_link])</f>
        <v>https://www.skillsforcare.org.uk/adult-social-care-workforce-data/Workforce-intelligence/Our-work/Our-data.aspx</v>
      </c>
      <c r="AI281" s="25" t="str">
        <f>_xlfn.XLOOKUP(tblMeasure[[#This Row],[id_src]],tblSource[id_src],tblSource[quality_issues])</f>
        <v>https://www.skillsforcare.org.uk/adult-social-care-workforce-data/Workforce-intelligence/documents/ASC-Workforce-Statistical-Appendix-2019.xlsx</v>
      </c>
      <c r="AJ281" s="25">
        <f>VLOOKUP(tblMeasure[[#This Row],[msr_population_or_survey]],strlu_msr_population_or_survey,2,FALSE)</f>
        <v>0.5</v>
      </c>
      <c r="AK281" s="25">
        <f>VLOOKUP(tblMeasure[[#This Row],[msr_min_geo_resolution]],strlu_msr_min_geo_resolution,2,FALSE)</f>
        <v>0.5</v>
      </c>
      <c r="AL281" s="25">
        <f>(MAX(tblMeasure[[#This Row],[src_year_last_published]]-2010+1,0)+MIN(2010-tblMeasure[[#This Row],[src_year_first_published]],0)-MAX(tblMeasure[[#This Row],[src_year_last_published]]-2019,0))/10</f>
        <v>0.8</v>
      </c>
      <c r="AM281" s="25">
        <f>IF(OR(tblMeasure[[#This Row],[src_discontinuity]]="None",tblMeasure[[#This Row],[src_discontinuity]]=0),1,0)</f>
        <v>1</v>
      </c>
      <c r="AN281" s="25">
        <f>VLOOKUP(tblMeasure[[#This Row],[src_pub_frequency]],strlu_src_pub_frequency,2,FALSE)</f>
        <v>0.8</v>
      </c>
      <c r="AO281" s="25">
        <f>VLOOKUP(tblMeasure[[#This Row],[src_pub_lag_months]],strlu_src_pub_lag_months,2,FALSE)</f>
        <v>0</v>
      </c>
      <c r="AP281" s="25">
        <f>VLOOKUP(tblMeasure[[#This Row],[src_statistic_class]],strlu_src_statistic_class,2,FALSE)</f>
        <v>0</v>
      </c>
      <c r="AQ281" s="25">
        <f>IF(tblMeasure[[#This Row],[src_methodology_url]]="TBD",0,1)</f>
        <v>1</v>
      </c>
      <c r="AR281" s="25">
        <f>IF(tblMeasure[[#This Row],[src_quality_url]]="TBD",0,1)</f>
        <v>1</v>
      </c>
      <c r="AS281" s="85" cm="1">
        <f t="array" ref="AS281">SUMPRODUCT(TRANSPOSE(tblMeasure[[#This Row],[str_msr_population_or_survey]:[str_src_quality_url]]),str_weights)/str_weights_total</f>
        <v>0.55384615384615377</v>
      </c>
    </row>
    <row r="282" spans="1:45" hidden="1" x14ac:dyDescent="0.15">
      <c r="A282" s="30">
        <v>280</v>
      </c>
      <c r="B282" s="15">
        <f>COUNTIF(requirement_measure_map!$D$3:$D$1514,measure!A282)</f>
        <v>8</v>
      </c>
      <c r="C282" s="30" t="s">
        <v>857</v>
      </c>
      <c r="D282" s="15" t="s">
        <v>1004</v>
      </c>
      <c r="E282" s="15" t="s">
        <v>1008</v>
      </c>
      <c r="F282" s="15" t="s">
        <v>1009</v>
      </c>
      <c r="G282" s="29" t="s">
        <v>932</v>
      </c>
      <c r="H282" s="15"/>
      <c r="I282" s="15" t="s">
        <v>933</v>
      </c>
      <c r="J282" s="15" t="s">
        <v>934</v>
      </c>
      <c r="K282" s="15" t="s">
        <v>1010</v>
      </c>
      <c r="L282" s="15" t="s">
        <v>287</v>
      </c>
      <c r="M282" s="15" t="s">
        <v>219</v>
      </c>
      <c r="N282" s="15" t="s">
        <v>219</v>
      </c>
      <c r="O282" s="15" t="s">
        <v>219</v>
      </c>
      <c r="P282" s="15" t="s">
        <v>219</v>
      </c>
      <c r="Q282" s="15" t="s">
        <v>219</v>
      </c>
      <c r="R282" s="15" t="s">
        <v>267</v>
      </c>
      <c r="S282" s="15" t="s">
        <v>967</v>
      </c>
      <c r="T282" s="15" t="s">
        <v>219</v>
      </c>
      <c r="U282" s="15" t="s">
        <v>349</v>
      </c>
      <c r="V282" s="15" t="s">
        <v>219</v>
      </c>
      <c r="W282" s="15">
        <v>17</v>
      </c>
      <c r="X282" s="15" t="str">
        <f>_xlfn.XLOOKUP(tblMeasure[[#This Row],[id_src]],tblSource[id_src],tblSource[org])</f>
        <v>Skills for Care</v>
      </c>
      <c r="Y282" s="15" t="str">
        <f>_xlfn.XLOOKUP(tblMeasure[[#This Row],[id_src]],tblSource[id_src],tblSource[source])</f>
        <v>State of the ASC sector and workforce</v>
      </c>
      <c r="Z282" s="15" t="str">
        <f>_xlfn.XLOOKUP(tblMeasure[[#This Row],[id_src]],tblSource[id_src],tblSource[url_source])</f>
        <v>https://www.skillsforcare.org.uk/adult-social-care-workforce-data/Workforce-intelligence/publications/national-information/The-state-of-the-adult-social-care-sector-and-workforce-in-England.aspx</v>
      </c>
      <c r="AA282" s="15">
        <f>_xlfn.XLOOKUP(tblMeasure[[#This Row],[id_src]],tblSource[id_src],tblSource[year_first_published])</f>
        <v>2012</v>
      </c>
      <c r="AB282" s="15">
        <f>_xlfn.XLOOKUP(tblMeasure[[#This Row],[id_src]],tblSource[id_src],tblSource[year_last_published])</f>
        <v>2019</v>
      </c>
      <c r="AC282" s="15">
        <f>_xlfn.XLOOKUP(tblMeasure[[#This Row],[id_src]],tblSource[id_src],tblSource[discontinuity])</f>
        <v>0</v>
      </c>
      <c r="AD282" s="15" t="str">
        <f>_xlfn.XLOOKUP(tblMeasure[[#This Row],[id_src]],tblSource[id_src],tblSource[publication_frequency])</f>
        <v>Annual</v>
      </c>
      <c r="AE282" s="15" t="str">
        <f>_xlfn.XLOOKUP(tblMeasure[[#This Row],[id_src]],tblSource[id_src],tblSource[publication_lag_months])</f>
        <v>TBD</v>
      </c>
      <c r="AF282" s="25" t="str">
        <f>_xlfn.XLOOKUP(tblMeasure[[#This Row],[id_src]],tblSource[id_src],tblSource[data_providers])</f>
        <v>LA,Independents</v>
      </c>
      <c r="AG282" s="25" t="str">
        <f>_xlfn.XLOOKUP(tblMeasure[[#This Row],[id_src]],tblSource[id_src],tblSource[statistic_class])</f>
        <v>TBD</v>
      </c>
      <c r="AH282" s="25" t="str">
        <f>_xlfn.XLOOKUP(tblMeasure[[#This Row],[id_src]],tblSource[id_src],tblSource[methodology_link])</f>
        <v>https://www.skillsforcare.org.uk/adult-social-care-workforce-data/Workforce-intelligence/Our-work/Our-data.aspx</v>
      </c>
      <c r="AI282" s="25" t="str">
        <f>_xlfn.XLOOKUP(tblMeasure[[#This Row],[id_src]],tblSource[id_src],tblSource[quality_issues])</f>
        <v>https://www.skillsforcare.org.uk/adult-social-care-workforce-data/Workforce-intelligence/documents/ASC-Workforce-Statistical-Appendix-2019.xlsx</v>
      </c>
      <c r="AJ282" s="25">
        <f>VLOOKUP(tblMeasure[[#This Row],[msr_population_or_survey]],strlu_msr_population_or_survey,2,FALSE)</f>
        <v>0.5</v>
      </c>
      <c r="AK282" s="25">
        <f>VLOOKUP(tblMeasure[[#This Row],[msr_min_geo_resolution]],strlu_msr_min_geo_resolution,2,FALSE)</f>
        <v>0.5</v>
      </c>
      <c r="AL282" s="25">
        <f>(MAX(tblMeasure[[#This Row],[src_year_last_published]]-2010+1,0)+MIN(2010-tblMeasure[[#This Row],[src_year_first_published]],0)-MAX(tblMeasure[[#This Row],[src_year_last_published]]-2019,0))/10</f>
        <v>0.8</v>
      </c>
      <c r="AM282" s="25">
        <f>IF(OR(tblMeasure[[#This Row],[src_discontinuity]]="None",tblMeasure[[#This Row],[src_discontinuity]]=0),1,0)</f>
        <v>1</v>
      </c>
      <c r="AN282" s="25">
        <f>VLOOKUP(tblMeasure[[#This Row],[src_pub_frequency]],strlu_src_pub_frequency,2,FALSE)</f>
        <v>0.8</v>
      </c>
      <c r="AO282" s="25">
        <f>VLOOKUP(tblMeasure[[#This Row],[src_pub_lag_months]],strlu_src_pub_lag_months,2,FALSE)</f>
        <v>0</v>
      </c>
      <c r="AP282" s="25">
        <f>VLOOKUP(tblMeasure[[#This Row],[src_statistic_class]],strlu_src_statistic_class,2,FALSE)</f>
        <v>0</v>
      </c>
      <c r="AQ282" s="25">
        <f>IF(tblMeasure[[#This Row],[src_methodology_url]]="TBD",0,1)</f>
        <v>1</v>
      </c>
      <c r="AR282" s="25">
        <f>IF(tblMeasure[[#This Row],[src_quality_url]]="TBD",0,1)</f>
        <v>1</v>
      </c>
      <c r="AS282" s="85" cm="1">
        <f t="array" ref="AS282">SUMPRODUCT(TRANSPOSE(tblMeasure[[#This Row],[str_msr_population_or_survey]:[str_src_quality_url]]),str_weights)/str_weights_total</f>
        <v>0.55384615384615377</v>
      </c>
    </row>
    <row r="283" spans="1:45" hidden="1" x14ac:dyDescent="0.15">
      <c r="A283" s="30">
        <v>281</v>
      </c>
      <c r="B283" s="15">
        <f>COUNTIF(requirement_measure_map!$D$3:$D$1514,measure!A283)</f>
        <v>0</v>
      </c>
      <c r="C283" s="30" t="s">
        <v>847</v>
      </c>
      <c r="D283" s="15" t="s">
        <v>1004</v>
      </c>
      <c r="E283" s="15" t="s">
        <v>1011</v>
      </c>
      <c r="F283" s="15" t="s">
        <v>1012</v>
      </c>
      <c r="G283" s="29" t="s">
        <v>932</v>
      </c>
      <c r="H283" s="15"/>
      <c r="I283" s="15" t="s">
        <v>933</v>
      </c>
      <c r="J283" s="15" t="s">
        <v>934</v>
      </c>
      <c r="K283" s="15" t="s">
        <v>1013</v>
      </c>
      <c r="L283" s="15" t="s">
        <v>287</v>
      </c>
      <c r="M283" s="15" t="s">
        <v>219</v>
      </c>
      <c r="N283" s="15" t="s">
        <v>219</v>
      </c>
      <c r="O283" s="15" t="s">
        <v>219</v>
      </c>
      <c r="P283" s="15" t="s">
        <v>219</v>
      </c>
      <c r="Q283" s="15" t="s">
        <v>219</v>
      </c>
      <c r="R283" s="15" t="s">
        <v>218</v>
      </c>
      <c r="S283" s="15" t="s">
        <v>967</v>
      </c>
      <c r="T283" s="15" t="s">
        <v>219</v>
      </c>
      <c r="U283" s="15" t="s">
        <v>219</v>
      </c>
      <c r="V283" s="15" t="s">
        <v>219</v>
      </c>
      <c r="W283" s="15">
        <v>17</v>
      </c>
      <c r="X283" s="15" t="str">
        <f>_xlfn.XLOOKUP(tblMeasure[[#This Row],[id_src]],tblSource[id_src],tblSource[org])</f>
        <v>Skills for Care</v>
      </c>
      <c r="Y283" s="15" t="str">
        <f>_xlfn.XLOOKUP(tblMeasure[[#This Row],[id_src]],tblSource[id_src],tblSource[source])</f>
        <v>State of the ASC sector and workforce</v>
      </c>
      <c r="Z283" s="15" t="str">
        <f>_xlfn.XLOOKUP(tblMeasure[[#This Row],[id_src]],tblSource[id_src],tblSource[url_source])</f>
        <v>https://www.skillsforcare.org.uk/adult-social-care-workforce-data/Workforce-intelligence/publications/national-information/The-state-of-the-adult-social-care-sector-and-workforce-in-England.aspx</v>
      </c>
      <c r="AA283" s="15">
        <f>_xlfn.XLOOKUP(tblMeasure[[#This Row],[id_src]],tblSource[id_src],tblSource[year_first_published])</f>
        <v>2012</v>
      </c>
      <c r="AB283" s="15">
        <f>_xlfn.XLOOKUP(tblMeasure[[#This Row],[id_src]],tblSource[id_src],tblSource[year_last_published])</f>
        <v>2019</v>
      </c>
      <c r="AC283" s="15">
        <f>_xlfn.XLOOKUP(tblMeasure[[#This Row],[id_src]],tblSource[id_src],tblSource[discontinuity])</f>
        <v>0</v>
      </c>
      <c r="AD283" s="15" t="str">
        <f>_xlfn.XLOOKUP(tblMeasure[[#This Row],[id_src]],tblSource[id_src],tblSource[publication_frequency])</f>
        <v>Annual</v>
      </c>
      <c r="AE283" s="15" t="str">
        <f>_xlfn.XLOOKUP(tblMeasure[[#This Row],[id_src]],tblSource[id_src],tblSource[publication_lag_months])</f>
        <v>TBD</v>
      </c>
      <c r="AF283" s="25" t="str">
        <f>_xlfn.XLOOKUP(tblMeasure[[#This Row],[id_src]],tblSource[id_src],tblSource[data_providers])</f>
        <v>LA,Independents</v>
      </c>
      <c r="AG283" s="25" t="str">
        <f>_xlfn.XLOOKUP(tblMeasure[[#This Row],[id_src]],tblSource[id_src],tblSource[statistic_class])</f>
        <v>TBD</v>
      </c>
      <c r="AH283" s="25" t="str">
        <f>_xlfn.XLOOKUP(tblMeasure[[#This Row],[id_src]],tblSource[id_src],tblSource[methodology_link])</f>
        <v>https://www.skillsforcare.org.uk/adult-social-care-workforce-data/Workforce-intelligence/Our-work/Our-data.aspx</v>
      </c>
      <c r="AI283" s="25" t="str">
        <f>_xlfn.XLOOKUP(tblMeasure[[#This Row],[id_src]],tblSource[id_src],tblSource[quality_issues])</f>
        <v>https://www.skillsforcare.org.uk/adult-social-care-workforce-data/Workforce-intelligence/documents/ASC-Workforce-Statistical-Appendix-2019.xlsx</v>
      </c>
      <c r="AJ283" s="25">
        <f>VLOOKUP(tblMeasure[[#This Row],[msr_population_or_survey]],strlu_msr_population_or_survey,2,FALSE)</f>
        <v>0.5</v>
      </c>
      <c r="AK283" s="25">
        <f>VLOOKUP(tblMeasure[[#This Row],[msr_min_geo_resolution]],strlu_msr_min_geo_resolution,2,FALSE)</f>
        <v>0.5</v>
      </c>
      <c r="AL283" s="25">
        <f>(MAX(tblMeasure[[#This Row],[src_year_last_published]]-2010+1,0)+MIN(2010-tblMeasure[[#This Row],[src_year_first_published]],0)-MAX(tblMeasure[[#This Row],[src_year_last_published]]-2019,0))/10</f>
        <v>0.8</v>
      </c>
      <c r="AM283" s="25">
        <f>IF(OR(tblMeasure[[#This Row],[src_discontinuity]]="None",tblMeasure[[#This Row],[src_discontinuity]]=0),1,0)</f>
        <v>1</v>
      </c>
      <c r="AN283" s="25">
        <f>VLOOKUP(tblMeasure[[#This Row],[src_pub_frequency]],strlu_src_pub_frequency,2,FALSE)</f>
        <v>0.8</v>
      </c>
      <c r="AO283" s="25">
        <f>VLOOKUP(tblMeasure[[#This Row],[src_pub_lag_months]],strlu_src_pub_lag_months,2,FALSE)</f>
        <v>0</v>
      </c>
      <c r="AP283" s="25">
        <f>VLOOKUP(tblMeasure[[#This Row],[src_statistic_class]],strlu_src_statistic_class,2,FALSE)</f>
        <v>0</v>
      </c>
      <c r="AQ283" s="25">
        <f>IF(tblMeasure[[#This Row],[src_methodology_url]]="TBD",0,1)</f>
        <v>1</v>
      </c>
      <c r="AR283" s="25">
        <f>IF(tblMeasure[[#This Row],[src_quality_url]]="TBD",0,1)</f>
        <v>1</v>
      </c>
      <c r="AS283" s="85" cm="1">
        <f t="array" ref="AS283">SUMPRODUCT(TRANSPOSE(tblMeasure[[#This Row],[str_msr_population_or_survey]:[str_src_quality_url]]),str_weights)/str_weights_total</f>
        <v>0.55384615384615377</v>
      </c>
    </row>
    <row r="284" spans="1:45" hidden="1" x14ac:dyDescent="0.15">
      <c r="A284" s="30">
        <v>282</v>
      </c>
      <c r="B284" s="15">
        <f>COUNTIF(requirement_measure_map!$D$3:$D$1514,measure!A284)</f>
        <v>8</v>
      </c>
      <c r="C284" s="30" t="s">
        <v>857</v>
      </c>
      <c r="D284" s="15" t="s">
        <v>1004</v>
      </c>
      <c r="E284" s="15" t="s">
        <v>1014</v>
      </c>
      <c r="F284" s="15" t="s">
        <v>1015</v>
      </c>
      <c r="G284" s="29" t="s">
        <v>932</v>
      </c>
      <c r="H284" s="15"/>
      <c r="I284" s="15" t="s">
        <v>933</v>
      </c>
      <c r="J284" s="15" t="s">
        <v>934</v>
      </c>
      <c r="K284" s="15" t="s">
        <v>1016</v>
      </c>
      <c r="L284" s="15" t="s">
        <v>287</v>
      </c>
      <c r="M284" s="15" t="s">
        <v>219</v>
      </c>
      <c r="N284" s="15" t="s">
        <v>219</v>
      </c>
      <c r="O284" s="15" t="s">
        <v>219</v>
      </c>
      <c r="P284" s="15" t="s">
        <v>219</v>
      </c>
      <c r="Q284" s="15" t="s">
        <v>219</v>
      </c>
      <c r="R284" s="15" t="s">
        <v>267</v>
      </c>
      <c r="S284" s="15" t="s">
        <v>967</v>
      </c>
      <c r="T284" s="15" t="s">
        <v>219</v>
      </c>
      <c r="U284" s="15" t="s">
        <v>349</v>
      </c>
      <c r="V284" s="15" t="s">
        <v>219</v>
      </c>
      <c r="W284" s="15">
        <v>17</v>
      </c>
      <c r="X284" s="15" t="str">
        <f>_xlfn.XLOOKUP(tblMeasure[[#This Row],[id_src]],tblSource[id_src],tblSource[org])</f>
        <v>Skills for Care</v>
      </c>
      <c r="Y284" s="15" t="str">
        <f>_xlfn.XLOOKUP(tblMeasure[[#This Row],[id_src]],tblSource[id_src],tblSource[source])</f>
        <v>State of the ASC sector and workforce</v>
      </c>
      <c r="Z284" s="15" t="str">
        <f>_xlfn.XLOOKUP(tblMeasure[[#This Row],[id_src]],tblSource[id_src],tblSource[url_source])</f>
        <v>https://www.skillsforcare.org.uk/adult-social-care-workforce-data/Workforce-intelligence/publications/national-information/The-state-of-the-adult-social-care-sector-and-workforce-in-England.aspx</v>
      </c>
      <c r="AA284" s="15">
        <f>_xlfn.XLOOKUP(tblMeasure[[#This Row],[id_src]],tblSource[id_src],tblSource[year_first_published])</f>
        <v>2012</v>
      </c>
      <c r="AB284" s="15">
        <f>_xlfn.XLOOKUP(tblMeasure[[#This Row],[id_src]],tblSource[id_src],tblSource[year_last_published])</f>
        <v>2019</v>
      </c>
      <c r="AC284" s="15">
        <f>_xlfn.XLOOKUP(tblMeasure[[#This Row],[id_src]],tblSource[id_src],tblSource[discontinuity])</f>
        <v>0</v>
      </c>
      <c r="AD284" s="15" t="str">
        <f>_xlfn.XLOOKUP(tblMeasure[[#This Row],[id_src]],tblSource[id_src],tblSource[publication_frequency])</f>
        <v>Annual</v>
      </c>
      <c r="AE284" s="15" t="str">
        <f>_xlfn.XLOOKUP(tblMeasure[[#This Row],[id_src]],tblSource[id_src],tblSource[publication_lag_months])</f>
        <v>TBD</v>
      </c>
      <c r="AF284" s="25" t="str">
        <f>_xlfn.XLOOKUP(tblMeasure[[#This Row],[id_src]],tblSource[id_src],tblSource[data_providers])</f>
        <v>LA,Independents</v>
      </c>
      <c r="AG284" s="25" t="str">
        <f>_xlfn.XLOOKUP(tblMeasure[[#This Row],[id_src]],tblSource[id_src],tblSource[statistic_class])</f>
        <v>TBD</v>
      </c>
      <c r="AH284" s="25" t="str">
        <f>_xlfn.XLOOKUP(tblMeasure[[#This Row],[id_src]],tblSource[id_src],tblSource[methodology_link])</f>
        <v>https://www.skillsforcare.org.uk/adult-social-care-workforce-data/Workforce-intelligence/Our-work/Our-data.aspx</v>
      </c>
      <c r="AI284" s="25" t="str">
        <f>_xlfn.XLOOKUP(tblMeasure[[#This Row],[id_src]],tblSource[id_src],tblSource[quality_issues])</f>
        <v>https://www.skillsforcare.org.uk/adult-social-care-workforce-data/Workforce-intelligence/documents/ASC-Workforce-Statistical-Appendix-2019.xlsx</v>
      </c>
      <c r="AJ284" s="25">
        <f>VLOOKUP(tblMeasure[[#This Row],[msr_population_or_survey]],strlu_msr_population_or_survey,2,FALSE)</f>
        <v>0.5</v>
      </c>
      <c r="AK284" s="25">
        <f>VLOOKUP(tblMeasure[[#This Row],[msr_min_geo_resolution]],strlu_msr_min_geo_resolution,2,FALSE)</f>
        <v>0.5</v>
      </c>
      <c r="AL284" s="25">
        <f>(MAX(tblMeasure[[#This Row],[src_year_last_published]]-2010+1,0)+MIN(2010-tblMeasure[[#This Row],[src_year_first_published]],0)-MAX(tblMeasure[[#This Row],[src_year_last_published]]-2019,0))/10</f>
        <v>0.8</v>
      </c>
      <c r="AM284" s="25">
        <f>IF(OR(tblMeasure[[#This Row],[src_discontinuity]]="None",tblMeasure[[#This Row],[src_discontinuity]]=0),1,0)</f>
        <v>1</v>
      </c>
      <c r="AN284" s="25">
        <f>VLOOKUP(tblMeasure[[#This Row],[src_pub_frequency]],strlu_src_pub_frequency,2,FALSE)</f>
        <v>0.8</v>
      </c>
      <c r="AO284" s="25">
        <f>VLOOKUP(tblMeasure[[#This Row],[src_pub_lag_months]],strlu_src_pub_lag_months,2,FALSE)</f>
        <v>0</v>
      </c>
      <c r="AP284" s="25">
        <f>VLOOKUP(tblMeasure[[#This Row],[src_statistic_class]],strlu_src_statistic_class,2,FALSE)</f>
        <v>0</v>
      </c>
      <c r="AQ284" s="25">
        <f>IF(tblMeasure[[#This Row],[src_methodology_url]]="TBD",0,1)</f>
        <v>1</v>
      </c>
      <c r="AR284" s="25">
        <f>IF(tblMeasure[[#This Row],[src_quality_url]]="TBD",0,1)</f>
        <v>1</v>
      </c>
      <c r="AS284" s="85" cm="1">
        <f t="array" ref="AS284">SUMPRODUCT(TRANSPOSE(tblMeasure[[#This Row],[str_msr_population_or_survey]:[str_src_quality_url]]),str_weights)/str_weights_total</f>
        <v>0.55384615384615377</v>
      </c>
    </row>
    <row r="285" spans="1:45" hidden="1" x14ac:dyDescent="0.15">
      <c r="A285" s="30">
        <v>283</v>
      </c>
      <c r="B285" s="15">
        <f>COUNTIF(requirement_measure_map!$D$3:$D$1514,measure!A285)</f>
        <v>8</v>
      </c>
      <c r="C285" s="30" t="s">
        <v>857</v>
      </c>
      <c r="D285" s="15" t="s">
        <v>1004</v>
      </c>
      <c r="E285" s="15" t="s">
        <v>1017</v>
      </c>
      <c r="F285" s="15" t="s">
        <v>1018</v>
      </c>
      <c r="G285" s="29" t="s">
        <v>932</v>
      </c>
      <c r="H285" s="15"/>
      <c r="I285" s="15" t="s">
        <v>933</v>
      </c>
      <c r="J285" s="15" t="s">
        <v>934</v>
      </c>
      <c r="K285" s="15" t="s">
        <v>1019</v>
      </c>
      <c r="L285" s="15" t="s">
        <v>287</v>
      </c>
      <c r="M285" s="15" t="s">
        <v>219</v>
      </c>
      <c r="N285" s="15" t="s">
        <v>219</v>
      </c>
      <c r="O285" s="15" t="s">
        <v>219</v>
      </c>
      <c r="P285" s="15" t="s">
        <v>219</v>
      </c>
      <c r="Q285" s="15" t="s">
        <v>219</v>
      </c>
      <c r="R285" s="15" t="s">
        <v>267</v>
      </c>
      <c r="S285" s="15" t="s">
        <v>967</v>
      </c>
      <c r="T285" s="15" t="s">
        <v>219</v>
      </c>
      <c r="U285" s="15" t="s">
        <v>349</v>
      </c>
      <c r="V285" s="15" t="s">
        <v>219</v>
      </c>
      <c r="W285" s="15">
        <v>17</v>
      </c>
      <c r="X285" s="15" t="str">
        <f>_xlfn.XLOOKUP(tblMeasure[[#This Row],[id_src]],tblSource[id_src],tblSource[org])</f>
        <v>Skills for Care</v>
      </c>
      <c r="Y285" s="15" t="str">
        <f>_xlfn.XLOOKUP(tblMeasure[[#This Row],[id_src]],tblSource[id_src],tblSource[source])</f>
        <v>State of the ASC sector and workforce</v>
      </c>
      <c r="Z285" s="15" t="str">
        <f>_xlfn.XLOOKUP(tblMeasure[[#This Row],[id_src]],tblSource[id_src],tblSource[url_source])</f>
        <v>https://www.skillsforcare.org.uk/adult-social-care-workforce-data/Workforce-intelligence/publications/national-information/The-state-of-the-adult-social-care-sector-and-workforce-in-England.aspx</v>
      </c>
      <c r="AA285" s="15">
        <f>_xlfn.XLOOKUP(tblMeasure[[#This Row],[id_src]],tblSource[id_src],tblSource[year_first_published])</f>
        <v>2012</v>
      </c>
      <c r="AB285" s="15">
        <f>_xlfn.XLOOKUP(tblMeasure[[#This Row],[id_src]],tblSource[id_src],tblSource[year_last_published])</f>
        <v>2019</v>
      </c>
      <c r="AC285" s="15">
        <f>_xlfn.XLOOKUP(tblMeasure[[#This Row],[id_src]],tblSource[id_src],tblSource[discontinuity])</f>
        <v>0</v>
      </c>
      <c r="AD285" s="15" t="str">
        <f>_xlfn.XLOOKUP(tblMeasure[[#This Row],[id_src]],tblSource[id_src],tblSource[publication_frequency])</f>
        <v>Annual</v>
      </c>
      <c r="AE285" s="15" t="str">
        <f>_xlfn.XLOOKUP(tblMeasure[[#This Row],[id_src]],tblSource[id_src],tblSource[publication_lag_months])</f>
        <v>TBD</v>
      </c>
      <c r="AF285" s="25" t="str">
        <f>_xlfn.XLOOKUP(tblMeasure[[#This Row],[id_src]],tblSource[id_src],tblSource[data_providers])</f>
        <v>LA,Independents</v>
      </c>
      <c r="AG285" s="25" t="str">
        <f>_xlfn.XLOOKUP(tblMeasure[[#This Row],[id_src]],tblSource[id_src],tblSource[statistic_class])</f>
        <v>TBD</v>
      </c>
      <c r="AH285" s="25" t="str">
        <f>_xlfn.XLOOKUP(tblMeasure[[#This Row],[id_src]],tblSource[id_src],tblSource[methodology_link])</f>
        <v>https://www.skillsforcare.org.uk/adult-social-care-workforce-data/Workforce-intelligence/Our-work/Our-data.aspx</v>
      </c>
      <c r="AI285" s="25" t="str">
        <f>_xlfn.XLOOKUP(tblMeasure[[#This Row],[id_src]],tblSource[id_src],tblSource[quality_issues])</f>
        <v>https://www.skillsforcare.org.uk/adult-social-care-workforce-data/Workforce-intelligence/documents/ASC-Workforce-Statistical-Appendix-2019.xlsx</v>
      </c>
      <c r="AJ285" s="25">
        <f>VLOOKUP(tblMeasure[[#This Row],[msr_population_or_survey]],strlu_msr_population_or_survey,2,FALSE)</f>
        <v>0.5</v>
      </c>
      <c r="AK285" s="25">
        <f>VLOOKUP(tblMeasure[[#This Row],[msr_min_geo_resolution]],strlu_msr_min_geo_resolution,2,FALSE)</f>
        <v>0.5</v>
      </c>
      <c r="AL285" s="25">
        <f>(MAX(tblMeasure[[#This Row],[src_year_last_published]]-2010+1,0)+MIN(2010-tblMeasure[[#This Row],[src_year_first_published]],0)-MAX(tblMeasure[[#This Row],[src_year_last_published]]-2019,0))/10</f>
        <v>0.8</v>
      </c>
      <c r="AM285" s="25">
        <f>IF(OR(tblMeasure[[#This Row],[src_discontinuity]]="None",tblMeasure[[#This Row],[src_discontinuity]]=0),1,0)</f>
        <v>1</v>
      </c>
      <c r="AN285" s="25">
        <f>VLOOKUP(tblMeasure[[#This Row],[src_pub_frequency]],strlu_src_pub_frequency,2,FALSE)</f>
        <v>0.8</v>
      </c>
      <c r="AO285" s="25">
        <f>VLOOKUP(tblMeasure[[#This Row],[src_pub_lag_months]],strlu_src_pub_lag_months,2,FALSE)</f>
        <v>0</v>
      </c>
      <c r="AP285" s="25">
        <f>VLOOKUP(tblMeasure[[#This Row],[src_statistic_class]],strlu_src_statistic_class,2,FALSE)</f>
        <v>0</v>
      </c>
      <c r="AQ285" s="25">
        <f>IF(tblMeasure[[#This Row],[src_methodology_url]]="TBD",0,1)</f>
        <v>1</v>
      </c>
      <c r="AR285" s="25">
        <f>IF(tblMeasure[[#This Row],[src_quality_url]]="TBD",0,1)</f>
        <v>1</v>
      </c>
      <c r="AS285" s="85" cm="1">
        <f t="array" ref="AS285">SUMPRODUCT(TRANSPOSE(tblMeasure[[#This Row],[str_msr_population_or_survey]:[str_src_quality_url]]),str_weights)/str_weights_total</f>
        <v>0.55384615384615377</v>
      </c>
    </row>
    <row r="286" spans="1:45" hidden="1" x14ac:dyDescent="0.15">
      <c r="A286" s="30">
        <v>284</v>
      </c>
      <c r="B286" s="15">
        <f>COUNTIF(requirement_measure_map!$D$3:$D$1514,measure!A286)</f>
        <v>8</v>
      </c>
      <c r="C286" s="30" t="s">
        <v>857</v>
      </c>
      <c r="D286" s="15" t="s">
        <v>1004</v>
      </c>
      <c r="E286" s="15" t="s">
        <v>1020</v>
      </c>
      <c r="F286" s="15" t="s">
        <v>1021</v>
      </c>
      <c r="G286" s="29" t="s">
        <v>932</v>
      </c>
      <c r="H286" s="15"/>
      <c r="I286" s="15" t="s">
        <v>933</v>
      </c>
      <c r="J286" s="15" t="s">
        <v>934</v>
      </c>
      <c r="K286" s="15" t="s">
        <v>1022</v>
      </c>
      <c r="L286" s="15" t="s">
        <v>287</v>
      </c>
      <c r="M286" s="15" t="s">
        <v>219</v>
      </c>
      <c r="N286" s="15" t="s">
        <v>219</v>
      </c>
      <c r="O286" s="15" t="s">
        <v>219</v>
      </c>
      <c r="P286" s="15" t="s">
        <v>219</v>
      </c>
      <c r="Q286" s="15" t="s">
        <v>219</v>
      </c>
      <c r="R286" s="15" t="s">
        <v>267</v>
      </c>
      <c r="S286" s="15" t="s">
        <v>967</v>
      </c>
      <c r="T286" s="15" t="s">
        <v>219</v>
      </c>
      <c r="U286" s="15" t="s">
        <v>349</v>
      </c>
      <c r="V286" s="15" t="s">
        <v>219</v>
      </c>
      <c r="W286" s="15">
        <v>17</v>
      </c>
      <c r="X286" s="15" t="str">
        <f>_xlfn.XLOOKUP(tblMeasure[[#This Row],[id_src]],tblSource[id_src],tblSource[org])</f>
        <v>Skills for Care</v>
      </c>
      <c r="Y286" s="15" t="str">
        <f>_xlfn.XLOOKUP(tblMeasure[[#This Row],[id_src]],tblSource[id_src],tblSource[source])</f>
        <v>State of the ASC sector and workforce</v>
      </c>
      <c r="Z286" s="15" t="str">
        <f>_xlfn.XLOOKUP(tblMeasure[[#This Row],[id_src]],tblSource[id_src],tblSource[url_source])</f>
        <v>https://www.skillsforcare.org.uk/adult-social-care-workforce-data/Workforce-intelligence/publications/national-information/The-state-of-the-adult-social-care-sector-and-workforce-in-England.aspx</v>
      </c>
      <c r="AA286" s="15">
        <f>_xlfn.XLOOKUP(tblMeasure[[#This Row],[id_src]],tblSource[id_src],tblSource[year_first_published])</f>
        <v>2012</v>
      </c>
      <c r="AB286" s="15">
        <f>_xlfn.XLOOKUP(tblMeasure[[#This Row],[id_src]],tblSource[id_src],tblSource[year_last_published])</f>
        <v>2019</v>
      </c>
      <c r="AC286" s="15">
        <f>_xlfn.XLOOKUP(tblMeasure[[#This Row],[id_src]],tblSource[id_src],tblSource[discontinuity])</f>
        <v>0</v>
      </c>
      <c r="AD286" s="15" t="str">
        <f>_xlfn.XLOOKUP(tblMeasure[[#This Row],[id_src]],tblSource[id_src],tblSource[publication_frequency])</f>
        <v>Annual</v>
      </c>
      <c r="AE286" s="15" t="str">
        <f>_xlfn.XLOOKUP(tblMeasure[[#This Row],[id_src]],tblSource[id_src],tblSource[publication_lag_months])</f>
        <v>TBD</v>
      </c>
      <c r="AF286" s="25" t="str">
        <f>_xlfn.XLOOKUP(tblMeasure[[#This Row],[id_src]],tblSource[id_src],tblSource[data_providers])</f>
        <v>LA,Independents</v>
      </c>
      <c r="AG286" s="25" t="str">
        <f>_xlfn.XLOOKUP(tblMeasure[[#This Row],[id_src]],tblSource[id_src],tblSource[statistic_class])</f>
        <v>TBD</v>
      </c>
      <c r="AH286" s="25" t="str">
        <f>_xlfn.XLOOKUP(tblMeasure[[#This Row],[id_src]],tblSource[id_src],tblSource[methodology_link])</f>
        <v>https://www.skillsforcare.org.uk/adult-social-care-workforce-data/Workforce-intelligence/Our-work/Our-data.aspx</v>
      </c>
      <c r="AI286" s="25" t="str">
        <f>_xlfn.XLOOKUP(tblMeasure[[#This Row],[id_src]],tblSource[id_src],tblSource[quality_issues])</f>
        <v>https://www.skillsforcare.org.uk/adult-social-care-workforce-data/Workforce-intelligence/documents/ASC-Workforce-Statistical-Appendix-2019.xlsx</v>
      </c>
      <c r="AJ286" s="25">
        <f>VLOOKUP(tblMeasure[[#This Row],[msr_population_or_survey]],strlu_msr_population_or_survey,2,FALSE)</f>
        <v>0.5</v>
      </c>
      <c r="AK286" s="25">
        <f>VLOOKUP(tblMeasure[[#This Row],[msr_min_geo_resolution]],strlu_msr_min_geo_resolution,2,FALSE)</f>
        <v>0.5</v>
      </c>
      <c r="AL286" s="25">
        <f>(MAX(tblMeasure[[#This Row],[src_year_last_published]]-2010+1,0)+MIN(2010-tblMeasure[[#This Row],[src_year_first_published]],0)-MAX(tblMeasure[[#This Row],[src_year_last_published]]-2019,0))/10</f>
        <v>0.8</v>
      </c>
      <c r="AM286" s="25">
        <f>IF(OR(tblMeasure[[#This Row],[src_discontinuity]]="None",tblMeasure[[#This Row],[src_discontinuity]]=0),1,0)</f>
        <v>1</v>
      </c>
      <c r="AN286" s="25">
        <f>VLOOKUP(tblMeasure[[#This Row],[src_pub_frequency]],strlu_src_pub_frequency,2,FALSE)</f>
        <v>0.8</v>
      </c>
      <c r="AO286" s="25">
        <f>VLOOKUP(tblMeasure[[#This Row],[src_pub_lag_months]],strlu_src_pub_lag_months,2,FALSE)</f>
        <v>0</v>
      </c>
      <c r="AP286" s="25">
        <f>VLOOKUP(tblMeasure[[#This Row],[src_statistic_class]],strlu_src_statistic_class,2,FALSE)</f>
        <v>0</v>
      </c>
      <c r="AQ286" s="25">
        <f>IF(tblMeasure[[#This Row],[src_methodology_url]]="TBD",0,1)</f>
        <v>1</v>
      </c>
      <c r="AR286" s="25">
        <f>IF(tblMeasure[[#This Row],[src_quality_url]]="TBD",0,1)</f>
        <v>1</v>
      </c>
      <c r="AS286" s="85" cm="1">
        <f t="array" ref="AS286">SUMPRODUCT(TRANSPOSE(tblMeasure[[#This Row],[str_msr_population_or_survey]:[str_src_quality_url]]),str_weights)/str_weights_total</f>
        <v>0.55384615384615377</v>
      </c>
    </row>
    <row r="287" spans="1:45" hidden="1" x14ac:dyDescent="0.15">
      <c r="A287" s="30">
        <v>285</v>
      </c>
      <c r="B287" s="15">
        <f>COUNTIF(requirement_measure_map!$D$3:$D$1514,measure!A287)</f>
        <v>0</v>
      </c>
      <c r="C287" s="30" t="s">
        <v>847</v>
      </c>
      <c r="D287" s="15" t="s">
        <v>1004</v>
      </c>
      <c r="E287" s="15" t="s">
        <v>1023</v>
      </c>
      <c r="F287" s="15" t="s">
        <v>1024</v>
      </c>
      <c r="G287" s="29" t="s">
        <v>932</v>
      </c>
      <c r="H287" s="15"/>
      <c r="I287" s="15" t="s">
        <v>933</v>
      </c>
      <c r="J287" s="15" t="s">
        <v>934</v>
      </c>
      <c r="K287" s="15" t="s">
        <v>1025</v>
      </c>
      <c r="L287" s="15" t="s">
        <v>287</v>
      </c>
      <c r="M287" s="15" t="s">
        <v>219</v>
      </c>
      <c r="N287" s="15" t="s">
        <v>219</v>
      </c>
      <c r="O287" s="15" t="s">
        <v>219</v>
      </c>
      <c r="P287" s="15" t="s">
        <v>219</v>
      </c>
      <c r="Q287" s="15" t="s">
        <v>219</v>
      </c>
      <c r="R287" s="15" t="s">
        <v>218</v>
      </c>
      <c r="S287" s="15" t="s">
        <v>967</v>
      </c>
      <c r="T287" s="15" t="s">
        <v>219</v>
      </c>
      <c r="U287" s="15" t="s">
        <v>219</v>
      </c>
      <c r="V287" s="15" t="s">
        <v>219</v>
      </c>
      <c r="W287" s="15">
        <v>17</v>
      </c>
      <c r="X287" s="15" t="str">
        <f>_xlfn.XLOOKUP(tblMeasure[[#This Row],[id_src]],tblSource[id_src],tblSource[org])</f>
        <v>Skills for Care</v>
      </c>
      <c r="Y287" s="15" t="str">
        <f>_xlfn.XLOOKUP(tblMeasure[[#This Row],[id_src]],tblSource[id_src],tblSource[source])</f>
        <v>State of the ASC sector and workforce</v>
      </c>
      <c r="Z287" s="15" t="str">
        <f>_xlfn.XLOOKUP(tblMeasure[[#This Row],[id_src]],tblSource[id_src],tblSource[url_source])</f>
        <v>https://www.skillsforcare.org.uk/adult-social-care-workforce-data/Workforce-intelligence/publications/national-information/The-state-of-the-adult-social-care-sector-and-workforce-in-England.aspx</v>
      </c>
      <c r="AA287" s="15">
        <f>_xlfn.XLOOKUP(tblMeasure[[#This Row],[id_src]],tblSource[id_src],tblSource[year_first_published])</f>
        <v>2012</v>
      </c>
      <c r="AB287" s="15">
        <f>_xlfn.XLOOKUP(tblMeasure[[#This Row],[id_src]],tblSource[id_src],tblSource[year_last_published])</f>
        <v>2019</v>
      </c>
      <c r="AC287" s="15">
        <f>_xlfn.XLOOKUP(tblMeasure[[#This Row],[id_src]],tblSource[id_src],tblSource[discontinuity])</f>
        <v>0</v>
      </c>
      <c r="AD287" s="15" t="str">
        <f>_xlfn.XLOOKUP(tblMeasure[[#This Row],[id_src]],tblSource[id_src],tblSource[publication_frequency])</f>
        <v>Annual</v>
      </c>
      <c r="AE287" s="15" t="str">
        <f>_xlfn.XLOOKUP(tblMeasure[[#This Row],[id_src]],tblSource[id_src],tblSource[publication_lag_months])</f>
        <v>TBD</v>
      </c>
      <c r="AF287" s="25" t="str">
        <f>_xlfn.XLOOKUP(tblMeasure[[#This Row],[id_src]],tblSource[id_src],tblSource[data_providers])</f>
        <v>LA,Independents</v>
      </c>
      <c r="AG287" s="25" t="str">
        <f>_xlfn.XLOOKUP(tblMeasure[[#This Row],[id_src]],tblSource[id_src],tblSource[statistic_class])</f>
        <v>TBD</v>
      </c>
      <c r="AH287" s="25" t="str">
        <f>_xlfn.XLOOKUP(tblMeasure[[#This Row],[id_src]],tblSource[id_src],tblSource[methodology_link])</f>
        <v>https://www.skillsforcare.org.uk/adult-social-care-workforce-data/Workforce-intelligence/Our-work/Our-data.aspx</v>
      </c>
      <c r="AI287" s="25" t="str">
        <f>_xlfn.XLOOKUP(tblMeasure[[#This Row],[id_src]],tblSource[id_src],tblSource[quality_issues])</f>
        <v>https://www.skillsforcare.org.uk/adult-social-care-workforce-data/Workforce-intelligence/documents/ASC-Workforce-Statistical-Appendix-2019.xlsx</v>
      </c>
      <c r="AJ287" s="25">
        <f>VLOOKUP(tblMeasure[[#This Row],[msr_population_or_survey]],strlu_msr_population_or_survey,2,FALSE)</f>
        <v>0.5</v>
      </c>
      <c r="AK287" s="25">
        <f>VLOOKUP(tblMeasure[[#This Row],[msr_min_geo_resolution]],strlu_msr_min_geo_resolution,2,FALSE)</f>
        <v>0.5</v>
      </c>
      <c r="AL287" s="25">
        <f>(MAX(tblMeasure[[#This Row],[src_year_last_published]]-2010+1,0)+MIN(2010-tblMeasure[[#This Row],[src_year_first_published]],0)-MAX(tblMeasure[[#This Row],[src_year_last_published]]-2019,0))/10</f>
        <v>0.8</v>
      </c>
      <c r="AM287" s="25">
        <f>IF(OR(tblMeasure[[#This Row],[src_discontinuity]]="None",tblMeasure[[#This Row],[src_discontinuity]]=0),1,0)</f>
        <v>1</v>
      </c>
      <c r="AN287" s="25">
        <f>VLOOKUP(tblMeasure[[#This Row],[src_pub_frequency]],strlu_src_pub_frequency,2,FALSE)</f>
        <v>0.8</v>
      </c>
      <c r="AO287" s="25">
        <f>VLOOKUP(tblMeasure[[#This Row],[src_pub_lag_months]],strlu_src_pub_lag_months,2,FALSE)</f>
        <v>0</v>
      </c>
      <c r="AP287" s="25">
        <f>VLOOKUP(tblMeasure[[#This Row],[src_statistic_class]],strlu_src_statistic_class,2,FALSE)</f>
        <v>0</v>
      </c>
      <c r="AQ287" s="25">
        <f>IF(tblMeasure[[#This Row],[src_methodology_url]]="TBD",0,1)</f>
        <v>1</v>
      </c>
      <c r="AR287" s="25">
        <f>IF(tblMeasure[[#This Row],[src_quality_url]]="TBD",0,1)</f>
        <v>1</v>
      </c>
      <c r="AS287" s="85" cm="1">
        <f t="array" ref="AS287">SUMPRODUCT(TRANSPOSE(tblMeasure[[#This Row],[str_msr_population_or_survey]:[str_src_quality_url]]),str_weights)/str_weights_total</f>
        <v>0.55384615384615377</v>
      </c>
    </row>
    <row r="288" spans="1:45" hidden="1" x14ac:dyDescent="0.15">
      <c r="A288" s="30">
        <v>286</v>
      </c>
      <c r="B288" s="15">
        <f>COUNTIF(requirement_measure_map!$D$3:$D$1514,measure!A288)</f>
        <v>8</v>
      </c>
      <c r="C288" s="30" t="s">
        <v>857</v>
      </c>
      <c r="D288" s="15" t="s">
        <v>1004</v>
      </c>
      <c r="E288" s="15" t="s">
        <v>1026</v>
      </c>
      <c r="F288" s="15" t="s">
        <v>1027</v>
      </c>
      <c r="G288" s="29" t="s">
        <v>932</v>
      </c>
      <c r="H288" s="15"/>
      <c r="I288" s="15" t="s">
        <v>933</v>
      </c>
      <c r="J288" s="15" t="s">
        <v>934</v>
      </c>
      <c r="K288" s="15" t="s">
        <v>1028</v>
      </c>
      <c r="L288" s="15" t="s">
        <v>287</v>
      </c>
      <c r="M288" s="15" t="s">
        <v>219</v>
      </c>
      <c r="N288" s="15" t="s">
        <v>219</v>
      </c>
      <c r="O288" s="15" t="s">
        <v>219</v>
      </c>
      <c r="P288" s="15" t="s">
        <v>219</v>
      </c>
      <c r="Q288" s="15" t="s">
        <v>219</v>
      </c>
      <c r="R288" s="15" t="s">
        <v>219</v>
      </c>
      <c r="S288" s="15" t="s">
        <v>240</v>
      </c>
      <c r="T288" s="15" t="s">
        <v>219</v>
      </c>
      <c r="U288" s="15" t="s">
        <v>219</v>
      </c>
      <c r="V288" s="15" t="s">
        <v>219</v>
      </c>
      <c r="W288" s="15">
        <v>17</v>
      </c>
      <c r="X288" s="15" t="str">
        <f>_xlfn.XLOOKUP(tblMeasure[[#This Row],[id_src]],tblSource[id_src],tblSource[org])</f>
        <v>Skills for Care</v>
      </c>
      <c r="Y288" s="15" t="str">
        <f>_xlfn.XLOOKUP(tblMeasure[[#This Row],[id_src]],tblSource[id_src],tblSource[source])</f>
        <v>State of the ASC sector and workforce</v>
      </c>
      <c r="Z288" s="15" t="str">
        <f>_xlfn.XLOOKUP(tblMeasure[[#This Row],[id_src]],tblSource[id_src],tblSource[url_source])</f>
        <v>https://www.skillsforcare.org.uk/adult-social-care-workforce-data/Workforce-intelligence/publications/national-information/The-state-of-the-adult-social-care-sector-and-workforce-in-England.aspx</v>
      </c>
      <c r="AA288" s="15">
        <f>_xlfn.XLOOKUP(tblMeasure[[#This Row],[id_src]],tblSource[id_src],tblSource[year_first_published])</f>
        <v>2012</v>
      </c>
      <c r="AB288" s="15">
        <f>_xlfn.XLOOKUP(tblMeasure[[#This Row],[id_src]],tblSource[id_src],tblSource[year_last_published])</f>
        <v>2019</v>
      </c>
      <c r="AC288" s="15">
        <f>_xlfn.XLOOKUP(tblMeasure[[#This Row],[id_src]],tblSource[id_src],tblSource[discontinuity])</f>
        <v>0</v>
      </c>
      <c r="AD288" s="15" t="str">
        <f>_xlfn.XLOOKUP(tblMeasure[[#This Row],[id_src]],tblSource[id_src],tblSource[publication_frequency])</f>
        <v>Annual</v>
      </c>
      <c r="AE288" s="15" t="str">
        <f>_xlfn.XLOOKUP(tblMeasure[[#This Row],[id_src]],tblSource[id_src],tblSource[publication_lag_months])</f>
        <v>TBD</v>
      </c>
      <c r="AF288" s="25" t="str">
        <f>_xlfn.XLOOKUP(tblMeasure[[#This Row],[id_src]],tblSource[id_src],tblSource[data_providers])</f>
        <v>LA,Independents</v>
      </c>
      <c r="AG288" s="25" t="str">
        <f>_xlfn.XLOOKUP(tblMeasure[[#This Row],[id_src]],tblSource[id_src],tblSource[statistic_class])</f>
        <v>TBD</v>
      </c>
      <c r="AH288" s="25" t="str">
        <f>_xlfn.XLOOKUP(tblMeasure[[#This Row],[id_src]],tblSource[id_src],tblSource[methodology_link])</f>
        <v>https://www.skillsforcare.org.uk/adult-social-care-workforce-data/Workforce-intelligence/Our-work/Our-data.aspx</v>
      </c>
      <c r="AI288" s="25" t="str">
        <f>_xlfn.XLOOKUP(tblMeasure[[#This Row],[id_src]],tblSource[id_src],tblSource[quality_issues])</f>
        <v>https://www.skillsforcare.org.uk/adult-social-care-workforce-data/Workforce-intelligence/documents/ASC-Workforce-Statistical-Appendix-2019.xlsx</v>
      </c>
      <c r="AJ288" s="25">
        <f>VLOOKUP(tblMeasure[[#This Row],[msr_population_or_survey]],strlu_msr_population_or_survey,2,FALSE)</f>
        <v>0.5</v>
      </c>
      <c r="AK288" s="25">
        <f>VLOOKUP(tblMeasure[[#This Row],[msr_min_geo_resolution]],strlu_msr_min_geo_resolution,2,FALSE)</f>
        <v>0.5</v>
      </c>
      <c r="AL288" s="25">
        <f>(MAX(tblMeasure[[#This Row],[src_year_last_published]]-2010+1,0)+MIN(2010-tblMeasure[[#This Row],[src_year_first_published]],0)-MAX(tblMeasure[[#This Row],[src_year_last_published]]-2019,0))/10</f>
        <v>0.8</v>
      </c>
      <c r="AM288" s="25">
        <f>IF(OR(tblMeasure[[#This Row],[src_discontinuity]]="None",tblMeasure[[#This Row],[src_discontinuity]]=0),1,0)</f>
        <v>1</v>
      </c>
      <c r="AN288" s="25">
        <f>VLOOKUP(tblMeasure[[#This Row],[src_pub_frequency]],strlu_src_pub_frequency,2,FALSE)</f>
        <v>0.8</v>
      </c>
      <c r="AO288" s="25">
        <f>VLOOKUP(tblMeasure[[#This Row],[src_pub_lag_months]],strlu_src_pub_lag_months,2,FALSE)</f>
        <v>0</v>
      </c>
      <c r="AP288" s="25">
        <f>VLOOKUP(tblMeasure[[#This Row],[src_statistic_class]],strlu_src_statistic_class,2,FALSE)</f>
        <v>0</v>
      </c>
      <c r="AQ288" s="25">
        <f>IF(tblMeasure[[#This Row],[src_methodology_url]]="TBD",0,1)</f>
        <v>1</v>
      </c>
      <c r="AR288" s="25">
        <f>IF(tblMeasure[[#This Row],[src_quality_url]]="TBD",0,1)</f>
        <v>1</v>
      </c>
      <c r="AS288" s="85" cm="1">
        <f t="array" ref="AS288">SUMPRODUCT(TRANSPOSE(tblMeasure[[#This Row],[str_msr_population_or_survey]:[str_src_quality_url]]),str_weights)/str_weights_total</f>
        <v>0.55384615384615377</v>
      </c>
    </row>
    <row r="289" spans="1:45" hidden="1" x14ac:dyDescent="0.15">
      <c r="A289" s="30">
        <v>287</v>
      </c>
      <c r="B289" s="15">
        <f>COUNTIF(requirement_measure_map!$D$3:$D$1514,measure!A289)</f>
        <v>8</v>
      </c>
      <c r="C289" s="30" t="s">
        <v>857</v>
      </c>
      <c r="D289" s="15" t="s">
        <v>1004</v>
      </c>
      <c r="E289" s="15" t="s">
        <v>1029</v>
      </c>
      <c r="F289" s="15" t="s">
        <v>1030</v>
      </c>
      <c r="G289" s="29" t="s">
        <v>932</v>
      </c>
      <c r="H289" s="15"/>
      <c r="I289" s="15" t="s">
        <v>933</v>
      </c>
      <c r="J289" s="15" t="s">
        <v>934</v>
      </c>
      <c r="K289" s="15" t="s">
        <v>1031</v>
      </c>
      <c r="L289" s="15" t="s">
        <v>287</v>
      </c>
      <c r="M289" s="15" t="s">
        <v>219</v>
      </c>
      <c r="N289" s="15" t="s">
        <v>219</v>
      </c>
      <c r="O289" s="15" t="s">
        <v>219</v>
      </c>
      <c r="P289" s="15" t="s">
        <v>219</v>
      </c>
      <c r="Q289" s="15" t="s">
        <v>219</v>
      </c>
      <c r="R289" s="15" t="s">
        <v>218</v>
      </c>
      <c r="S289" s="15" t="s">
        <v>967</v>
      </c>
      <c r="T289" s="15" t="s">
        <v>219</v>
      </c>
      <c r="U289" s="15" t="s">
        <v>349</v>
      </c>
      <c r="V289" s="15" t="s">
        <v>219</v>
      </c>
      <c r="W289" s="15">
        <v>17</v>
      </c>
      <c r="X289" s="15" t="str">
        <f>_xlfn.XLOOKUP(tblMeasure[[#This Row],[id_src]],tblSource[id_src],tblSource[org])</f>
        <v>Skills for Care</v>
      </c>
      <c r="Y289" s="15" t="str">
        <f>_xlfn.XLOOKUP(tblMeasure[[#This Row],[id_src]],tblSource[id_src],tblSource[source])</f>
        <v>State of the ASC sector and workforce</v>
      </c>
      <c r="Z289" s="15" t="str">
        <f>_xlfn.XLOOKUP(tblMeasure[[#This Row],[id_src]],tblSource[id_src],tblSource[url_source])</f>
        <v>https://www.skillsforcare.org.uk/adult-social-care-workforce-data/Workforce-intelligence/publications/national-information/The-state-of-the-adult-social-care-sector-and-workforce-in-England.aspx</v>
      </c>
      <c r="AA289" s="15">
        <f>_xlfn.XLOOKUP(tblMeasure[[#This Row],[id_src]],tblSource[id_src],tblSource[year_first_published])</f>
        <v>2012</v>
      </c>
      <c r="AB289" s="15">
        <f>_xlfn.XLOOKUP(tblMeasure[[#This Row],[id_src]],tblSource[id_src],tblSource[year_last_published])</f>
        <v>2019</v>
      </c>
      <c r="AC289" s="15">
        <f>_xlfn.XLOOKUP(tblMeasure[[#This Row],[id_src]],tblSource[id_src],tblSource[discontinuity])</f>
        <v>0</v>
      </c>
      <c r="AD289" s="15" t="str">
        <f>_xlfn.XLOOKUP(tblMeasure[[#This Row],[id_src]],tblSource[id_src],tblSource[publication_frequency])</f>
        <v>Annual</v>
      </c>
      <c r="AE289" s="15" t="str">
        <f>_xlfn.XLOOKUP(tblMeasure[[#This Row],[id_src]],tblSource[id_src],tblSource[publication_lag_months])</f>
        <v>TBD</v>
      </c>
      <c r="AF289" s="25" t="str">
        <f>_xlfn.XLOOKUP(tblMeasure[[#This Row],[id_src]],tblSource[id_src],tblSource[data_providers])</f>
        <v>LA,Independents</v>
      </c>
      <c r="AG289" s="25" t="str">
        <f>_xlfn.XLOOKUP(tblMeasure[[#This Row],[id_src]],tblSource[id_src],tblSource[statistic_class])</f>
        <v>TBD</v>
      </c>
      <c r="AH289" s="25" t="str">
        <f>_xlfn.XLOOKUP(tblMeasure[[#This Row],[id_src]],tblSource[id_src],tblSource[methodology_link])</f>
        <v>https://www.skillsforcare.org.uk/adult-social-care-workforce-data/Workforce-intelligence/Our-work/Our-data.aspx</v>
      </c>
      <c r="AI289" s="25" t="str">
        <f>_xlfn.XLOOKUP(tblMeasure[[#This Row],[id_src]],tblSource[id_src],tblSource[quality_issues])</f>
        <v>https://www.skillsforcare.org.uk/adult-social-care-workforce-data/Workforce-intelligence/documents/ASC-Workforce-Statistical-Appendix-2019.xlsx</v>
      </c>
      <c r="AJ289" s="25">
        <f>VLOOKUP(tblMeasure[[#This Row],[msr_population_or_survey]],strlu_msr_population_or_survey,2,FALSE)</f>
        <v>0.5</v>
      </c>
      <c r="AK289" s="25">
        <f>VLOOKUP(tblMeasure[[#This Row],[msr_min_geo_resolution]],strlu_msr_min_geo_resolution,2,FALSE)</f>
        <v>0.5</v>
      </c>
      <c r="AL289" s="25">
        <f>(MAX(tblMeasure[[#This Row],[src_year_last_published]]-2010+1,0)+MIN(2010-tblMeasure[[#This Row],[src_year_first_published]],0)-MAX(tblMeasure[[#This Row],[src_year_last_published]]-2019,0))/10</f>
        <v>0.8</v>
      </c>
      <c r="AM289" s="25">
        <f>IF(OR(tblMeasure[[#This Row],[src_discontinuity]]="None",tblMeasure[[#This Row],[src_discontinuity]]=0),1,0)</f>
        <v>1</v>
      </c>
      <c r="AN289" s="25">
        <f>VLOOKUP(tblMeasure[[#This Row],[src_pub_frequency]],strlu_src_pub_frequency,2,FALSE)</f>
        <v>0.8</v>
      </c>
      <c r="AO289" s="25">
        <f>VLOOKUP(tblMeasure[[#This Row],[src_pub_lag_months]],strlu_src_pub_lag_months,2,FALSE)</f>
        <v>0</v>
      </c>
      <c r="AP289" s="25">
        <f>VLOOKUP(tblMeasure[[#This Row],[src_statistic_class]],strlu_src_statistic_class,2,FALSE)</f>
        <v>0</v>
      </c>
      <c r="AQ289" s="25">
        <f>IF(tblMeasure[[#This Row],[src_methodology_url]]="TBD",0,1)</f>
        <v>1</v>
      </c>
      <c r="AR289" s="25">
        <f>IF(tblMeasure[[#This Row],[src_quality_url]]="TBD",0,1)</f>
        <v>1</v>
      </c>
      <c r="AS289" s="85" cm="1">
        <f t="array" ref="AS289">SUMPRODUCT(TRANSPOSE(tblMeasure[[#This Row],[str_msr_population_or_survey]:[str_src_quality_url]]),str_weights)/str_weights_total</f>
        <v>0.55384615384615377</v>
      </c>
    </row>
    <row r="290" spans="1:45" hidden="1" x14ac:dyDescent="0.15">
      <c r="A290" s="30">
        <v>288</v>
      </c>
      <c r="B290" s="15">
        <f>COUNTIF(requirement_measure_map!$D$3:$D$1514,measure!A290)</f>
        <v>8</v>
      </c>
      <c r="C290" s="30" t="s">
        <v>857</v>
      </c>
      <c r="D290" s="15" t="s">
        <v>1004</v>
      </c>
      <c r="E290" s="15" t="s">
        <v>1032</v>
      </c>
      <c r="F290" s="15" t="s">
        <v>1033</v>
      </c>
      <c r="G290" s="29" t="s">
        <v>932</v>
      </c>
      <c r="H290" s="15"/>
      <c r="I290" s="15" t="s">
        <v>933</v>
      </c>
      <c r="J290" s="15" t="s">
        <v>934</v>
      </c>
      <c r="K290" s="15" t="s">
        <v>1034</v>
      </c>
      <c r="L290" s="15" t="s">
        <v>287</v>
      </c>
      <c r="M290" s="15" t="s">
        <v>219</v>
      </c>
      <c r="N290" s="15" t="s">
        <v>219</v>
      </c>
      <c r="O290" s="15" t="s">
        <v>219</v>
      </c>
      <c r="P290" s="15" t="s">
        <v>219</v>
      </c>
      <c r="Q290" s="15" t="s">
        <v>219</v>
      </c>
      <c r="R290" s="15" t="s">
        <v>219</v>
      </c>
      <c r="S290" s="15" t="s">
        <v>240</v>
      </c>
      <c r="T290" s="15" t="s">
        <v>219</v>
      </c>
      <c r="U290" s="15" t="s">
        <v>219</v>
      </c>
      <c r="V290" s="15" t="s">
        <v>219</v>
      </c>
      <c r="W290" s="15">
        <v>17</v>
      </c>
      <c r="X290" s="15" t="str">
        <f>_xlfn.XLOOKUP(tblMeasure[[#This Row],[id_src]],tblSource[id_src],tblSource[org])</f>
        <v>Skills for Care</v>
      </c>
      <c r="Y290" s="15" t="str">
        <f>_xlfn.XLOOKUP(tblMeasure[[#This Row],[id_src]],tblSource[id_src],tblSource[source])</f>
        <v>State of the ASC sector and workforce</v>
      </c>
      <c r="Z290" s="15" t="str">
        <f>_xlfn.XLOOKUP(tblMeasure[[#This Row],[id_src]],tblSource[id_src],tblSource[url_source])</f>
        <v>https://www.skillsforcare.org.uk/adult-social-care-workforce-data/Workforce-intelligence/publications/national-information/The-state-of-the-adult-social-care-sector-and-workforce-in-England.aspx</v>
      </c>
      <c r="AA290" s="15">
        <f>_xlfn.XLOOKUP(tblMeasure[[#This Row],[id_src]],tblSource[id_src],tblSource[year_first_published])</f>
        <v>2012</v>
      </c>
      <c r="AB290" s="15">
        <f>_xlfn.XLOOKUP(tblMeasure[[#This Row],[id_src]],tblSource[id_src],tblSource[year_last_published])</f>
        <v>2019</v>
      </c>
      <c r="AC290" s="15">
        <f>_xlfn.XLOOKUP(tblMeasure[[#This Row],[id_src]],tblSource[id_src],tblSource[discontinuity])</f>
        <v>0</v>
      </c>
      <c r="AD290" s="15" t="str">
        <f>_xlfn.XLOOKUP(tblMeasure[[#This Row],[id_src]],tblSource[id_src],tblSource[publication_frequency])</f>
        <v>Annual</v>
      </c>
      <c r="AE290" s="15" t="str">
        <f>_xlfn.XLOOKUP(tblMeasure[[#This Row],[id_src]],tblSource[id_src],tblSource[publication_lag_months])</f>
        <v>TBD</v>
      </c>
      <c r="AF290" s="25" t="str">
        <f>_xlfn.XLOOKUP(tblMeasure[[#This Row],[id_src]],tblSource[id_src],tblSource[data_providers])</f>
        <v>LA,Independents</v>
      </c>
      <c r="AG290" s="25" t="str">
        <f>_xlfn.XLOOKUP(tblMeasure[[#This Row],[id_src]],tblSource[id_src],tblSource[statistic_class])</f>
        <v>TBD</v>
      </c>
      <c r="AH290" s="25" t="str">
        <f>_xlfn.XLOOKUP(tblMeasure[[#This Row],[id_src]],tblSource[id_src],tblSource[methodology_link])</f>
        <v>https://www.skillsforcare.org.uk/adult-social-care-workforce-data/Workforce-intelligence/Our-work/Our-data.aspx</v>
      </c>
      <c r="AI290" s="25" t="str">
        <f>_xlfn.XLOOKUP(tblMeasure[[#This Row],[id_src]],tblSource[id_src],tblSource[quality_issues])</f>
        <v>https://www.skillsforcare.org.uk/adult-social-care-workforce-data/Workforce-intelligence/documents/ASC-Workforce-Statistical-Appendix-2019.xlsx</v>
      </c>
      <c r="AJ290" s="25">
        <f>VLOOKUP(tblMeasure[[#This Row],[msr_population_or_survey]],strlu_msr_population_or_survey,2,FALSE)</f>
        <v>0.5</v>
      </c>
      <c r="AK290" s="25">
        <f>VLOOKUP(tblMeasure[[#This Row],[msr_min_geo_resolution]],strlu_msr_min_geo_resolution,2,FALSE)</f>
        <v>0.5</v>
      </c>
      <c r="AL290" s="25">
        <f>(MAX(tblMeasure[[#This Row],[src_year_last_published]]-2010+1,0)+MIN(2010-tblMeasure[[#This Row],[src_year_first_published]],0)-MAX(tblMeasure[[#This Row],[src_year_last_published]]-2019,0))/10</f>
        <v>0.8</v>
      </c>
      <c r="AM290" s="25">
        <f>IF(OR(tblMeasure[[#This Row],[src_discontinuity]]="None",tblMeasure[[#This Row],[src_discontinuity]]=0),1,0)</f>
        <v>1</v>
      </c>
      <c r="AN290" s="25">
        <f>VLOOKUP(tblMeasure[[#This Row],[src_pub_frequency]],strlu_src_pub_frequency,2,FALSE)</f>
        <v>0.8</v>
      </c>
      <c r="AO290" s="25">
        <f>VLOOKUP(tblMeasure[[#This Row],[src_pub_lag_months]],strlu_src_pub_lag_months,2,FALSE)</f>
        <v>0</v>
      </c>
      <c r="AP290" s="25">
        <f>VLOOKUP(tblMeasure[[#This Row],[src_statistic_class]],strlu_src_statistic_class,2,FALSE)</f>
        <v>0</v>
      </c>
      <c r="AQ290" s="25">
        <f>IF(tblMeasure[[#This Row],[src_methodology_url]]="TBD",0,1)</f>
        <v>1</v>
      </c>
      <c r="AR290" s="25">
        <f>IF(tblMeasure[[#This Row],[src_quality_url]]="TBD",0,1)</f>
        <v>1</v>
      </c>
      <c r="AS290" s="85" cm="1">
        <f t="array" ref="AS290">SUMPRODUCT(TRANSPOSE(tblMeasure[[#This Row],[str_msr_population_or_survey]:[str_src_quality_url]]),str_weights)/str_weights_total</f>
        <v>0.55384615384615377</v>
      </c>
    </row>
    <row r="291" spans="1:45" hidden="1" x14ac:dyDescent="0.15">
      <c r="A291" s="30">
        <v>289</v>
      </c>
      <c r="B291" s="15">
        <f>COUNTIF(requirement_measure_map!$D$3:$D$1514,measure!A291)</f>
        <v>8</v>
      </c>
      <c r="C291" s="30" t="s">
        <v>857</v>
      </c>
      <c r="D291" s="15" t="s">
        <v>1004</v>
      </c>
      <c r="E291" s="15" t="s">
        <v>1035</v>
      </c>
      <c r="F291" s="15" t="s">
        <v>1036</v>
      </c>
      <c r="G291" s="29" t="s">
        <v>932</v>
      </c>
      <c r="H291" s="15"/>
      <c r="I291" s="15" t="s">
        <v>933</v>
      </c>
      <c r="J291" s="15" t="s">
        <v>934</v>
      </c>
      <c r="K291" s="15" t="s">
        <v>1037</v>
      </c>
      <c r="L291" s="15" t="s">
        <v>287</v>
      </c>
      <c r="M291" s="15" t="s">
        <v>219</v>
      </c>
      <c r="N291" s="15" t="s">
        <v>219</v>
      </c>
      <c r="O291" s="15" t="s">
        <v>219</v>
      </c>
      <c r="P291" s="15" t="s">
        <v>219</v>
      </c>
      <c r="Q291" s="15" t="s">
        <v>219</v>
      </c>
      <c r="R291" s="15" t="s">
        <v>218</v>
      </c>
      <c r="S291" s="15" t="s">
        <v>967</v>
      </c>
      <c r="T291" s="15" t="s">
        <v>219</v>
      </c>
      <c r="U291" s="15" t="s">
        <v>349</v>
      </c>
      <c r="V291" s="15" t="s">
        <v>219</v>
      </c>
      <c r="W291" s="15">
        <v>17</v>
      </c>
      <c r="X291" s="15" t="str">
        <f>_xlfn.XLOOKUP(tblMeasure[[#This Row],[id_src]],tblSource[id_src],tblSource[org])</f>
        <v>Skills for Care</v>
      </c>
      <c r="Y291" s="15" t="str">
        <f>_xlfn.XLOOKUP(tblMeasure[[#This Row],[id_src]],tblSource[id_src],tblSource[source])</f>
        <v>State of the ASC sector and workforce</v>
      </c>
      <c r="Z291" s="15" t="str">
        <f>_xlfn.XLOOKUP(tblMeasure[[#This Row],[id_src]],tblSource[id_src],tblSource[url_source])</f>
        <v>https://www.skillsforcare.org.uk/adult-social-care-workforce-data/Workforce-intelligence/publications/national-information/The-state-of-the-adult-social-care-sector-and-workforce-in-England.aspx</v>
      </c>
      <c r="AA291" s="15">
        <f>_xlfn.XLOOKUP(tblMeasure[[#This Row],[id_src]],tblSource[id_src],tblSource[year_first_published])</f>
        <v>2012</v>
      </c>
      <c r="AB291" s="15">
        <f>_xlfn.XLOOKUP(tblMeasure[[#This Row],[id_src]],tblSource[id_src],tblSource[year_last_published])</f>
        <v>2019</v>
      </c>
      <c r="AC291" s="15">
        <f>_xlfn.XLOOKUP(tblMeasure[[#This Row],[id_src]],tblSource[id_src],tblSource[discontinuity])</f>
        <v>0</v>
      </c>
      <c r="AD291" s="15" t="str">
        <f>_xlfn.XLOOKUP(tblMeasure[[#This Row],[id_src]],tblSource[id_src],tblSource[publication_frequency])</f>
        <v>Annual</v>
      </c>
      <c r="AE291" s="15" t="str">
        <f>_xlfn.XLOOKUP(tblMeasure[[#This Row],[id_src]],tblSource[id_src],tblSource[publication_lag_months])</f>
        <v>TBD</v>
      </c>
      <c r="AF291" s="25" t="str">
        <f>_xlfn.XLOOKUP(tblMeasure[[#This Row],[id_src]],tblSource[id_src],tblSource[data_providers])</f>
        <v>LA,Independents</v>
      </c>
      <c r="AG291" s="25" t="str">
        <f>_xlfn.XLOOKUP(tblMeasure[[#This Row],[id_src]],tblSource[id_src],tblSource[statistic_class])</f>
        <v>TBD</v>
      </c>
      <c r="AH291" s="25" t="str">
        <f>_xlfn.XLOOKUP(tblMeasure[[#This Row],[id_src]],tblSource[id_src],tblSource[methodology_link])</f>
        <v>https://www.skillsforcare.org.uk/adult-social-care-workforce-data/Workforce-intelligence/Our-work/Our-data.aspx</v>
      </c>
      <c r="AI291" s="25" t="str">
        <f>_xlfn.XLOOKUP(tblMeasure[[#This Row],[id_src]],tblSource[id_src],tblSource[quality_issues])</f>
        <v>https://www.skillsforcare.org.uk/adult-social-care-workforce-data/Workforce-intelligence/documents/ASC-Workforce-Statistical-Appendix-2019.xlsx</v>
      </c>
      <c r="AJ291" s="25">
        <f>VLOOKUP(tblMeasure[[#This Row],[msr_population_or_survey]],strlu_msr_population_or_survey,2,FALSE)</f>
        <v>0.5</v>
      </c>
      <c r="AK291" s="25">
        <f>VLOOKUP(tblMeasure[[#This Row],[msr_min_geo_resolution]],strlu_msr_min_geo_resolution,2,FALSE)</f>
        <v>0.5</v>
      </c>
      <c r="AL291" s="25">
        <f>(MAX(tblMeasure[[#This Row],[src_year_last_published]]-2010+1,0)+MIN(2010-tblMeasure[[#This Row],[src_year_first_published]],0)-MAX(tblMeasure[[#This Row],[src_year_last_published]]-2019,0))/10</f>
        <v>0.8</v>
      </c>
      <c r="AM291" s="25">
        <f>IF(OR(tblMeasure[[#This Row],[src_discontinuity]]="None",tblMeasure[[#This Row],[src_discontinuity]]=0),1,0)</f>
        <v>1</v>
      </c>
      <c r="AN291" s="25">
        <f>VLOOKUP(tblMeasure[[#This Row],[src_pub_frequency]],strlu_src_pub_frequency,2,FALSE)</f>
        <v>0.8</v>
      </c>
      <c r="AO291" s="25">
        <f>VLOOKUP(tblMeasure[[#This Row],[src_pub_lag_months]],strlu_src_pub_lag_months,2,FALSE)</f>
        <v>0</v>
      </c>
      <c r="AP291" s="25">
        <f>VLOOKUP(tblMeasure[[#This Row],[src_statistic_class]],strlu_src_statistic_class,2,FALSE)</f>
        <v>0</v>
      </c>
      <c r="AQ291" s="25">
        <f>IF(tblMeasure[[#This Row],[src_methodology_url]]="TBD",0,1)</f>
        <v>1</v>
      </c>
      <c r="AR291" s="25">
        <f>IF(tblMeasure[[#This Row],[src_quality_url]]="TBD",0,1)</f>
        <v>1</v>
      </c>
      <c r="AS291" s="85" cm="1">
        <f t="array" ref="AS291">SUMPRODUCT(TRANSPOSE(tblMeasure[[#This Row],[str_msr_population_or_survey]:[str_src_quality_url]]),str_weights)/str_weights_total</f>
        <v>0.55384615384615377</v>
      </c>
    </row>
    <row r="292" spans="1:45" hidden="1" x14ac:dyDescent="0.15">
      <c r="A292" s="30">
        <v>290</v>
      </c>
      <c r="B292" s="15">
        <f>COUNTIF(requirement_measure_map!$D$3:$D$1514,measure!A292)</f>
        <v>8</v>
      </c>
      <c r="C292" s="30" t="s">
        <v>857</v>
      </c>
      <c r="D292" s="15" t="s">
        <v>1038</v>
      </c>
      <c r="E292" s="15" t="s">
        <v>1039</v>
      </c>
      <c r="F292" s="15" t="s">
        <v>1040</v>
      </c>
      <c r="G292" s="29" t="s">
        <v>932</v>
      </c>
      <c r="H292" s="15"/>
      <c r="I292" s="15" t="s">
        <v>933</v>
      </c>
      <c r="J292" s="15" t="s">
        <v>934</v>
      </c>
      <c r="K292" s="15" t="s">
        <v>1041</v>
      </c>
      <c r="L292" s="15" t="s">
        <v>287</v>
      </c>
      <c r="M292" s="15" t="s">
        <v>219</v>
      </c>
      <c r="N292" s="15" t="s">
        <v>219</v>
      </c>
      <c r="O292" s="15" t="s">
        <v>219</v>
      </c>
      <c r="P292" s="15" t="s">
        <v>219</v>
      </c>
      <c r="Q292" s="15" t="s">
        <v>219</v>
      </c>
      <c r="R292" s="15" t="s">
        <v>267</v>
      </c>
      <c r="S292" s="15" t="s">
        <v>967</v>
      </c>
      <c r="T292" s="15" t="s">
        <v>219</v>
      </c>
      <c r="U292" s="15" t="s">
        <v>349</v>
      </c>
      <c r="V292" s="15" t="s">
        <v>219</v>
      </c>
      <c r="W292" s="15">
        <v>17</v>
      </c>
      <c r="X292" s="15" t="str">
        <f>_xlfn.XLOOKUP(tblMeasure[[#This Row],[id_src]],tblSource[id_src],tblSource[org])</f>
        <v>Skills for Care</v>
      </c>
      <c r="Y292" s="15" t="str">
        <f>_xlfn.XLOOKUP(tblMeasure[[#This Row],[id_src]],tblSource[id_src],tblSource[source])</f>
        <v>State of the ASC sector and workforce</v>
      </c>
      <c r="Z292" s="15" t="str">
        <f>_xlfn.XLOOKUP(tblMeasure[[#This Row],[id_src]],tblSource[id_src],tblSource[url_source])</f>
        <v>https://www.skillsforcare.org.uk/adult-social-care-workforce-data/Workforce-intelligence/publications/national-information/The-state-of-the-adult-social-care-sector-and-workforce-in-England.aspx</v>
      </c>
      <c r="AA292" s="15">
        <f>_xlfn.XLOOKUP(tblMeasure[[#This Row],[id_src]],tblSource[id_src],tblSource[year_first_published])</f>
        <v>2012</v>
      </c>
      <c r="AB292" s="15">
        <f>_xlfn.XLOOKUP(tblMeasure[[#This Row],[id_src]],tblSource[id_src],tblSource[year_last_published])</f>
        <v>2019</v>
      </c>
      <c r="AC292" s="15">
        <f>_xlfn.XLOOKUP(tblMeasure[[#This Row],[id_src]],tblSource[id_src],tblSource[discontinuity])</f>
        <v>0</v>
      </c>
      <c r="AD292" s="15" t="str">
        <f>_xlfn.XLOOKUP(tblMeasure[[#This Row],[id_src]],tblSource[id_src],tblSource[publication_frequency])</f>
        <v>Annual</v>
      </c>
      <c r="AE292" s="15" t="str">
        <f>_xlfn.XLOOKUP(tblMeasure[[#This Row],[id_src]],tblSource[id_src],tblSource[publication_lag_months])</f>
        <v>TBD</v>
      </c>
      <c r="AF292" s="25" t="str">
        <f>_xlfn.XLOOKUP(tblMeasure[[#This Row],[id_src]],tblSource[id_src],tblSource[data_providers])</f>
        <v>LA,Independents</v>
      </c>
      <c r="AG292" s="25" t="str">
        <f>_xlfn.XLOOKUP(tblMeasure[[#This Row],[id_src]],tblSource[id_src],tblSource[statistic_class])</f>
        <v>TBD</v>
      </c>
      <c r="AH292" s="25" t="str">
        <f>_xlfn.XLOOKUP(tblMeasure[[#This Row],[id_src]],tblSource[id_src],tblSource[methodology_link])</f>
        <v>https://www.skillsforcare.org.uk/adult-social-care-workforce-data/Workforce-intelligence/Our-work/Our-data.aspx</v>
      </c>
      <c r="AI292" s="25" t="str">
        <f>_xlfn.XLOOKUP(tblMeasure[[#This Row],[id_src]],tblSource[id_src],tblSource[quality_issues])</f>
        <v>https://www.skillsforcare.org.uk/adult-social-care-workforce-data/Workforce-intelligence/documents/ASC-Workforce-Statistical-Appendix-2019.xlsx</v>
      </c>
      <c r="AJ292" s="25">
        <f>VLOOKUP(tblMeasure[[#This Row],[msr_population_or_survey]],strlu_msr_population_or_survey,2,FALSE)</f>
        <v>0.5</v>
      </c>
      <c r="AK292" s="25">
        <f>VLOOKUP(tblMeasure[[#This Row],[msr_min_geo_resolution]],strlu_msr_min_geo_resolution,2,FALSE)</f>
        <v>0.5</v>
      </c>
      <c r="AL292" s="25">
        <f>(MAX(tblMeasure[[#This Row],[src_year_last_published]]-2010+1,0)+MIN(2010-tblMeasure[[#This Row],[src_year_first_published]],0)-MAX(tblMeasure[[#This Row],[src_year_last_published]]-2019,0))/10</f>
        <v>0.8</v>
      </c>
      <c r="AM292" s="25">
        <f>IF(OR(tblMeasure[[#This Row],[src_discontinuity]]="None",tblMeasure[[#This Row],[src_discontinuity]]=0),1,0)</f>
        <v>1</v>
      </c>
      <c r="AN292" s="25">
        <f>VLOOKUP(tblMeasure[[#This Row],[src_pub_frequency]],strlu_src_pub_frequency,2,FALSE)</f>
        <v>0.8</v>
      </c>
      <c r="AO292" s="25">
        <f>VLOOKUP(tblMeasure[[#This Row],[src_pub_lag_months]],strlu_src_pub_lag_months,2,FALSE)</f>
        <v>0</v>
      </c>
      <c r="AP292" s="25">
        <f>VLOOKUP(tblMeasure[[#This Row],[src_statistic_class]],strlu_src_statistic_class,2,FALSE)</f>
        <v>0</v>
      </c>
      <c r="AQ292" s="25">
        <f>IF(tblMeasure[[#This Row],[src_methodology_url]]="TBD",0,1)</f>
        <v>1</v>
      </c>
      <c r="AR292" s="25">
        <f>IF(tblMeasure[[#This Row],[src_quality_url]]="TBD",0,1)</f>
        <v>1</v>
      </c>
      <c r="AS292" s="85" cm="1">
        <f t="array" ref="AS292">SUMPRODUCT(TRANSPOSE(tblMeasure[[#This Row],[str_msr_population_or_survey]:[str_src_quality_url]]),str_weights)/str_weights_total</f>
        <v>0.55384615384615377</v>
      </c>
    </row>
    <row r="293" spans="1:45" hidden="1" x14ac:dyDescent="0.15">
      <c r="A293" s="30">
        <v>291</v>
      </c>
      <c r="B293" s="15">
        <f>COUNTIF(requirement_measure_map!$D$3:$D$1514,measure!A293)</f>
        <v>8</v>
      </c>
      <c r="C293" s="30" t="s">
        <v>857</v>
      </c>
      <c r="D293" s="15" t="s">
        <v>1038</v>
      </c>
      <c r="E293" s="15" t="s">
        <v>1042</v>
      </c>
      <c r="F293" s="15" t="s">
        <v>1043</v>
      </c>
      <c r="G293" s="29" t="s">
        <v>932</v>
      </c>
      <c r="H293" s="15"/>
      <c r="I293" s="15" t="s">
        <v>933</v>
      </c>
      <c r="J293" s="15" t="s">
        <v>934</v>
      </c>
      <c r="K293" s="15" t="s">
        <v>1044</v>
      </c>
      <c r="L293" s="15" t="s">
        <v>287</v>
      </c>
      <c r="M293" s="15" t="s">
        <v>219</v>
      </c>
      <c r="N293" s="15" t="s">
        <v>219</v>
      </c>
      <c r="O293" s="15" t="s">
        <v>219</v>
      </c>
      <c r="P293" s="15" t="s">
        <v>219</v>
      </c>
      <c r="Q293" s="15" t="s">
        <v>219</v>
      </c>
      <c r="R293" s="15" t="s">
        <v>267</v>
      </c>
      <c r="S293" s="15" t="s">
        <v>967</v>
      </c>
      <c r="T293" s="15" t="s">
        <v>219</v>
      </c>
      <c r="U293" s="15" t="s">
        <v>349</v>
      </c>
      <c r="V293" s="15" t="s">
        <v>219</v>
      </c>
      <c r="W293" s="15">
        <v>17</v>
      </c>
      <c r="X293" s="15" t="str">
        <f>_xlfn.XLOOKUP(tblMeasure[[#This Row],[id_src]],tblSource[id_src],tblSource[org])</f>
        <v>Skills for Care</v>
      </c>
      <c r="Y293" s="15" t="str">
        <f>_xlfn.XLOOKUP(tblMeasure[[#This Row],[id_src]],tblSource[id_src],tblSource[source])</f>
        <v>State of the ASC sector and workforce</v>
      </c>
      <c r="Z293" s="15" t="str">
        <f>_xlfn.XLOOKUP(tblMeasure[[#This Row],[id_src]],tblSource[id_src],tblSource[url_source])</f>
        <v>https://www.skillsforcare.org.uk/adult-social-care-workforce-data/Workforce-intelligence/publications/national-information/The-state-of-the-adult-social-care-sector-and-workforce-in-England.aspx</v>
      </c>
      <c r="AA293" s="15">
        <f>_xlfn.XLOOKUP(tblMeasure[[#This Row],[id_src]],tblSource[id_src],tblSource[year_first_published])</f>
        <v>2012</v>
      </c>
      <c r="AB293" s="15">
        <f>_xlfn.XLOOKUP(tblMeasure[[#This Row],[id_src]],tblSource[id_src],tblSource[year_last_published])</f>
        <v>2019</v>
      </c>
      <c r="AC293" s="15">
        <f>_xlfn.XLOOKUP(tblMeasure[[#This Row],[id_src]],tblSource[id_src],tblSource[discontinuity])</f>
        <v>0</v>
      </c>
      <c r="AD293" s="15" t="str">
        <f>_xlfn.XLOOKUP(tblMeasure[[#This Row],[id_src]],tblSource[id_src],tblSource[publication_frequency])</f>
        <v>Annual</v>
      </c>
      <c r="AE293" s="15" t="str">
        <f>_xlfn.XLOOKUP(tblMeasure[[#This Row],[id_src]],tblSource[id_src],tblSource[publication_lag_months])</f>
        <v>TBD</v>
      </c>
      <c r="AF293" s="25" t="str">
        <f>_xlfn.XLOOKUP(tblMeasure[[#This Row],[id_src]],tblSource[id_src],tblSource[data_providers])</f>
        <v>LA,Independents</v>
      </c>
      <c r="AG293" s="25" t="str">
        <f>_xlfn.XLOOKUP(tblMeasure[[#This Row],[id_src]],tblSource[id_src],tblSource[statistic_class])</f>
        <v>TBD</v>
      </c>
      <c r="AH293" s="25" t="str">
        <f>_xlfn.XLOOKUP(tblMeasure[[#This Row],[id_src]],tblSource[id_src],tblSource[methodology_link])</f>
        <v>https://www.skillsforcare.org.uk/adult-social-care-workforce-data/Workforce-intelligence/Our-work/Our-data.aspx</v>
      </c>
      <c r="AI293" s="25" t="str">
        <f>_xlfn.XLOOKUP(tblMeasure[[#This Row],[id_src]],tblSource[id_src],tblSource[quality_issues])</f>
        <v>https://www.skillsforcare.org.uk/adult-social-care-workforce-data/Workforce-intelligence/documents/ASC-Workforce-Statistical-Appendix-2019.xlsx</v>
      </c>
      <c r="AJ293" s="25">
        <f>VLOOKUP(tblMeasure[[#This Row],[msr_population_or_survey]],strlu_msr_population_or_survey,2,FALSE)</f>
        <v>0.5</v>
      </c>
      <c r="AK293" s="25">
        <f>VLOOKUP(tblMeasure[[#This Row],[msr_min_geo_resolution]],strlu_msr_min_geo_resolution,2,FALSE)</f>
        <v>0.5</v>
      </c>
      <c r="AL293" s="25">
        <f>(MAX(tblMeasure[[#This Row],[src_year_last_published]]-2010+1,0)+MIN(2010-tblMeasure[[#This Row],[src_year_first_published]],0)-MAX(tblMeasure[[#This Row],[src_year_last_published]]-2019,0))/10</f>
        <v>0.8</v>
      </c>
      <c r="AM293" s="25">
        <f>IF(OR(tblMeasure[[#This Row],[src_discontinuity]]="None",tblMeasure[[#This Row],[src_discontinuity]]=0),1,0)</f>
        <v>1</v>
      </c>
      <c r="AN293" s="25">
        <f>VLOOKUP(tblMeasure[[#This Row],[src_pub_frequency]],strlu_src_pub_frequency,2,FALSE)</f>
        <v>0.8</v>
      </c>
      <c r="AO293" s="25">
        <f>VLOOKUP(tblMeasure[[#This Row],[src_pub_lag_months]],strlu_src_pub_lag_months,2,FALSE)</f>
        <v>0</v>
      </c>
      <c r="AP293" s="25">
        <f>VLOOKUP(tblMeasure[[#This Row],[src_statistic_class]],strlu_src_statistic_class,2,FALSE)</f>
        <v>0</v>
      </c>
      <c r="AQ293" s="25">
        <f>IF(tblMeasure[[#This Row],[src_methodology_url]]="TBD",0,1)</f>
        <v>1</v>
      </c>
      <c r="AR293" s="25">
        <f>IF(tblMeasure[[#This Row],[src_quality_url]]="TBD",0,1)</f>
        <v>1</v>
      </c>
      <c r="AS293" s="85" cm="1">
        <f t="array" ref="AS293">SUMPRODUCT(TRANSPOSE(tblMeasure[[#This Row],[str_msr_population_or_survey]:[str_src_quality_url]]),str_weights)/str_weights_total</f>
        <v>0.55384615384615377</v>
      </c>
    </row>
    <row r="294" spans="1:45" hidden="1" x14ac:dyDescent="0.15">
      <c r="A294" s="30">
        <v>292</v>
      </c>
      <c r="B294" s="15">
        <f>COUNTIF(requirement_measure_map!$D$3:$D$1514,measure!A294)</f>
        <v>0</v>
      </c>
      <c r="C294" s="30" t="s">
        <v>847</v>
      </c>
      <c r="D294" s="15" t="s">
        <v>1038</v>
      </c>
      <c r="E294" s="15" t="s">
        <v>1045</v>
      </c>
      <c r="F294" s="15" t="s">
        <v>1046</v>
      </c>
      <c r="G294" s="29" t="s">
        <v>932</v>
      </c>
      <c r="H294" s="15"/>
      <c r="I294" s="15" t="s">
        <v>933</v>
      </c>
      <c r="J294" s="15" t="s">
        <v>934</v>
      </c>
      <c r="K294" s="15" t="s">
        <v>1041</v>
      </c>
      <c r="L294" s="15" t="s">
        <v>287</v>
      </c>
      <c r="M294" s="15" t="s">
        <v>219</v>
      </c>
      <c r="N294" s="15" t="s">
        <v>219</v>
      </c>
      <c r="O294" s="15" t="s">
        <v>219</v>
      </c>
      <c r="P294" s="15" t="s">
        <v>219</v>
      </c>
      <c r="Q294" s="15" t="s">
        <v>219</v>
      </c>
      <c r="R294" s="15" t="s">
        <v>218</v>
      </c>
      <c r="S294" s="15" t="s">
        <v>240</v>
      </c>
      <c r="T294" s="15" t="s">
        <v>219</v>
      </c>
      <c r="U294" s="15" t="s">
        <v>219</v>
      </c>
      <c r="V294" s="15" t="s">
        <v>219</v>
      </c>
      <c r="W294" s="15">
        <v>17</v>
      </c>
      <c r="X294" s="15" t="str">
        <f>_xlfn.XLOOKUP(tblMeasure[[#This Row],[id_src]],tblSource[id_src],tblSource[org])</f>
        <v>Skills for Care</v>
      </c>
      <c r="Y294" s="15" t="str">
        <f>_xlfn.XLOOKUP(tblMeasure[[#This Row],[id_src]],tblSource[id_src],tblSource[source])</f>
        <v>State of the ASC sector and workforce</v>
      </c>
      <c r="Z294" s="15" t="str">
        <f>_xlfn.XLOOKUP(tblMeasure[[#This Row],[id_src]],tblSource[id_src],tblSource[url_source])</f>
        <v>https://www.skillsforcare.org.uk/adult-social-care-workforce-data/Workforce-intelligence/publications/national-information/The-state-of-the-adult-social-care-sector-and-workforce-in-England.aspx</v>
      </c>
      <c r="AA294" s="15">
        <f>_xlfn.XLOOKUP(tblMeasure[[#This Row],[id_src]],tblSource[id_src],tblSource[year_first_published])</f>
        <v>2012</v>
      </c>
      <c r="AB294" s="15">
        <f>_xlfn.XLOOKUP(tblMeasure[[#This Row],[id_src]],tblSource[id_src],tblSource[year_last_published])</f>
        <v>2019</v>
      </c>
      <c r="AC294" s="15">
        <f>_xlfn.XLOOKUP(tblMeasure[[#This Row],[id_src]],tblSource[id_src],tblSource[discontinuity])</f>
        <v>0</v>
      </c>
      <c r="AD294" s="15" t="str">
        <f>_xlfn.XLOOKUP(tblMeasure[[#This Row],[id_src]],tblSource[id_src],tblSource[publication_frequency])</f>
        <v>Annual</v>
      </c>
      <c r="AE294" s="15" t="str">
        <f>_xlfn.XLOOKUP(tblMeasure[[#This Row],[id_src]],tblSource[id_src],tblSource[publication_lag_months])</f>
        <v>TBD</v>
      </c>
      <c r="AF294" s="25" t="str">
        <f>_xlfn.XLOOKUP(tblMeasure[[#This Row],[id_src]],tblSource[id_src],tblSource[data_providers])</f>
        <v>LA,Independents</v>
      </c>
      <c r="AG294" s="25" t="str">
        <f>_xlfn.XLOOKUP(tblMeasure[[#This Row],[id_src]],tblSource[id_src],tblSource[statistic_class])</f>
        <v>TBD</v>
      </c>
      <c r="AH294" s="25" t="str">
        <f>_xlfn.XLOOKUP(tblMeasure[[#This Row],[id_src]],tblSource[id_src],tblSource[methodology_link])</f>
        <v>https://www.skillsforcare.org.uk/adult-social-care-workforce-data/Workforce-intelligence/Our-work/Our-data.aspx</v>
      </c>
      <c r="AI294" s="25" t="str">
        <f>_xlfn.XLOOKUP(tblMeasure[[#This Row],[id_src]],tblSource[id_src],tblSource[quality_issues])</f>
        <v>https://www.skillsforcare.org.uk/adult-social-care-workforce-data/Workforce-intelligence/documents/ASC-Workforce-Statistical-Appendix-2019.xlsx</v>
      </c>
      <c r="AJ294" s="25">
        <f>VLOOKUP(tblMeasure[[#This Row],[msr_population_or_survey]],strlu_msr_population_or_survey,2,FALSE)</f>
        <v>0.5</v>
      </c>
      <c r="AK294" s="25">
        <f>VLOOKUP(tblMeasure[[#This Row],[msr_min_geo_resolution]],strlu_msr_min_geo_resolution,2,FALSE)</f>
        <v>0.5</v>
      </c>
      <c r="AL294" s="25">
        <f>(MAX(tblMeasure[[#This Row],[src_year_last_published]]-2010+1,0)+MIN(2010-tblMeasure[[#This Row],[src_year_first_published]],0)-MAX(tblMeasure[[#This Row],[src_year_last_published]]-2019,0))/10</f>
        <v>0.8</v>
      </c>
      <c r="AM294" s="25">
        <f>IF(OR(tblMeasure[[#This Row],[src_discontinuity]]="None",tblMeasure[[#This Row],[src_discontinuity]]=0),1,0)</f>
        <v>1</v>
      </c>
      <c r="AN294" s="25">
        <f>VLOOKUP(tblMeasure[[#This Row],[src_pub_frequency]],strlu_src_pub_frequency,2,FALSE)</f>
        <v>0.8</v>
      </c>
      <c r="AO294" s="25">
        <f>VLOOKUP(tblMeasure[[#This Row],[src_pub_lag_months]],strlu_src_pub_lag_months,2,FALSE)</f>
        <v>0</v>
      </c>
      <c r="AP294" s="25">
        <f>VLOOKUP(tblMeasure[[#This Row],[src_statistic_class]],strlu_src_statistic_class,2,FALSE)</f>
        <v>0</v>
      </c>
      <c r="AQ294" s="25">
        <f>IF(tblMeasure[[#This Row],[src_methodology_url]]="TBD",0,1)</f>
        <v>1</v>
      </c>
      <c r="AR294" s="25">
        <f>IF(tblMeasure[[#This Row],[src_quality_url]]="TBD",0,1)</f>
        <v>1</v>
      </c>
      <c r="AS294" s="85" cm="1">
        <f t="array" ref="AS294">SUMPRODUCT(TRANSPOSE(tblMeasure[[#This Row],[str_msr_population_or_survey]:[str_src_quality_url]]),str_weights)/str_weights_total</f>
        <v>0.55384615384615377</v>
      </c>
    </row>
    <row r="295" spans="1:45" hidden="1" x14ac:dyDescent="0.15">
      <c r="A295" s="30">
        <v>293</v>
      </c>
      <c r="B295" s="15">
        <f>COUNTIF(requirement_measure_map!$D$3:$D$1514,measure!A295)</f>
        <v>0</v>
      </c>
      <c r="C295" s="30" t="s">
        <v>847</v>
      </c>
      <c r="D295" s="15" t="s">
        <v>1038</v>
      </c>
      <c r="E295" s="15" t="s">
        <v>1047</v>
      </c>
      <c r="F295" s="15" t="s">
        <v>1048</v>
      </c>
      <c r="G295" s="29" t="s">
        <v>932</v>
      </c>
      <c r="H295" s="15"/>
      <c r="I295" s="15" t="s">
        <v>933</v>
      </c>
      <c r="J295" s="15" t="s">
        <v>934</v>
      </c>
      <c r="K295" s="15" t="s">
        <v>1044</v>
      </c>
      <c r="L295" s="15" t="s">
        <v>287</v>
      </c>
      <c r="M295" s="15" t="s">
        <v>219</v>
      </c>
      <c r="N295" s="15" t="s">
        <v>219</v>
      </c>
      <c r="O295" s="15" t="s">
        <v>219</v>
      </c>
      <c r="P295" s="15" t="s">
        <v>219</v>
      </c>
      <c r="Q295" s="15" t="s">
        <v>219</v>
      </c>
      <c r="R295" s="15" t="s">
        <v>218</v>
      </c>
      <c r="S295" s="15" t="s">
        <v>240</v>
      </c>
      <c r="T295" s="15" t="s">
        <v>219</v>
      </c>
      <c r="U295" s="15" t="s">
        <v>219</v>
      </c>
      <c r="V295" s="15" t="s">
        <v>219</v>
      </c>
      <c r="W295" s="15">
        <v>17</v>
      </c>
      <c r="X295" s="15" t="str">
        <f>_xlfn.XLOOKUP(tblMeasure[[#This Row],[id_src]],tblSource[id_src],tblSource[org])</f>
        <v>Skills for Care</v>
      </c>
      <c r="Y295" s="15" t="str">
        <f>_xlfn.XLOOKUP(tblMeasure[[#This Row],[id_src]],tblSource[id_src],tblSource[source])</f>
        <v>State of the ASC sector and workforce</v>
      </c>
      <c r="Z295" s="15" t="str">
        <f>_xlfn.XLOOKUP(tblMeasure[[#This Row],[id_src]],tblSource[id_src],tblSource[url_source])</f>
        <v>https://www.skillsforcare.org.uk/adult-social-care-workforce-data/Workforce-intelligence/publications/national-information/The-state-of-the-adult-social-care-sector-and-workforce-in-England.aspx</v>
      </c>
      <c r="AA295" s="15">
        <f>_xlfn.XLOOKUP(tblMeasure[[#This Row],[id_src]],tblSource[id_src],tblSource[year_first_published])</f>
        <v>2012</v>
      </c>
      <c r="AB295" s="15">
        <f>_xlfn.XLOOKUP(tblMeasure[[#This Row],[id_src]],tblSource[id_src],tblSource[year_last_published])</f>
        <v>2019</v>
      </c>
      <c r="AC295" s="15">
        <f>_xlfn.XLOOKUP(tblMeasure[[#This Row],[id_src]],tblSource[id_src],tblSource[discontinuity])</f>
        <v>0</v>
      </c>
      <c r="AD295" s="15" t="str">
        <f>_xlfn.XLOOKUP(tblMeasure[[#This Row],[id_src]],tblSource[id_src],tblSource[publication_frequency])</f>
        <v>Annual</v>
      </c>
      <c r="AE295" s="15" t="str">
        <f>_xlfn.XLOOKUP(tblMeasure[[#This Row],[id_src]],tblSource[id_src],tblSource[publication_lag_months])</f>
        <v>TBD</v>
      </c>
      <c r="AF295" s="25" t="str">
        <f>_xlfn.XLOOKUP(tblMeasure[[#This Row],[id_src]],tblSource[id_src],tblSource[data_providers])</f>
        <v>LA,Independents</v>
      </c>
      <c r="AG295" s="25" t="str">
        <f>_xlfn.XLOOKUP(tblMeasure[[#This Row],[id_src]],tblSource[id_src],tblSource[statistic_class])</f>
        <v>TBD</v>
      </c>
      <c r="AH295" s="25" t="str">
        <f>_xlfn.XLOOKUP(tblMeasure[[#This Row],[id_src]],tblSource[id_src],tblSource[methodology_link])</f>
        <v>https://www.skillsforcare.org.uk/adult-social-care-workforce-data/Workforce-intelligence/Our-work/Our-data.aspx</v>
      </c>
      <c r="AI295" s="25" t="str">
        <f>_xlfn.XLOOKUP(tblMeasure[[#This Row],[id_src]],tblSource[id_src],tblSource[quality_issues])</f>
        <v>https://www.skillsforcare.org.uk/adult-social-care-workforce-data/Workforce-intelligence/documents/ASC-Workforce-Statistical-Appendix-2019.xlsx</v>
      </c>
      <c r="AJ295" s="25">
        <f>VLOOKUP(tblMeasure[[#This Row],[msr_population_or_survey]],strlu_msr_population_or_survey,2,FALSE)</f>
        <v>0.5</v>
      </c>
      <c r="AK295" s="25">
        <f>VLOOKUP(tblMeasure[[#This Row],[msr_min_geo_resolution]],strlu_msr_min_geo_resolution,2,FALSE)</f>
        <v>0.5</v>
      </c>
      <c r="AL295" s="25">
        <f>(MAX(tblMeasure[[#This Row],[src_year_last_published]]-2010+1,0)+MIN(2010-tblMeasure[[#This Row],[src_year_first_published]],0)-MAX(tblMeasure[[#This Row],[src_year_last_published]]-2019,0))/10</f>
        <v>0.8</v>
      </c>
      <c r="AM295" s="25">
        <f>IF(OR(tblMeasure[[#This Row],[src_discontinuity]]="None",tblMeasure[[#This Row],[src_discontinuity]]=0),1,0)</f>
        <v>1</v>
      </c>
      <c r="AN295" s="25">
        <f>VLOOKUP(tblMeasure[[#This Row],[src_pub_frequency]],strlu_src_pub_frequency,2,FALSE)</f>
        <v>0.8</v>
      </c>
      <c r="AO295" s="25">
        <f>VLOOKUP(tblMeasure[[#This Row],[src_pub_lag_months]],strlu_src_pub_lag_months,2,FALSE)</f>
        <v>0</v>
      </c>
      <c r="AP295" s="25">
        <f>VLOOKUP(tblMeasure[[#This Row],[src_statistic_class]],strlu_src_statistic_class,2,FALSE)</f>
        <v>0</v>
      </c>
      <c r="AQ295" s="25">
        <f>IF(tblMeasure[[#This Row],[src_methodology_url]]="TBD",0,1)</f>
        <v>1</v>
      </c>
      <c r="AR295" s="25">
        <f>IF(tblMeasure[[#This Row],[src_quality_url]]="TBD",0,1)</f>
        <v>1</v>
      </c>
      <c r="AS295" s="85" cm="1">
        <f t="array" ref="AS295">SUMPRODUCT(TRANSPOSE(tblMeasure[[#This Row],[str_msr_population_or_survey]:[str_src_quality_url]]),str_weights)/str_weights_total</f>
        <v>0.55384615384615377</v>
      </c>
    </row>
    <row r="296" spans="1:45" hidden="1" x14ac:dyDescent="0.15">
      <c r="A296" s="30">
        <v>294</v>
      </c>
      <c r="B296" s="15">
        <f>COUNTIF(requirement_measure_map!$D$3:$D$1514,measure!A296)</f>
        <v>8</v>
      </c>
      <c r="C296" s="30" t="s">
        <v>857</v>
      </c>
      <c r="D296" s="15" t="s">
        <v>1049</v>
      </c>
      <c r="E296" s="15" t="s">
        <v>1050</v>
      </c>
      <c r="F296" s="15" t="s">
        <v>1051</v>
      </c>
      <c r="G296" s="29" t="s">
        <v>932</v>
      </c>
      <c r="H296" s="15"/>
      <c r="I296" s="15" t="s">
        <v>933</v>
      </c>
      <c r="J296" s="15" t="s">
        <v>934</v>
      </c>
      <c r="K296" s="15" t="s">
        <v>1052</v>
      </c>
      <c r="L296" s="15" t="s">
        <v>287</v>
      </c>
      <c r="M296" s="15" t="s">
        <v>219</v>
      </c>
      <c r="N296" s="15" t="s">
        <v>219</v>
      </c>
      <c r="O296" s="15" t="s">
        <v>219</v>
      </c>
      <c r="P296" s="15" t="s">
        <v>219</v>
      </c>
      <c r="Q296" s="15" t="s">
        <v>219</v>
      </c>
      <c r="R296" s="15" t="s">
        <v>267</v>
      </c>
      <c r="S296" s="15" t="s">
        <v>967</v>
      </c>
      <c r="T296" s="15" t="s">
        <v>219</v>
      </c>
      <c r="U296" s="15" t="s">
        <v>349</v>
      </c>
      <c r="V296" s="15" t="s">
        <v>219</v>
      </c>
      <c r="W296" s="15">
        <v>17</v>
      </c>
      <c r="X296" s="15" t="str">
        <f>_xlfn.XLOOKUP(tblMeasure[[#This Row],[id_src]],tblSource[id_src],tblSource[org])</f>
        <v>Skills for Care</v>
      </c>
      <c r="Y296" s="15" t="str">
        <f>_xlfn.XLOOKUP(tblMeasure[[#This Row],[id_src]],tblSource[id_src],tblSource[source])</f>
        <v>State of the ASC sector and workforce</v>
      </c>
      <c r="Z296" s="15" t="str">
        <f>_xlfn.XLOOKUP(tblMeasure[[#This Row],[id_src]],tblSource[id_src],tblSource[url_source])</f>
        <v>https://www.skillsforcare.org.uk/adult-social-care-workforce-data/Workforce-intelligence/publications/national-information/The-state-of-the-adult-social-care-sector-and-workforce-in-England.aspx</v>
      </c>
      <c r="AA296" s="15">
        <f>_xlfn.XLOOKUP(tblMeasure[[#This Row],[id_src]],tblSource[id_src],tblSource[year_first_published])</f>
        <v>2012</v>
      </c>
      <c r="AB296" s="15">
        <f>_xlfn.XLOOKUP(tblMeasure[[#This Row],[id_src]],tblSource[id_src],tblSource[year_last_published])</f>
        <v>2019</v>
      </c>
      <c r="AC296" s="15">
        <f>_xlfn.XLOOKUP(tblMeasure[[#This Row],[id_src]],tblSource[id_src],tblSource[discontinuity])</f>
        <v>0</v>
      </c>
      <c r="AD296" s="15" t="str">
        <f>_xlfn.XLOOKUP(tblMeasure[[#This Row],[id_src]],tblSource[id_src],tblSource[publication_frequency])</f>
        <v>Annual</v>
      </c>
      <c r="AE296" s="15" t="str">
        <f>_xlfn.XLOOKUP(tblMeasure[[#This Row],[id_src]],tblSource[id_src],tblSource[publication_lag_months])</f>
        <v>TBD</v>
      </c>
      <c r="AF296" s="25" t="str">
        <f>_xlfn.XLOOKUP(tblMeasure[[#This Row],[id_src]],tblSource[id_src],tblSource[data_providers])</f>
        <v>LA,Independents</v>
      </c>
      <c r="AG296" s="25" t="str">
        <f>_xlfn.XLOOKUP(tblMeasure[[#This Row],[id_src]],tblSource[id_src],tblSource[statistic_class])</f>
        <v>TBD</v>
      </c>
      <c r="AH296" s="25" t="str">
        <f>_xlfn.XLOOKUP(tblMeasure[[#This Row],[id_src]],tblSource[id_src],tblSource[methodology_link])</f>
        <v>https://www.skillsforcare.org.uk/adult-social-care-workforce-data/Workforce-intelligence/Our-work/Our-data.aspx</v>
      </c>
      <c r="AI296" s="25" t="str">
        <f>_xlfn.XLOOKUP(tblMeasure[[#This Row],[id_src]],tblSource[id_src],tblSource[quality_issues])</f>
        <v>https://www.skillsforcare.org.uk/adult-social-care-workforce-data/Workforce-intelligence/documents/ASC-Workforce-Statistical-Appendix-2019.xlsx</v>
      </c>
      <c r="AJ296" s="25">
        <f>VLOOKUP(tblMeasure[[#This Row],[msr_population_or_survey]],strlu_msr_population_or_survey,2,FALSE)</f>
        <v>0.5</v>
      </c>
      <c r="AK296" s="25">
        <f>VLOOKUP(tblMeasure[[#This Row],[msr_min_geo_resolution]],strlu_msr_min_geo_resolution,2,FALSE)</f>
        <v>0.5</v>
      </c>
      <c r="AL296" s="25">
        <f>(MAX(tblMeasure[[#This Row],[src_year_last_published]]-2010+1,0)+MIN(2010-tblMeasure[[#This Row],[src_year_first_published]],0)-MAX(tblMeasure[[#This Row],[src_year_last_published]]-2019,0))/10</f>
        <v>0.8</v>
      </c>
      <c r="AM296" s="25">
        <f>IF(OR(tblMeasure[[#This Row],[src_discontinuity]]="None",tblMeasure[[#This Row],[src_discontinuity]]=0),1,0)</f>
        <v>1</v>
      </c>
      <c r="AN296" s="25">
        <f>VLOOKUP(tblMeasure[[#This Row],[src_pub_frequency]],strlu_src_pub_frequency,2,FALSE)</f>
        <v>0.8</v>
      </c>
      <c r="AO296" s="25">
        <f>VLOOKUP(tblMeasure[[#This Row],[src_pub_lag_months]],strlu_src_pub_lag_months,2,FALSE)</f>
        <v>0</v>
      </c>
      <c r="AP296" s="25">
        <f>VLOOKUP(tblMeasure[[#This Row],[src_statistic_class]],strlu_src_statistic_class,2,FALSE)</f>
        <v>0</v>
      </c>
      <c r="AQ296" s="25">
        <f>IF(tblMeasure[[#This Row],[src_methodology_url]]="TBD",0,1)</f>
        <v>1</v>
      </c>
      <c r="AR296" s="25">
        <f>IF(tblMeasure[[#This Row],[src_quality_url]]="TBD",0,1)</f>
        <v>1</v>
      </c>
      <c r="AS296" s="85" cm="1">
        <f t="array" ref="AS296">SUMPRODUCT(TRANSPOSE(tblMeasure[[#This Row],[str_msr_population_or_survey]:[str_src_quality_url]]),str_weights)/str_weights_total</f>
        <v>0.55384615384615377</v>
      </c>
    </row>
    <row r="297" spans="1:45" hidden="1" x14ac:dyDescent="0.15">
      <c r="A297" s="30">
        <v>295</v>
      </c>
      <c r="B297" s="15">
        <f>COUNTIF(requirement_measure_map!$D$3:$D$1514,measure!A297)</f>
        <v>8</v>
      </c>
      <c r="C297" s="30" t="s">
        <v>857</v>
      </c>
      <c r="D297" s="15" t="s">
        <v>1049</v>
      </c>
      <c r="E297" s="15" t="s">
        <v>1053</v>
      </c>
      <c r="F297" s="15" t="s">
        <v>1054</v>
      </c>
      <c r="G297" s="29" t="s">
        <v>932</v>
      </c>
      <c r="H297" s="15"/>
      <c r="I297" s="15" t="s">
        <v>933</v>
      </c>
      <c r="J297" s="15" t="s">
        <v>934</v>
      </c>
      <c r="K297" s="15" t="s">
        <v>1055</v>
      </c>
      <c r="L297" s="15" t="s">
        <v>287</v>
      </c>
      <c r="M297" s="15" t="s">
        <v>219</v>
      </c>
      <c r="N297" s="15" t="s">
        <v>219</v>
      </c>
      <c r="O297" s="15" t="s">
        <v>219</v>
      </c>
      <c r="P297" s="15" t="s">
        <v>219</v>
      </c>
      <c r="Q297" s="15" t="s">
        <v>219</v>
      </c>
      <c r="R297" s="15" t="s">
        <v>267</v>
      </c>
      <c r="S297" s="15" t="s">
        <v>967</v>
      </c>
      <c r="T297" s="15" t="s">
        <v>219</v>
      </c>
      <c r="U297" s="15" t="s">
        <v>349</v>
      </c>
      <c r="V297" s="15" t="s">
        <v>219</v>
      </c>
      <c r="W297" s="15">
        <v>17</v>
      </c>
      <c r="X297" s="15" t="str">
        <f>_xlfn.XLOOKUP(tblMeasure[[#This Row],[id_src]],tblSource[id_src],tblSource[org])</f>
        <v>Skills for Care</v>
      </c>
      <c r="Y297" s="15" t="str">
        <f>_xlfn.XLOOKUP(tblMeasure[[#This Row],[id_src]],tblSource[id_src],tblSource[source])</f>
        <v>State of the ASC sector and workforce</v>
      </c>
      <c r="Z297" s="15" t="str">
        <f>_xlfn.XLOOKUP(tblMeasure[[#This Row],[id_src]],tblSource[id_src],tblSource[url_source])</f>
        <v>https://www.skillsforcare.org.uk/adult-social-care-workforce-data/Workforce-intelligence/publications/national-information/The-state-of-the-adult-social-care-sector-and-workforce-in-England.aspx</v>
      </c>
      <c r="AA297" s="15">
        <f>_xlfn.XLOOKUP(tblMeasure[[#This Row],[id_src]],tblSource[id_src],tblSource[year_first_published])</f>
        <v>2012</v>
      </c>
      <c r="AB297" s="15">
        <f>_xlfn.XLOOKUP(tblMeasure[[#This Row],[id_src]],tblSource[id_src],tblSource[year_last_published])</f>
        <v>2019</v>
      </c>
      <c r="AC297" s="15">
        <f>_xlfn.XLOOKUP(tblMeasure[[#This Row],[id_src]],tblSource[id_src],tblSource[discontinuity])</f>
        <v>0</v>
      </c>
      <c r="AD297" s="15" t="str">
        <f>_xlfn.XLOOKUP(tblMeasure[[#This Row],[id_src]],tblSource[id_src],tblSource[publication_frequency])</f>
        <v>Annual</v>
      </c>
      <c r="AE297" s="15" t="str">
        <f>_xlfn.XLOOKUP(tblMeasure[[#This Row],[id_src]],tblSource[id_src],tblSource[publication_lag_months])</f>
        <v>TBD</v>
      </c>
      <c r="AF297" s="25" t="str">
        <f>_xlfn.XLOOKUP(tblMeasure[[#This Row],[id_src]],tblSource[id_src],tblSource[data_providers])</f>
        <v>LA,Independents</v>
      </c>
      <c r="AG297" s="25" t="str">
        <f>_xlfn.XLOOKUP(tblMeasure[[#This Row],[id_src]],tblSource[id_src],tblSource[statistic_class])</f>
        <v>TBD</v>
      </c>
      <c r="AH297" s="25" t="str">
        <f>_xlfn.XLOOKUP(tblMeasure[[#This Row],[id_src]],tblSource[id_src],tblSource[methodology_link])</f>
        <v>https://www.skillsforcare.org.uk/adult-social-care-workforce-data/Workforce-intelligence/Our-work/Our-data.aspx</v>
      </c>
      <c r="AI297" s="25" t="str">
        <f>_xlfn.XLOOKUP(tblMeasure[[#This Row],[id_src]],tblSource[id_src],tblSource[quality_issues])</f>
        <v>https://www.skillsforcare.org.uk/adult-social-care-workforce-data/Workforce-intelligence/documents/ASC-Workforce-Statistical-Appendix-2019.xlsx</v>
      </c>
      <c r="AJ297" s="25">
        <f>VLOOKUP(tblMeasure[[#This Row],[msr_population_or_survey]],strlu_msr_population_or_survey,2,FALSE)</f>
        <v>0.5</v>
      </c>
      <c r="AK297" s="25">
        <f>VLOOKUP(tblMeasure[[#This Row],[msr_min_geo_resolution]],strlu_msr_min_geo_resolution,2,FALSE)</f>
        <v>0.5</v>
      </c>
      <c r="AL297" s="25">
        <f>(MAX(tblMeasure[[#This Row],[src_year_last_published]]-2010+1,0)+MIN(2010-tblMeasure[[#This Row],[src_year_first_published]],0)-MAX(tblMeasure[[#This Row],[src_year_last_published]]-2019,0))/10</f>
        <v>0.8</v>
      </c>
      <c r="AM297" s="25">
        <f>IF(OR(tblMeasure[[#This Row],[src_discontinuity]]="None",tblMeasure[[#This Row],[src_discontinuity]]=0),1,0)</f>
        <v>1</v>
      </c>
      <c r="AN297" s="25">
        <f>VLOOKUP(tblMeasure[[#This Row],[src_pub_frequency]],strlu_src_pub_frequency,2,FALSE)</f>
        <v>0.8</v>
      </c>
      <c r="AO297" s="25">
        <f>VLOOKUP(tblMeasure[[#This Row],[src_pub_lag_months]],strlu_src_pub_lag_months,2,FALSE)</f>
        <v>0</v>
      </c>
      <c r="AP297" s="25">
        <f>VLOOKUP(tblMeasure[[#This Row],[src_statistic_class]],strlu_src_statistic_class,2,FALSE)</f>
        <v>0</v>
      </c>
      <c r="AQ297" s="25">
        <f>IF(tblMeasure[[#This Row],[src_methodology_url]]="TBD",0,1)</f>
        <v>1</v>
      </c>
      <c r="AR297" s="25">
        <f>IF(tblMeasure[[#This Row],[src_quality_url]]="TBD",0,1)</f>
        <v>1</v>
      </c>
      <c r="AS297" s="85" cm="1">
        <f t="array" ref="AS297">SUMPRODUCT(TRANSPOSE(tblMeasure[[#This Row],[str_msr_population_or_survey]:[str_src_quality_url]]),str_weights)/str_weights_total</f>
        <v>0.55384615384615377</v>
      </c>
    </row>
    <row r="298" spans="1:45" hidden="1" x14ac:dyDescent="0.15">
      <c r="A298" s="30">
        <v>296</v>
      </c>
      <c r="B298" s="15">
        <f>COUNTIF(requirement_measure_map!$D$3:$D$1514,measure!A298)</f>
        <v>4</v>
      </c>
      <c r="C298" s="30" t="s">
        <v>857</v>
      </c>
      <c r="D298" s="15" t="s">
        <v>1049</v>
      </c>
      <c r="E298" s="15" t="s">
        <v>1056</v>
      </c>
      <c r="F298" s="15" t="s">
        <v>1057</v>
      </c>
      <c r="G298" s="29" t="s">
        <v>932</v>
      </c>
      <c r="H298" s="15"/>
      <c r="I298" s="15" t="s">
        <v>933</v>
      </c>
      <c r="J298" s="15" t="s">
        <v>934</v>
      </c>
      <c r="K298" s="15" t="s">
        <v>1058</v>
      </c>
      <c r="L298" s="15" t="s">
        <v>287</v>
      </c>
      <c r="M298" s="15" t="s">
        <v>219</v>
      </c>
      <c r="N298" s="15" t="s">
        <v>219</v>
      </c>
      <c r="O298" s="15" t="s">
        <v>219</v>
      </c>
      <c r="P298" s="15" t="s">
        <v>219</v>
      </c>
      <c r="Q298" s="15" t="s">
        <v>219</v>
      </c>
      <c r="R298" s="15" t="s">
        <v>267</v>
      </c>
      <c r="S298" s="15" t="s">
        <v>967</v>
      </c>
      <c r="T298" s="15" t="s">
        <v>219</v>
      </c>
      <c r="U298" s="15" t="s">
        <v>219</v>
      </c>
      <c r="V298" s="15" t="s">
        <v>219</v>
      </c>
      <c r="W298" s="15">
        <v>17</v>
      </c>
      <c r="X298" s="15" t="str">
        <f>_xlfn.XLOOKUP(tblMeasure[[#This Row],[id_src]],tblSource[id_src],tblSource[org])</f>
        <v>Skills for Care</v>
      </c>
      <c r="Y298" s="15" t="str">
        <f>_xlfn.XLOOKUP(tblMeasure[[#This Row],[id_src]],tblSource[id_src],tblSource[source])</f>
        <v>State of the ASC sector and workforce</v>
      </c>
      <c r="Z298" s="15" t="str">
        <f>_xlfn.XLOOKUP(tblMeasure[[#This Row],[id_src]],tblSource[id_src],tblSource[url_source])</f>
        <v>https://www.skillsforcare.org.uk/adult-social-care-workforce-data/Workforce-intelligence/publications/national-information/The-state-of-the-adult-social-care-sector-and-workforce-in-England.aspx</v>
      </c>
      <c r="AA298" s="15">
        <f>_xlfn.XLOOKUP(tblMeasure[[#This Row],[id_src]],tblSource[id_src],tblSource[year_first_published])</f>
        <v>2012</v>
      </c>
      <c r="AB298" s="15">
        <f>_xlfn.XLOOKUP(tblMeasure[[#This Row],[id_src]],tblSource[id_src],tblSource[year_last_published])</f>
        <v>2019</v>
      </c>
      <c r="AC298" s="15">
        <f>_xlfn.XLOOKUP(tblMeasure[[#This Row],[id_src]],tblSource[id_src],tblSource[discontinuity])</f>
        <v>0</v>
      </c>
      <c r="AD298" s="15" t="str">
        <f>_xlfn.XLOOKUP(tblMeasure[[#This Row],[id_src]],tblSource[id_src],tblSource[publication_frequency])</f>
        <v>Annual</v>
      </c>
      <c r="AE298" s="15" t="str">
        <f>_xlfn.XLOOKUP(tblMeasure[[#This Row],[id_src]],tblSource[id_src],tblSource[publication_lag_months])</f>
        <v>TBD</v>
      </c>
      <c r="AF298" s="25" t="str">
        <f>_xlfn.XLOOKUP(tblMeasure[[#This Row],[id_src]],tblSource[id_src],tblSource[data_providers])</f>
        <v>LA,Independents</v>
      </c>
      <c r="AG298" s="25" t="str">
        <f>_xlfn.XLOOKUP(tblMeasure[[#This Row],[id_src]],tblSource[id_src],tblSource[statistic_class])</f>
        <v>TBD</v>
      </c>
      <c r="AH298" s="25" t="str">
        <f>_xlfn.XLOOKUP(tblMeasure[[#This Row],[id_src]],tblSource[id_src],tblSource[methodology_link])</f>
        <v>https://www.skillsforcare.org.uk/adult-social-care-workforce-data/Workforce-intelligence/Our-work/Our-data.aspx</v>
      </c>
      <c r="AI298" s="25" t="str">
        <f>_xlfn.XLOOKUP(tblMeasure[[#This Row],[id_src]],tblSource[id_src],tblSource[quality_issues])</f>
        <v>https://www.skillsforcare.org.uk/adult-social-care-workforce-data/Workforce-intelligence/documents/ASC-Workforce-Statistical-Appendix-2019.xlsx</v>
      </c>
      <c r="AJ298" s="25">
        <f>VLOOKUP(tblMeasure[[#This Row],[msr_population_or_survey]],strlu_msr_population_or_survey,2,FALSE)</f>
        <v>0.5</v>
      </c>
      <c r="AK298" s="25">
        <f>VLOOKUP(tblMeasure[[#This Row],[msr_min_geo_resolution]],strlu_msr_min_geo_resolution,2,FALSE)</f>
        <v>0.5</v>
      </c>
      <c r="AL298" s="25">
        <f>(MAX(tblMeasure[[#This Row],[src_year_last_published]]-2010+1,0)+MIN(2010-tblMeasure[[#This Row],[src_year_first_published]],0)-MAX(tblMeasure[[#This Row],[src_year_last_published]]-2019,0))/10</f>
        <v>0.8</v>
      </c>
      <c r="AM298" s="25">
        <f>IF(OR(tblMeasure[[#This Row],[src_discontinuity]]="None",tblMeasure[[#This Row],[src_discontinuity]]=0),1,0)</f>
        <v>1</v>
      </c>
      <c r="AN298" s="25">
        <f>VLOOKUP(tblMeasure[[#This Row],[src_pub_frequency]],strlu_src_pub_frequency,2,FALSE)</f>
        <v>0.8</v>
      </c>
      <c r="AO298" s="25">
        <f>VLOOKUP(tblMeasure[[#This Row],[src_pub_lag_months]],strlu_src_pub_lag_months,2,FALSE)</f>
        <v>0</v>
      </c>
      <c r="AP298" s="25">
        <f>VLOOKUP(tblMeasure[[#This Row],[src_statistic_class]],strlu_src_statistic_class,2,FALSE)</f>
        <v>0</v>
      </c>
      <c r="AQ298" s="25">
        <f>IF(tblMeasure[[#This Row],[src_methodology_url]]="TBD",0,1)</f>
        <v>1</v>
      </c>
      <c r="AR298" s="25">
        <f>IF(tblMeasure[[#This Row],[src_quality_url]]="TBD",0,1)</f>
        <v>1</v>
      </c>
      <c r="AS298" s="85" cm="1">
        <f t="array" ref="AS298">SUMPRODUCT(TRANSPOSE(tblMeasure[[#This Row],[str_msr_population_or_survey]:[str_src_quality_url]]),str_weights)/str_weights_total</f>
        <v>0.55384615384615377</v>
      </c>
    </row>
    <row r="299" spans="1:45" hidden="1" x14ac:dyDescent="0.15">
      <c r="A299" s="30">
        <v>297</v>
      </c>
      <c r="B299" s="15">
        <f>COUNTIF(requirement_measure_map!$D$3:$D$1514,measure!A299)</f>
        <v>1</v>
      </c>
      <c r="C299" s="30" t="s">
        <v>1059</v>
      </c>
      <c r="D299" s="15" t="s">
        <v>1060</v>
      </c>
      <c r="E299" s="15" t="s">
        <v>1061</v>
      </c>
      <c r="F299" s="15" t="s">
        <v>1062</v>
      </c>
      <c r="G299" s="29" t="s">
        <v>1063</v>
      </c>
      <c r="H299" s="15"/>
      <c r="I299" s="15" t="s">
        <v>214</v>
      </c>
      <c r="J299" s="15" t="s">
        <v>215</v>
      </c>
      <c r="K299" s="34" t="s">
        <v>1064</v>
      </c>
      <c r="L299" s="15" t="s">
        <v>680</v>
      </c>
      <c r="M299" s="15"/>
      <c r="N299" s="15"/>
      <c r="O299" s="15"/>
      <c r="P299" s="15"/>
      <c r="Q299" s="15"/>
      <c r="R299" s="15"/>
      <c r="S299" s="15"/>
      <c r="T299" s="15"/>
      <c r="U299" s="15"/>
      <c r="V299" s="15"/>
      <c r="W299" s="15">
        <v>18</v>
      </c>
      <c r="X299" s="15" t="str">
        <f>_xlfn.XLOOKUP(tblMeasure[[#This Row],[id_src]],tblSource[id_src],tblSource[org])</f>
        <v>NHS Digital</v>
      </c>
      <c r="Y299" s="15" t="str">
        <f>_xlfn.XLOOKUP(tblMeasure[[#This Row],[id_src]],tblSource[id_src],tblSource[source])</f>
        <v>Winter Daily SitRep</v>
      </c>
      <c r="Z299" s="15" t="str">
        <f>_xlfn.XLOOKUP(tblMeasure[[#This Row],[id_src]],tblSource[id_src],tblSource[url_source])</f>
        <v>https://www.england.nhs.uk/statistics/statistical-work-areas/winter-daily-sitreps/winter-daily-sitrep-2019-20-data/</v>
      </c>
      <c r="AA299" s="15">
        <f>_xlfn.XLOOKUP(tblMeasure[[#This Row],[id_src]],tblSource[id_src],tblSource[year_first_published])</f>
        <v>2010</v>
      </c>
      <c r="AB299" s="15">
        <f>_xlfn.XLOOKUP(tblMeasure[[#This Row],[id_src]],tblSource[id_src],tblSource[year_last_published])</f>
        <v>2020</v>
      </c>
      <c r="AC299" s="15">
        <f>_xlfn.XLOOKUP(tblMeasure[[#This Row],[id_src]],tblSource[id_src],tblSource[discontinuity])</f>
        <v>0</v>
      </c>
      <c r="AD299" s="15" t="str">
        <f>_xlfn.XLOOKUP(tblMeasure[[#This Row],[id_src]],tblSource[id_src],tblSource[publication_frequency])</f>
        <v>Weekly, during winter only</v>
      </c>
      <c r="AE299" s="15">
        <f>_xlfn.XLOOKUP(tblMeasure[[#This Row],[id_src]],tblSource[id_src],tblSource[publication_lag_months])</f>
        <v>0</v>
      </c>
      <c r="AF299" s="25" t="str">
        <f>_xlfn.XLOOKUP(tblMeasure[[#This Row],[id_src]],tblSource[id_src],tblSource[data_providers])</f>
        <v>Trusts</v>
      </c>
      <c r="AG299" s="25" t="s">
        <v>1070</v>
      </c>
      <c r="AH299" s="25" t="str">
        <f>_xlfn.XLOOKUP(tblMeasure[[#This Row],[id_src]],tblSource[id_src],tblSource[methodology_link])</f>
        <v>https://improvement.nhs.uk/resources/how-to-complete-daily-sitreps/</v>
      </c>
      <c r="AI299" s="25" t="str">
        <f>_xlfn.XLOOKUP(tblMeasure[[#This Row],[id_src]],tblSource[id_src],tblSource[quality_issues])</f>
        <v>TBD</v>
      </c>
      <c r="AJ299" s="25">
        <f>VLOOKUP(tblMeasure[[#This Row],[msr_population_or_survey]],strlu_msr_population_or_survey,2,FALSE)</f>
        <v>1</v>
      </c>
      <c r="AK299" s="25">
        <f>VLOOKUP(tblMeasure[[#This Row],[msr_min_geo_resolution]],strlu_msr_min_geo_resolution,2,FALSE)</f>
        <v>1</v>
      </c>
      <c r="AL299" s="25">
        <f>(MAX(tblMeasure[[#This Row],[src_year_last_published]]-2010+1,0)+MIN(2010-tblMeasure[[#This Row],[src_year_first_published]],0)-MAX(tblMeasure[[#This Row],[src_year_last_published]]-2019,0))/10</f>
        <v>1</v>
      </c>
      <c r="AM299" s="25">
        <f>IF(OR(tblMeasure[[#This Row],[src_discontinuity]]="None",tblMeasure[[#This Row],[src_discontinuity]]=0),1,0)</f>
        <v>1</v>
      </c>
      <c r="AN299" s="25">
        <f>VLOOKUP(tblMeasure[[#This Row],[src_pub_frequency]],strlu_src_pub_frequency,2,FALSE)</f>
        <v>0.9</v>
      </c>
      <c r="AO299" s="25">
        <f>VLOOKUP(tblMeasure[[#This Row],[src_pub_lag_months]],strlu_src_pub_lag_months,2,FALSE)</f>
        <v>1</v>
      </c>
      <c r="AP299" s="25">
        <f>VLOOKUP(tblMeasure[[#This Row],[src_statistic_class]],strlu_src_statistic_class,2,FALSE)</f>
        <v>0</v>
      </c>
      <c r="AQ299" s="25">
        <f>IF(tblMeasure[[#This Row],[src_methodology_url]]="TBD",0,1)</f>
        <v>1</v>
      </c>
      <c r="AR299" s="25">
        <f>IF(tblMeasure[[#This Row],[src_quality_url]]="TBD",0,1)</f>
        <v>0</v>
      </c>
      <c r="AS299" s="85" cm="1">
        <f t="array" ref="AS299">SUMPRODUCT(TRANSPOSE(tblMeasure[[#This Row],[str_msr_population_or_survey]:[str_src_quality_url]]),str_weights)/str_weights_total</f>
        <v>0.79230769230769238</v>
      </c>
    </row>
    <row r="300" spans="1:45" hidden="1" x14ac:dyDescent="0.15">
      <c r="A300" s="30">
        <v>298</v>
      </c>
      <c r="B300" s="15">
        <f>COUNTIF(requirement_measure_map!$D$3:$D$1514,measure!A300)</f>
        <v>5</v>
      </c>
      <c r="C300" s="30" t="s">
        <v>1065</v>
      </c>
      <c r="D300" s="15" t="s">
        <v>1066</v>
      </c>
      <c r="E300" s="15" t="s">
        <v>1067</v>
      </c>
      <c r="F300" s="15" t="s">
        <v>1068</v>
      </c>
      <c r="G300" s="29" t="s">
        <v>1069</v>
      </c>
      <c r="H300" s="15"/>
      <c r="I300" s="15" t="s">
        <v>214</v>
      </c>
      <c r="J300" s="15" t="s">
        <v>1070</v>
      </c>
      <c r="K300" s="15" t="s">
        <v>1071</v>
      </c>
      <c r="L300" s="15" t="s">
        <v>1066</v>
      </c>
      <c r="M300" s="15" t="s">
        <v>219</v>
      </c>
      <c r="N300" s="15" t="s">
        <v>219</v>
      </c>
      <c r="O300" s="15" t="s">
        <v>219</v>
      </c>
      <c r="P300" s="15" t="s">
        <v>219</v>
      </c>
      <c r="Q300" s="15" t="s">
        <v>219</v>
      </c>
      <c r="R300" s="15" t="s">
        <v>220</v>
      </c>
      <c r="S300" s="15" t="s">
        <v>219</v>
      </c>
      <c r="T300" s="15" t="s">
        <v>219</v>
      </c>
      <c r="U300" s="15" t="s">
        <v>746</v>
      </c>
      <c r="V300" s="15" t="s">
        <v>219</v>
      </c>
      <c r="W300" s="15">
        <v>19</v>
      </c>
      <c r="X300" s="15" t="str">
        <f>_xlfn.XLOOKUP(tblMeasure[[#This Row],[id_src]],tblSource[id_src],tblSource[org])</f>
        <v>CQC</v>
      </c>
      <c r="Y300" s="15" t="str">
        <f>_xlfn.XLOOKUP(tblMeasure[[#This Row],[id_src]],tblSource[id_src],tblSource[source])</f>
        <v>State of Care Ratings Data</v>
      </c>
      <c r="Z300" s="15" t="str">
        <f>_xlfn.XLOOKUP(tblMeasure[[#This Row],[id_src]],tblSource[id_src],tblSource[url_source])</f>
        <v>https://www.cqc.org.uk/publications/major-report/state-care</v>
      </c>
      <c r="AA300" s="15">
        <f>_xlfn.XLOOKUP(tblMeasure[[#This Row],[id_src]],tblSource[id_src],tblSource[year_first_published])</f>
        <v>2010</v>
      </c>
      <c r="AB300" s="15">
        <f>_xlfn.XLOOKUP(tblMeasure[[#This Row],[id_src]],tblSource[id_src],tblSource[year_last_published])</f>
        <v>2020</v>
      </c>
      <c r="AC300" s="15">
        <f>_xlfn.XLOOKUP(tblMeasure[[#This Row],[id_src]],tblSource[id_src],tblSource[discontinuity])</f>
        <v>0</v>
      </c>
      <c r="AD300" s="15" t="str">
        <f>_xlfn.XLOOKUP(tblMeasure[[#This Row],[id_src]],tblSource[id_src],tblSource[publication_frequency])</f>
        <v>Monthly</v>
      </c>
      <c r="AE300" s="15" t="str">
        <f>_xlfn.XLOOKUP(tblMeasure[[#This Row],[id_src]],tblSource[id_src],tblSource[publication_lag_months])</f>
        <v>TBD</v>
      </c>
      <c r="AF300" s="25" t="str">
        <f>_xlfn.XLOOKUP(tblMeasure[[#This Row],[id_src]],tblSource[id_src],tblSource[data_providers])</f>
        <v>CQC</v>
      </c>
      <c r="AG300" s="25" t="s">
        <v>1070</v>
      </c>
      <c r="AH300" s="25" t="str">
        <f>_xlfn.XLOOKUP(tblMeasure[[#This Row],[id_src]],tblSource[id_src],tblSource[methodology_link])</f>
        <v>https://www.cqc.org.uk/publications/major-report/state-care</v>
      </c>
      <c r="AI300" s="25" t="str">
        <f>_xlfn.XLOOKUP(tblMeasure[[#This Row],[id_src]],tblSource[id_src],tblSource[quality_issues])</f>
        <v>TBD</v>
      </c>
      <c r="AJ300" s="25">
        <f>VLOOKUP(tblMeasure[[#This Row],[msr_population_or_survey]],strlu_msr_population_or_survey,2,FALSE)</f>
        <v>1</v>
      </c>
      <c r="AK300" s="25">
        <f>VLOOKUP(tblMeasure[[#This Row],[msr_min_geo_resolution]],strlu_msr_min_geo_resolution,2,FALSE)</f>
        <v>1</v>
      </c>
      <c r="AL300" s="25">
        <f>(MAX(tblMeasure[[#This Row],[src_year_last_published]]-2010+1,0)+MIN(2010-tblMeasure[[#This Row],[src_year_first_published]],0)-MAX(tblMeasure[[#This Row],[src_year_last_published]]-2019,0))/10</f>
        <v>1</v>
      </c>
      <c r="AM300" s="25">
        <f>IF(OR(tblMeasure[[#This Row],[src_discontinuity]]="None",tblMeasure[[#This Row],[src_discontinuity]]=0),1,0)</f>
        <v>1</v>
      </c>
      <c r="AN300" s="25">
        <f>VLOOKUP(tblMeasure[[#This Row],[src_pub_frequency]],strlu_src_pub_frequency,2,FALSE)</f>
        <v>1</v>
      </c>
      <c r="AO300" s="25">
        <f>VLOOKUP(tblMeasure[[#This Row],[src_pub_lag_months]],strlu_src_pub_lag_months,2,FALSE)</f>
        <v>0</v>
      </c>
      <c r="AP300" s="25">
        <f>VLOOKUP(tblMeasure[[#This Row],[src_statistic_class]],strlu_src_statistic_class,2,FALSE)</f>
        <v>0</v>
      </c>
      <c r="AQ300" s="25">
        <f>IF(tblMeasure[[#This Row],[src_methodology_url]]="TBD",0,1)</f>
        <v>1</v>
      </c>
      <c r="AR300" s="25">
        <f>IF(tblMeasure[[#This Row],[src_quality_url]]="TBD",0,1)</f>
        <v>0</v>
      </c>
      <c r="AS300" s="85" cm="1">
        <f t="array" ref="AS300">SUMPRODUCT(TRANSPOSE(tblMeasure[[#This Row],[str_msr_population_or_survey]:[str_src_quality_url]]),str_weights)/str_weights_total</f>
        <v>0.73076923076923073</v>
      </c>
    </row>
    <row r="301" spans="1:45" hidden="1" x14ac:dyDescent="0.15">
      <c r="A301" s="30">
        <v>299</v>
      </c>
      <c r="B301" s="15">
        <f>COUNTIF(requirement_measure_map!$D$3:$D$1514,measure!A301)</f>
        <v>2</v>
      </c>
      <c r="C301" s="30" t="s">
        <v>1065</v>
      </c>
      <c r="D301" s="15" t="s">
        <v>175</v>
      </c>
      <c r="E301" s="15" t="s">
        <v>958</v>
      </c>
      <c r="F301" s="15" t="s">
        <v>1072</v>
      </c>
      <c r="G301" s="29" t="s">
        <v>1073</v>
      </c>
      <c r="H301" s="15"/>
      <c r="I301" s="15" t="s">
        <v>429</v>
      </c>
      <c r="J301" s="15" t="s">
        <v>1074</v>
      </c>
      <c r="K301" s="15" t="s">
        <v>1075</v>
      </c>
      <c r="L301" s="15" t="s">
        <v>1076</v>
      </c>
      <c r="M301" s="15" t="s">
        <v>218</v>
      </c>
      <c r="N301" s="15" t="s">
        <v>219</v>
      </c>
      <c r="O301" s="15" t="s">
        <v>219</v>
      </c>
      <c r="P301" s="15" t="s">
        <v>219</v>
      </c>
      <c r="Q301" s="15" t="s">
        <v>219</v>
      </c>
      <c r="R301" s="15" t="s">
        <v>219</v>
      </c>
      <c r="S301" s="15" t="s">
        <v>219</v>
      </c>
      <c r="T301" s="15" t="s">
        <v>219</v>
      </c>
      <c r="U301" s="15" t="s">
        <v>219</v>
      </c>
      <c r="V301" s="15" t="s">
        <v>219</v>
      </c>
      <c r="W301" s="15">
        <v>20</v>
      </c>
      <c r="X301" s="15" t="str">
        <f>_xlfn.XLOOKUP(tblMeasure[[#This Row],[id_src]],tblSource[id_src],tblSource[org])</f>
        <v>DWP</v>
      </c>
      <c r="Y301" s="15" t="str">
        <f>_xlfn.XLOOKUP(tblMeasure[[#This Row],[id_src]],tblSource[id_src],tblSource[source])</f>
        <v>Family Resources Survey</v>
      </c>
      <c r="Z301" s="15" t="str">
        <f>_xlfn.XLOOKUP(tblMeasure[[#This Row],[id_src]],tblSource[id_src],tblSource[url_source])</f>
        <v>https://www.gov.uk/government/collections/family-resources-survey--2</v>
      </c>
      <c r="AA301" s="15">
        <f>_xlfn.XLOOKUP(tblMeasure[[#This Row],[id_src]],tblSource[id_src],tblSource[year_first_published])</f>
        <v>1994</v>
      </c>
      <c r="AB301" s="15">
        <f>_xlfn.XLOOKUP(tblMeasure[[#This Row],[id_src]],tblSource[id_src],tblSource[year_last_published])</f>
        <v>2019</v>
      </c>
      <c r="AC301" s="15">
        <f>_xlfn.XLOOKUP(tblMeasure[[#This Row],[id_src]],tblSource[id_src],tblSource[discontinuity])</f>
        <v>0</v>
      </c>
      <c r="AD301" s="15" t="str">
        <f>_xlfn.XLOOKUP(tblMeasure[[#This Row],[id_src]],tblSource[id_src],tblSource[publication_frequency])</f>
        <v>Annual</v>
      </c>
      <c r="AE301" s="15" t="str">
        <f>_xlfn.XLOOKUP(tblMeasure[[#This Row],[id_src]],tblSource[id_src],tblSource[publication_lag_months])</f>
        <v>TBD</v>
      </c>
      <c r="AF301" s="25" t="str">
        <f>_xlfn.XLOOKUP(tblMeasure[[#This Row],[id_src]],tblSource[id_src],tblSource[data_providers])</f>
        <v>DWP</v>
      </c>
      <c r="AG301" s="25" t="str">
        <f>_xlfn.XLOOKUP(tblMeasure[[#This Row],[id_src]],tblSource[id_src],tblSource[statistic_class])</f>
        <v>National</v>
      </c>
      <c r="AH301" s="25" t="str">
        <f>_xlfn.XLOOKUP(tblMeasure[[#This Row],[id_src]],tblSource[id_src],tblSource[methodology_link])</f>
        <v>https://assets.publishing.service.gov.uk/government/uploads/system/uploads/attachment_data/file/789455/family-resources-survey-2017-18-background-note-methodology.pdf</v>
      </c>
      <c r="AI301" s="25" t="str">
        <f>_xlfn.XLOOKUP(tblMeasure[[#This Row],[id_src]],tblSource[id_src],tblSource[quality_issues])</f>
        <v>TBD</v>
      </c>
      <c r="AJ301" s="25">
        <f>VLOOKUP(tblMeasure[[#This Row],[msr_population_or_survey]],strlu_msr_population_or_survey,2,FALSE)</f>
        <v>0</v>
      </c>
      <c r="AK301" s="25">
        <f>VLOOKUP(tblMeasure[[#This Row],[msr_min_geo_resolution]],strlu_msr_min_geo_resolution,2,FALSE)</f>
        <v>0</v>
      </c>
      <c r="AL301" s="25">
        <f>(MAX(tblMeasure[[#This Row],[src_year_last_published]]-2010+1,0)+MIN(2010-tblMeasure[[#This Row],[src_year_first_published]],0)-MAX(tblMeasure[[#This Row],[src_year_last_published]]-2019,0))/10</f>
        <v>1</v>
      </c>
      <c r="AM301" s="25">
        <f>IF(OR(tblMeasure[[#This Row],[src_discontinuity]]="None",tblMeasure[[#This Row],[src_discontinuity]]=0),1,0)</f>
        <v>1</v>
      </c>
      <c r="AN301" s="25">
        <f>VLOOKUP(tblMeasure[[#This Row],[src_pub_frequency]],strlu_src_pub_frequency,2,FALSE)</f>
        <v>0.8</v>
      </c>
      <c r="AO301" s="25">
        <f>VLOOKUP(tblMeasure[[#This Row],[src_pub_lag_months]],strlu_src_pub_lag_months,2,FALSE)</f>
        <v>0</v>
      </c>
      <c r="AP301" s="25">
        <f>VLOOKUP(tblMeasure[[#This Row],[src_statistic_class]],strlu_src_statistic_class,2,FALSE)</f>
        <v>1</v>
      </c>
      <c r="AQ301" s="25">
        <f>IF(tblMeasure[[#This Row],[src_methodology_url]]="TBD",0,1)</f>
        <v>1</v>
      </c>
      <c r="AR301" s="25">
        <f>IF(tblMeasure[[#This Row],[src_quality_url]]="TBD",0,1)</f>
        <v>0</v>
      </c>
      <c r="AS301" s="85" cm="1">
        <f t="array" ref="AS301">SUMPRODUCT(TRANSPOSE(tblMeasure[[#This Row],[str_msr_population_or_survey]:[str_src_quality_url]]),str_weights)/str_weights_total</f>
        <v>0.5461538461538461</v>
      </c>
    </row>
    <row r="302" spans="1:45" hidden="1" x14ac:dyDescent="0.15">
      <c r="A302" s="30">
        <v>300</v>
      </c>
      <c r="B302" s="15">
        <f>COUNTIF(requirement_measure_map!$D$3:$D$1514,measure!A302)</f>
        <v>0</v>
      </c>
      <c r="C302" s="30" t="s">
        <v>221</v>
      </c>
      <c r="D302" s="15" t="s">
        <v>175</v>
      </c>
      <c r="E302" s="15" t="s">
        <v>961</v>
      </c>
      <c r="F302" s="15" t="s">
        <v>1077</v>
      </c>
      <c r="G302" s="29" t="s">
        <v>1073</v>
      </c>
      <c r="H302" s="15"/>
      <c r="I302" s="15" t="s">
        <v>429</v>
      </c>
      <c r="J302" s="15" t="s">
        <v>1074</v>
      </c>
      <c r="K302" s="15" t="s">
        <v>1075</v>
      </c>
      <c r="L302" s="15" t="s">
        <v>1076</v>
      </c>
      <c r="M302" s="15" t="s">
        <v>219</v>
      </c>
      <c r="N302" s="15" t="s">
        <v>220</v>
      </c>
      <c r="O302" s="15" t="s">
        <v>219</v>
      </c>
      <c r="P302" s="15" t="s">
        <v>219</v>
      </c>
      <c r="Q302" s="15" t="s">
        <v>219</v>
      </c>
      <c r="R302" s="15" t="s">
        <v>219</v>
      </c>
      <c r="S302" s="15" t="s">
        <v>219</v>
      </c>
      <c r="T302" s="15" t="s">
        <v>219</v>
      </c>
      <c r="U302" s="15" t="s">
        <v>219</v>
      </c>
      <c r="V302" s="15" t="s">
        <v>219</v>
      </c>
      <c r="W302" s="15">
        <v>20</v>
      </c>
      <c r="X302" s="15" t="str">
        <f>_xlfn.XLOOKUP(tblMeasure[[#This Row],[id_src]],tblSource[id_src],tblSource[org])</f>
        <v>DWP</v>
      </c>
      <c r="Y302" s="15" t="str">
        <f>_xlfn.XLOOKUP(tblMeasure[[#This Row],[id_src]],tblSource[id_src],tblSource[source])</f>
        <v>Family Resources Survey</v>
      </c>
      <c r="Z302" s="15" t="str">
        <f>_xlfn.XLOOKUP(tblMeasure[[#This Row],[id_src]],tblSource[id_src],tblSource[url_source])</f>
        <v>https://www.gov.uk/government/collections/family-resources-survey--2</v>
      </c>
      <c r="AA302" s="15">
        <f>_xlfn.XLOOKUP(tblMeasure[[#This Row],[id_src]],tblSource[id_src],tblSource[year_first_published])</f>
        <v>1994</v>
      </c>
      <c r="AB302" s="15">
        <f>_xlfn.XLOOKUP(tblMeasure[[#This Row],[id_src]],tblSource[id_src],tblSource[year_last_published])</f>
        <v>2019</v>
      </c>
      <c r="AC302" s="15">
        <f>_xlfn.XLOOKUP(tblMeasure[[#This Row],[id_src]],tblSource[id_src],tblSource[discontinuity])</f>
        <v>0</v>
      </c>
      <c r="AD302" s="15" t="str">
        <f>_xlfn.XLOOKUP(tblMeasure[[#This Row],[id_src]],tblSource[id_src],tblSource[publication_frequency])</f>
        <v>Annual</v>
      </c>
      <c r="AE302" s="15" t="str">
        <f>_xlfn.XLOOKUP(tblMeasure[[#This Row],[id_src]],tblSource[id_src],tblSource[publication_lag_months])</f>
        <v>TBD</v>
      </c>
      <c r="AF302" s="25" t="str">
        <f>_xlfn.XLOOKUP(tblMeasure[[#This Row],[id_src]],tblSource[id_src],tblSource[data_providers])</f>
        <v>DWP</v>
      </c>
      <c r="AG302" s="25" t="str">
        <f>_xlfn.XLOOKUP(tblMeasure[[#This Row],[id_src]],tblSource[id_src],tblSource[statistic_class])</f>
        <v>National</v>
      </c>
      <c r="AH302" s="25" t="str">
        <f>_xlfn.XLOOKUP(tblMeasure[[#This Row],[id_src]],tblSource[id_src],tblSource[methodology_link])</f>
        <v>https://assets.publishing.service.gov.uk/government/uploads/system/uploads/attachment_data/file/789455/family-resources-survey-2017-18-background-note-methodology.pdf</v>
      </c>
      <c r="AI302" s="25" t="str">
        <f>_xlfn.XLOOKUP(tblMeasure[[#This Row],[id_src]],tblSource[id_src],tblSource[quality_issues])</f>
        <v>TBD</v>
      </c>
      <c r="AJ302" s="25">
        <f>VLOOKUP(tblMeasure[[#This Row],[msr_population_or_survey]],strlu_msr_population_or_survey,2,FALSE)</f>
        <v>0</v>
      </c>
      <c r="AK302" s="25">
        <f>VLOOKUP(tblMeasure[[#This Row],[msr_min_geo_resolution]],strlu_msr_min_geo_resolution,2,FALSE)</f>
        <v>0</v>
      </c>
      <c r="AL302" s="25">
        <f>(MAX(tblMeasure[[#This Row],[src_year_last_published]]-2010+1,0)+MIN(2010-tblMeasure[[#This Row],[src_year_first_published]],0)-MAX(tblMeasure[[#This Row],[src_year_last_published]]-2019,0))/10</f>
        <v>1</v>
      </c>
      <c r="AM302" s="25">
        <f>IF(OR(tblMeasure[[#This Row],[src_discontinuity]]="None",tblMeasure[[#This Row],[src_discontinuity]]=0),1,0)</f>
        <v>1</v>
      </c>
      <c r="AN302" s="25">
        <f>VLOOKUP(tblMeasure[[#This Row],[src_pub_frequency]],strlu_src_pub_frequency,2,FALSE)</f>
        <v>0.8</v>
      </c>
      <c r="AO302" s="25">
        <f>VLOOKUP(tblMeasure[[#This Row],[src_pub_lag_months]],strlu_src_pub_lag_months,2,FALSE)</f>
        <v>0</v>
      </c>
      <c r="AP302" s="25">
        <f>VLOOKUP(tblMeasure[[#This Row],[src_statistic_class]],strlu_src_statistic_class,2,FALSE)</f>
        <v>1</v>
      </c>
      <c r="AQ302" s="25">
        <f>IF(tblMeasure[[#This Row],[src_methodology_url]]="TBD",0,1)</f>
        <v>1</v>
      </c>
      <c r="AR302" s="25">
        <f>IF(tblMeasure[[#This Row],[src_quality_url]]="TBD",0,1)</f>
        <v>0</v>
      </c>
      <c r="AS302" s="85" cm="1">
        <f t="array" ref="AS302">SUMPRODUCT(TRANSPOSE(tblMeasure[[#This Row],[str_msr_population_or_survey]:[str_src_quality_url]]),str_weights)/str_weights_total</f>
        <v>0.5461538461538461</v>
      </c>
    </row>
    <row r="303" spans="1:45" hidden="1" x14ac:dyDescent="0.15">
      <c r="A303" s="30">
        <v>301</v>
      </c>
      <c r="B303" s="15">
        <f>COUNTIF(requirement_measure_map!$D$3:$D$1514,measure!A303)</f>
        <v>3</v>
      </c>
      <c r="C303" s="30" t="s">
        <v>1065</v>
      </c>
      <c r="D303" s="15" t="s">
        <v>175</v>
      </c>
      <c r="E303" s="15" t="s">
        <v>964</v>
      </c>
      <c r="F303" s="15" t="s">
        <v>1078</v>
      </c>
      <c r="G303" s="29" t="s">
        <v>1073</v>
      </c>
      <c r="H303" s="15"/>
      <c r="I303" s="15" t="s">
        <v>429</v>
      </c>
      <c r="J303" s="15" t="s">
        <v>1074</v>
      </c>
      <c r="K303" s="15" t="s">
        <v>1075</v>
      </c>
      <c r="L303" s="15" t="s">
        <v>1076</v>
      </c>
      <c r="M303" s="15" t="s">
        <v>1079</v>
      </c>
      <c r="N303" s="15" t="s">
        <v>220</v>
      </c>
      <c r="O303" s="15" t="s">
        <v>219</v>
      </c>
      <c r="P303" s="15" t="s">
        <v>219</v>
      </c>
      <c r="Q303" s="15" t="s">
        <v>219</v>
      </c>
      <c r="R303" s="15" t="s">
        <v>219</v>
      </c>
      <c r="S303" s="15" t="s">
        <v>219</v>
      </c>
      <c r="T303" s="15" t="s">
        <v>219</v>
      </c>
      <c r="U303" s="15" t="s">
        <v>219</v>
      </c>
      <c r="V303" s="15" t="s">
        <v>219</v>
      </c>
      <c r="W303" s="15">
        <v>20</v>
      </c>
      <c r="X303" s="15" t="str">
        <f>_xlfn.XLOOKUP(tblMeasure[[#This Row],[id_src]],tblSource[id_src],tblSource[org])</f>
        <v>DWP</v>
      </c>
      <c r="Y303" s="15" t="str">
        <f>_xlfn.XLOOKUP(tblMeasure[[#This Row],[id_src]],tblSource[id_src],tblSource[source])</f>
        <v>Family Resources Survey</v>
      </c>
      <c r="Z303" s="15" t="str">
        <f>_xlfn.XLOOKUP(tblMeasure[[#This Row],[id_src]],tblSource[id_src],tblSource[url_source])</f>
        <v>https://www.gov.uk/government/collections/family-resources-survey--2</v>
      </c>
      <c r="AA303" s="15">
        <f>_xlfn.XLOOKUP(tblMeasure[[#This Row],[id_src]],tblSource[id_src],tblSource[year_first_published])</f>
        <v>1994</v>
      </c>
      <c r="AB303" s="15">
        <f>_xlfn.XLOOKUP(tblMeasure[[#This Row],[id_src]],tblSource[id_src],tblSource[year_last_published])</f>
        <v>2019</v>
      </c>
      <c r="AC303" s="15">
        <f>_xlfn.XLOOKUP(tblMeasure[[#This Row],[id_src]],tblSource[id_src],tblSource[discontinuity])</f>
        <v>0</v>
      </c>
      <c r="AD303" s="15" t="str">
        <f>_xlfn.XLOOKUP(tblMeasure[[#This Row],[id_src]],tblSource[id_src],tblSource[publication_frequency])</f>
        <v>Annual</v>
      </c>
      <c r="AE303" s="15" t="str">
        <f>_xlfn.XLOOKUP(tblMeasure[[#This Row],[id_src]],tblSource[id_src],tblSource[publication_lag_months])</f>
        <v>TBD</v>
      </c>
      <c r="AF303" s="25" t="str">
        <f>_xlfn.XLOOKUP(tblMeasure[[#This Row],[id_src]],tblSource[id_src],tblSource[data_providers])</f>
        <v>DWP</v>
      </c>
      <c r="AG303" s="25" t="str">
        <f>_xlfn.XLOOKUP(tblMeasure[[#This Row],[id_src]],tblSource[id_src],tblSource[statistic_class])</f>
        <v>National</v>
      </c>
      <c r="AH303" s="25" t="str">
        <f>_xlfn.XLOOKUP(tblMeasure[[#This Row],[id_src]],tblSource[id_src],tblSource[methodology_link])</f>
        <v>https://assets.publishing.service.gov.uk/government/uploads/system/uploads/attachment_data/file/789455/family-resources-survey-2017-18-background-note-methodology.pdf</v>
      </c>
      <c r="AI303" s="25" t="str">
        <f>_xlfn.XLOOKUP(tblMeasure[[#This Row],[id_src]],tblSource[id_src],tblSource[quality_issues])</f>
        <v>TBD</v>
      </c>
      <c r="AJ303" s="25">
        <f>VLOOKUP(tblMeasure[[#This Row],[msr_population_or_survey]],strlu_msr_population_or_survey,2,FALSE)</f>
        <v>0</v>
      </c>
      <c r="AK303" s="25">
        <f>VLOOKUP(tblMeasure[[#This Row],[msr_min_geo_resolution]],strlu_msr_min_geo_resolution,2,FALSE)</f>
        <v>0</v>
      </c>
      <c r="AL303" s="25">
        <f>(MAX(tblMeasure[[#This Row],[src_year_last_published]]-2010+1,0)+MIN(2010-tblMeasure[[#This Row],[src_year_first_published]],0)-MAX(tblMeasure[[#This Row],[src_year_last_published]]-2019,0))/10</f>
        <v>1</v>
      </c>
      <c r="AM303" s="25">
        <f>IF(OR(tblMeasure[[#This Row],[src_discontinuity]]="None",tblMeasure[[#This Row],[src_discontinuity]]=0),1,0)</f>
        <v>1</v>
      </c>
      <c r="AN303" s="25">
        <f>VLOOKUP(tblMeasure[[#This Row],[src_pub_frequency]],strlu_src_pub_frequency,2,FALSE)</f>
        <v>0.8</v>
      </c>
      <c r="AO303" s="25">
        <f>VLOOKUP(tblMeasure[[#This Row],[src_pub_lag_months]],strlu_src_pub_lag_months,2,FALSE)</f>
        <v>0</v>
      </c>
      <c r="AP303" s="25">
        <f>VLOOKUP(tblMeasure[[#This Row],[src_statistic_class]],strlu_src_statistic_class,2,FALSE)</f>
        <v>1</v>
      </c>
      <c r="AQ303" s="25">
        <f>IF(tblMeasure[[#This Row],[src_methodology_url]]="TBD",0,1)</f>
        <v>1</v>
      </c>
      <c r="AR303" s="25">
        <f>IF(tblMeasure[[#This Row],[src_quality_url]]="TBD",0,1)</f>
        <v>0</v>
      </c>
      <c r="AS303" s="85" cm="1">
        <f t="array" ref="AS303">SUMPRODUCT(TRANSPOSE(tblMeasure[[#This Row],[str_msr_population_or_survey]:[str_src_quality_url]]),str_weights)/str_weights_total</f>
        <v>0.5461538461538461</v>
      </c>
    </row>
    <row r="304" spans="1:45" hidden="1" x14ac:dyDescent="0.15">
      <c r="A304" s="30">
        <v>302</v>
      </c>
      <c r="B304" s="15">
        <f>COUNTIF(requirement_measure_map!$D$3:$D$1514,measure!A304)</f>
        <v>1</v>
      </c>
      <c r="C304" s="30" t="s">
        <v>1065</v>
      </c>
      <c r="D304" s="15" t="s">
        <v>175</v>
      </c>
      <c r="E304" s="15" t="s">
        <v>968</v>
      </c>
      <c r="F304" s="15" t="s">
        <v>1080</v>
      </c>
      <c r="G304" s="29" t="s">
        <v>1073</v>
      </c>
      <c r="H304" s="15"/>
      <c r="I304" s="15" t="s">
        <v>429</v>
      </c>
      <c r="J304" s="15" t="s">
        <v>1074</v>
      </c>
      <c r="K304" s="15" t="s">
        <v>1075</v>
      </c>
      <c r="L304" s="15" t="s">
        <v>287</v>
      </c>
      <c r="M304" s="15" t="s">
        <v>219</v>
      </c>
      <c r="N304" s="15" t="s">
        <v>219</v>
      </c>
      <c r="O304" s="15" t="s">
        <v>219</v>
      </c>
      <c r="P304" s="15" t="s">
        <v>219</v>
      </c>
      <c r="Q304" s="15" t="s">
        <v>219</v>
      </c>
      <c r="R304" s="15" t="s">
        <v>219</v>
      </c>
      <c r="S304" s="15" t="s">
        <v>219</v>
      </c>
      <c r="T304" s="15" t="s">
        <v>219</v>
      </c>
      <c r="U304" s="15" t="s">
        <v>219</v>
      </c>
      <c r="V304" s="15" t="s">
        <v>219</v>
      </c>
      <c r="W304" s="15">
        <v>20</v>
      </c>
      <c r="X304" s="15" t="str">
        <f>_xlfn.XLOOKUP(tblMeasure[[#This Row],[id_src]],tblSource[id_src],tblSource[org])</f>
        <v>DWP</v>
      </c>
      <c r="Y304" s="15" t="str">
        <f>_xlfn.XLOOKUP(tblMeasure[[#This Row],[id_src]],tblSource[id_src],tblSource[source])</f>
        <v>Family Resources Survey</v>
      </c>
      <c r="Z304" s="15" t="str">
        <f>_xlfn.XLOOKUP(tblMeasure[[#This Row],[id_src]],tblSource[id_src],tblSource[url_source])</f>
        <v>https://www.gov.uk/government/collections/family-resources-survey--2</v>
      </c>
      <c r="AA304" s="15">
        <f>_xlfn.XLOOKUP(tblMeasure[[#This Row],[id_src]],tblSource[id_src],tblSource[year_first_published])</f>
        <v>1994</v>
      </c>
      <c r="AB304" s="15">
        <f>_xlfn.XLOOKUP(tblMeasure[[#This Row],[id_src]],tblSource[id_src],tblSource[year_last_published])</f>
        <v>2019</v>
      </c>
      <c r="AC304" s="15">
        <f>_xlfn.XLOOKUP(tblMeasure[[#This Row],[id_src]],tblSource[id_src],tblSource[discontinuity])</f>
        <v>0</v>
      </c>
      <c r="AD304" s="15" t="str">
        <f>_xlfn.XLOOKUP(tblMeasure[[#This Row],[id_src]],tblSource[id_src],tblSource[publication_frequency])</f>
        <v>Annual</v>
      </c>
      <c r="AE304" s="15" t="str">
        <f>_xlfn.XLOOKUP(tblMeasure[[#This Row],[id_src]],tblSource[id_src],tblSource[publication_lag_months])</f>
        <v>TBD</v>
      </c>
      <c r="AF304" s="25" t="str">
        <f>_xlfn.XLOOKUP(tblMeasure[[#This Row],[id_src]],tblSource[id_src],tblSource[data_providers])</f>
        <v>DWP</v>
      </c>
      <c r="AG304" s="25" t="str">
        <f>_xlfn.XLOOKUP(tblMeasure[[#This Row],[id_src]],tblSource[id_src],tblSource[statistic_class])</f>
        <v>National</v>
      </c>
      <c r="AH304" s="25" t="str">
        <f>_xlfn.XLOOKUP(tblMeasure[[#This Row],[id_src]],tblSource[id_src],tblSource[methodology_link])</f>
        <v>https://assets.publishing.service.gov.uk/government/uploads/system/uploads/attachment_data/file/789455/family-resources-survey-2017-18-background-note-methodology.pdf</v>
      </c>
      <c r="AI304" s="25" t="str">
        <f>_xlfn.XLOOKUP(tblMeasure[[#This Row],[id_src]],tblSource[id_src],tblSource[quality_issues])</f>
        <v>TBD</v>
      </c>
      <c r="AJ304" s="25">
        <f>VLOOKUP(tblMeasure[[#This Row],[msr_population_or_survey]],strlu_msr_population_or_survey,2,FALSE)</f>
        <v>0</v>
      </c>
      <c r="AK304" s="25">
        <f>VLOOKUP(tblMeasure[[#This Row],[msr_min_geo_resolution]],strlu_msr_min_geo_resolution,2,FALSE)</f>
        <v>0.5</v>
      </c>
      <c r="AL304" s="25">
        <f>(MAX(tblMeasure[[#This Row],[src_year_last_published]]-2010+1,0)+MIN(2010-tblMeasure[[#This Row],[src_year_first_published]],0)-MAX(tblMeasure[[#This Row],[src_year_last_published]]-2019,0))/10</f>
        <v>1</v>
      </c>
      <c r="AM304" s="25">
        <f>IF(OR(tblMeasure[[#This Row],[src_discontinuity]]="None",tblMeasure[[#This Row],[src_discontinuity]]=0),1,0)</f>
        <v>1</v>
      </c>
      <c r="AN304" s="25">
        <f>VLOOKUP(tblMeasure[[#This Row],[src_pub_frequency]],strlu_src_pub_frequency,2,FALSE)</f>
        <v>0.8</v>
      </c>
      <c r="AO304" s="25">
        <f>VLOOKUP(tblMeasure[[#This Row],[src_pub_lag_months]],strlu_src_pub_lag_months,2,FALSE)</f>
        <v>0</v>
      </c>
      <c r="AP304" s="25">
        <f>VLOOKUP(tblMeasure[[#This Row],[src_statistic_class]],strlu_src_statistic_class,2,FALSE)</f>
        <v>1</v>
      </c>
      <c r="AQ304" s="25">
        <f>IF(tblMeasure[[#This Row],[src_methodology_url]]="TBD",0,1)</f>
        <v>1</v>
      </c>
      <c r="AR304" s="25">
        <f>IF(tblMeasure[[#This Row],[src_quality_url]]="TBD",0,1)</f>
        <v>0</v>
      </c>
      <c r="AS304" s="85" cm="1">
        <f t="array" ref="AS304">SUMPRODUCT(TRANSPOSE(tblMeasure[[#This Row],[str_msr_population_or_survey]:[str_src_quality_url]]),str_weights)/str_weights_total</f>
        <v>0.62307692307692308</v>
      </c>
    </row>
    <row r="305" spans="1:45" hidden="1" x14ac:dyDescent="0.15">
      <c r="A305" s="30">
        <v>303</v>
      </c>
      <c r="B305" s="15">
        <f>COUNTIF(requirement_measure_map!$D$3:$D$1514,measure!A305)</f>
        <v>1</v>
      </c>
      <c r="C305" s="30" t="s">
        <v>1065</v>
      </c>
      <c r="D305" s="15" t="s">
        <v>175</v>
      </c>
      <c r="E305" s="15" t="s">
        <v>971</v>
      </c>
      <c r="F305" s="15" t="s">
        <v>1081</v>
      </c>
      <c r="G305" s="29" t="s">
        <v>1073</v>
      </c>
      <c r="H305" s="15"/>
      <c r="I305" s="15" t="s">
        <v>429</v>
      </c>
      <c r="J305" s="15" t="s">
        <v>1074</v>
      </c>
      <c r="K305" s="15" t="s">
        <v>1082</v>
      </c>
      <c r="L305" s="15" t="s">
        <v>1076</v>
      </c>
      <c r="M305" s="15" t="s">
        <v>219</v>
      </c>
      <c r="N305" s="15" t="s">
        <v>219</v>
      </c>
      <c r="O305" s="15" t="s">
        <v>219</v>
      </c>
      <c r="P305" s="15" t="s">
        <v>219</v>
      </c>
      <c r="Q305" s="15" t="s">
        <v>219</v>
      </c>
      <c r="R305" s="15" t="s">
        <v>219</v>
      </c>
      <c r="S305" s="15" t="s">
        <v>219</v>
      </c>
      <c r="T305" s="15" t="s">
        <v>219</v>
      </c>
      <c r="U305" s="15" t="s">
        <v>219</v>
      </c>
      <c r="V305" s="15" t="s">
        <v>219</v>
      </c>
      <c r="W305" s="15">
        <v>20</v>
      </c>
      <c r="X305" s="15" t="str">
        <f>_xlfn.XLOOKUP(tblMeasure[[#This Row],[id_src]],tblSource[id_src],tblSource[org])</f>
        <v>DWP</v>
      </c>
      <c r="Y305" s="15" t="str">
        <f>_xlfn.XLOOKUP(tblMeasure[[#This Row],[id_src]],tblSource[id_src],tblSource[source])</f>
        <v>Family Resources Survey</v>
      </c>
      <c r="Z305" s="15" t="str">
        <f>_xlfn.XLOOKUP(tblMeasure[[#This Row],[id_src]],tblSource[id_src],tblSource[url_source])</f>
        <v>https://www.gov.uk/government/collections/family-resources-survey--2</v>
      </c>
      <c r="AA305" s="15">
        <f>_xlfn.XLOOKUP(tblMeasure[[#This Row],[id_src]],tblSource[id_src],tblSource[year_first_published])</f>
        <v>1994</v>
      </c>
      <c r="AB305" s="15">
        <f>_xlfn.XLOOKUP(tblMeasure[[#This Row],[id_src]],tblSource[id_src],tblSource[year_last_published])</f>
        <v>2019</v>
      </c>
      <c r="AC305" s="15">
        <f>_xlfn.XLOOKUP(tblMeasure[[#This Row],[id_src]],tblSource[id_src],tblSource[discontinuity])</f>
        <v>0</v>
      </c>
      <c r="AD305" s="15" t="str">
        <f>_xlfn.XLOOKUP(tblMeasure[[#This Row],[id_src]],tblSource[id_src],tblSource[publication_frequency])</f>
        <v>Annual</v>
      </c>
      <c r="AE305" s="15" t="str">
        <f>_xlfn.XLOOKUP(tblMeasure[[#This Row],[id_src]],tblSource[id_src],tblSource[publication_lag_months])</f>
        <v>TBD</v>
      </c>
      <c r="AF305" s="25" t="str">
        <f>_xlfn.XLOOKUP(tblMeasure[[#This Row],[id_src]],tblSource[id_src],tblSource[data_providers])</f>
        <v>DWP</v>
      </c>
      <c r="AG305" s="25" t="str">
        <f>_xlfn.XLOOKUP(tblMeasure[[#This Row],[id_src]],tblSource[id_src],tblSource[statistic_class])</f>
        <v>National</v>
      </c>
      <c r="AH305" s="25" t="str">
        <f>_xlfn.XLOOKUP(tblMeasure[[#This Row],[id_src]],tblSource[id_src],tblSource[methodology_link])</f>
        <v>https://assets.publishing.service.gov.uk/government/uploads/system/uploads/attachment_data/file/789455/family-resources-survey-2017-18-background-note-methodology.pdf</v>
      </c>
      <c r="AI305" s="25" t="str">
        <f>_xlfn.XLOOKUP(tblMeasure[[#This Row],[id_src]],tblSource[id_src],tblSource[quality_issues])</f>
        <v>TBD</v>
      </c>
      <c r="AJ305" s="25">
        <f>VLOOKUP(tblMeasure[[#This Row],[msr_population_or_survey]],strlu_msr_population_or_survey,2,FALSE)</f>
        <v>0</v>
      </c>
      <c r="AK305" s="25">
        <f>VLOOKUP(tblMeasure[[#This Row],[msr_min_geo_resolution]],strlu_msr_min_geo_resolution,2,FALSE)</f>
        <v>0</v>
      </c>
      <c r="AL305" s="25">
        <f>(MAX(tblMeasure[[#This Row],[src_year_last_published]]-2010+1,0)+MIN(2010-tblMeasure[[#This Row],[src_year_first_published]],0)-MAX(tblMeasure[[#This Row],[src_year_last_published]]-2019,0))/10</f>
        <v>1</v>
      </c>
      <c r="AM305" s="25">
        <f>IF(OR(tblMeasure[[#This Row],[src_discontinuity]]="None",tblMeasure[[#This Row],[src_discontinuity]]=0),1,0)</f>
        <v>1</v>
      </c>
      <c r="AN305" s="25">
        <f>VLOOKUP(tblMeasure[[#This Row],[src_pub_frequency]],strlu_src_pub_frequency,2,FALSE)</f>
        <v>0.8</v>
      </c>
      <c r="AO305" s="25">
        <f>VLOOKUP(tblMeasure[[#This Row],[src_pub_lag_months]],strlu_src_pub_lag_months,2,FALSE)</f>
        <v>0</v>
      </c>
      <c r="AP305" s="25">
        <f>VLOOKUP(tblMeasure[[#This Row],[src_statistic_class]],strlu_src_statistic_class,2,FALSE)</f>
        <v>1</v>
      </c>
      <c r="AQ305" s="25">
        <f>IF(tblMeasure[[#This Row],[src_methodology_url]]="TBD",0,1)</f>
        <v>1</v>
      </c>
      <c r="AR305" s="25">
        <f>IF(tblMeasure[[#This Row],[src_quality_url]]="TBD",0,1)</f>
        <v>0</v>
      </c>
      <c r="AS305" s="85" cm="1">
        <f t="array" ref="AS305">SUMPRODUCT(TRANSPOSE(tblMeasure[[#This Row],[str_msr_population_or_survey]:[str_src_quality_url]]),str_weights)/str_weights_total</f>
        <v>0.5461538461538461</v>
      </c>
    </row>
    <row r="306" spans="1:45" hidden="1" x14ac:dyDescent="0.15">
      <c r="A306" s="30">
        <v>304</v>
      </c>
      <c r="B306" s="15">
        <f>COUNTIF(requirement_measure_map!$D$3:$D$1514,measure!A306)</f>
        <v>2</v>
      </c>
      <c r="C306" s="30" t="s">
        <v>1065</v>
      </c>
      <c r="D306" s="15" t="s">
        <v>175</v>
      </c>
      <c r="E306" s="15" t="s">
        <v>974</v>
      </c>
      <c r="F306" s="15" t="s">
        <v>1083</v>
      </c>
      <c r="G306" s="29" t="s">
        <v>1073</v>
      </c>
      <c r="H306" s="15"/>
      <c r="I306" s="15" t="s">
        <v>429</v>
      </c>
      <c r="J306" s="15" t="s">
        <v>1074</v>
      </c>
      <c r="K306" s="15" t="s">
        <v>1082</v>
      </c>
      <c r="L306" s="15" t="s">
        <v>1076</v>
      </c>
      <c r="M306" s="15" t="s">
        <v>218</v>
      </c>
      <c r="N306" s="15" t="s">
        <v>219</v>
      </c>
      <c r="O306" s="15" t="s">
        <v>219</v>
      </c>
      <c r="P306" s="15" t="s">
        <v>219</v>
      </c>
      <c r="Q306" s="15" t="s">
        <v>219</v>
      </c>
      <c r="R306" s="15" t="s">
        <v>219</v>
      </c>
      <c r="S306" s="15" t="s">
        <v>219</v>
      </c>
      <c r="T306" s="15" t="s">
        <v>219</v>
      </c>
      <c r="U306" s="15" t="s">
        <v>219</v>
      </c>
      <c r="V306" s="15" t="s">
        <v>219</v>
      </c>
      <c r="W306" s="15">
        <v>20</v>
      </c>
      <c r="X306" s="15" t="str">
        <f>_xlfn.XLOOKUP(tblMeasure[[#This Row],[id_src]],tblSource[id_src],tblSource[org])</f>
        <v>DWP</v>
      </c>
      <c r="Y306" s="15" t="str">
        <f>_xlfn.XLOOKUP(tblMeasure[[#This Row],[id_src]],tblSource[id_src],tblSource[source])</f>
        <v>Family Resources Survey</v>
      </c>
      <c r="Z306" s="15" t="str">
        <f>_xlfn.XLOOKUP(tblMeasure[[#This Row],[id_src]],tblSource[id_src],tblSource[url_source])</f>
        <v>https://www.gov.uk/government/collections/family-resources-survey--2</v>
      </c>
      <c r="AA306" s="15">
        <f>_xlfn.XLOOKUP(tblMeasure[[#This Row],[id_src]],tblSource[id_src],tblSource[year_first_published])</f>
        <v>1994</v>
      </c>
      <c r="AB306" s="15">
        <f>_xlfn.XLOOKUP(tblMeasure[[#This Row],[id_src]],tblSource[id_src],tblSource[year_last_published])</f>
        <v>2019</v>
      </c>
      <c r="AC306" s="15">
        <f>_xlfn.XLOOKUP(tblMeasure[[#This Row],[id_src]],tblSource[id_src],tblSource[discontinuity])</f>
        <v>0</v>
      </c>
      <c r="AD306" s="15" t="str">
        <f>_xlfn.XLOOKUP(tblMeasure[[#This Row],[id_src]],tblSource[id_src],tblSource[publication_frequency])</f>
        <v>Annual</v>
      </c>
      <c r="AE306" s="15" t="str">
        <f>_xlfn.XLOOKUP(tblMeasure[[#This Row],[id_src]],tblSource[id_src],tblSource[publication_lag_months])</f>
        <v>TBD</v>
      </c>
      <c r="AF306" s="25" t="str">
        <f>_xlfn.XLOOKUP(tblMeasure[[#This Row],[id_src]],tblSource[id_src],tblSource[data_providers])</f>
        <v>DWP</v>
      </c>
      <c r="AG306" s="25" t="str">
        <f>_xlfn.XLOOKUP(tblMeasure[[#This Row],[id_src]],tblSource[id_src],tblSource[statistic_class])</f>
        <v>National</v>
      </c>
      <c r="AH306" s="25" t="str">
        <f>_xlfn.XLOOKUP(tblMeasure[[#This Row],[id_src]],tblSource[id_src],tblSource[methodology_link])</f>
        <v>https://assets.publishing.service.gov.uk/government/uploads/system/uploads/attachment_data/file/789455/family-resources-survey-2017-18-background-note-methodology.pdf</v>
      </c>
      <c r="AI306" s="25" t="str">
        <f>_xlfn.XLOOKUP(tblMeasure[[#This Row],[id_src]],tblSource[id_src],tblSource[quality_issues])</f>
        <v>TBD</v>
      </c>
      <c r="AJ306" s="25">
        <f>VLOOKUP(tblMeasure[[#This Row],[msr_population_or_survey]],strlu_msr_population_or_survey,2,FALSE)</f>
        <v>0</v>
      </c>
      <c r="AK306" s="25">
        <f>VLOOKUP(tblMeasure[[#This Row],[msr_min_geo_resolution]],strlu_msr_min_geo_resolution,2,FALSE)</f>
        <v>0</v>
      </c>
      <c r="AL306" s="25">
        <f>(MAX(tblMeasure[[#This Row],[src_year_last_published]]-2010+1,0)+MIN(2010-tblMeasure[[#This Row],[src_year_first_published]],0)-MAX(tblMeasure[[#This Row],[src_year_last_published]]-2019,0))/10</f>
        <v>1</v>
      </c>
      <c r="AM306" s="25">
        <f>IF(OR(tblMeasure[[#This Row],[src_discontinuity]]="None",tblMeasure[[#This Row],[src_discontinuity]]=0),1,0)</f>
        <v>1</v>
      </c>
      <c r="AN306" s="25">
        <f>VLOOKUP(tblMeasure[[#This Row],[src_pub_frequency]],strlu_src_pub_frequency,2,FALSE)</f>
        <v>0.8</v>
      </c>
      <c r="AO306" s="25">
        <f>VLOOKUP(tblMeasure[[#This Row],[src_pub_lag_months]],strlu_src_pub_lag_months,2,FALSE)</f>
        <v>0</v>
      </c>
      <c r="AP306" s="25">
        <f>VLOOKUP(tblMeasure[[#This Row],[src_statistic_class]],strlu_src_statistic_class,2,FALSE)</f>
        <v>1</v>
      </c>
      <c r="AQ306" s="25">
        <f>IF(tblMeasure[[#This Row],[src_methodology_url]]="TBD",0,1)</f>
        <v>1</v>
      </c>
      <c r="AR306" s="25">
        <f>IF(tblMeasure[[#This Row],[src_quality_url]]="TBD",0,1)</f>
        <v>0</v>
      </c>
      <c r="AS306" s="85" cm="1">
        <f t="array" ref="AS306">SUMPRODUCT(TRANSPOSE(tblMeasure[[#This Row],[str_msr_population_or_survey]:[str_src_quality_url]]),str_weights)/str_weights_total</f>
        <v>0.5461538461538461</v>
      </c>
    </row>
    <row r="307" spans="1:45" hidden="1" x14ac:dyDescent="0.15">
      <c r="A307" s="30">
        <v>305</v>
      </c>
      <c r="B307" s="15">
        <f>COUNTIF(requirement_measure_map!$D$3:$D$1514,measure!A307)</f>
        <v>4</v>
      </c>
      <c r="C307" s="30" t="s">
        <v>1065</v>
      </c>
      <c r="D307" s="15" t="s">
        <v>175</v>
      </c>
      <c r="E307" s="15" t="s">
        <v>977</v>
      </c>
      <c r="F307" s="15" t="s">
        <v>1084</v>
      </c>
      <c r="G307" s="29" t="s">
        <v>1073</v>
      </c>
      <c r="H307" s="15"/>
      <c r="I307" s="15" t="s">
        <v>429</v>
      </c>
      <c r="J307" s="15" t="s">
        <v>1074</v>
      </c>
      <c r="K307" s="15" t="s">
        <v>1085</v>
      </c>
      <c r="L307" s="15" t="s">
        <v>1076</v>
      </c>
      <c r="M307" s="15" t="s">
        <v>220</v>
      </c>
      <c r="N307" s="15" t="s">
        <v>219</v>
      </c>
      <c r="O307" s="15" t="s">
        <v>219</v>
      </c>
      <c r="P307" s="15" t="s">
        <v>219</v>
      </c>
      <c r="Q307" s="15" t="s">
        <v>219</v>
      </c>
      <c r="R307" s="15" t="s">
        <v>219</v>
      </c>
      <c r="S307" s="15" t="s">
        <v>219</v>
      </c>
      <c r="T307" s="15" t="s">
        <v>219</v>
      </c>
      <c r="U307" s="15" t="s">
        <v>219</v>
      </c>
      <c r="V307" s="15" t="s">
        <v>219</v>
      </c>
      <c r="W307" s="15">
        <v>20</v>
      </c>
      <c r="X307" s="15" t="str">
        <f>_xlfn.XLOOKUP(tblMeasure[[#This Row],[id_src]],tblSource[id_src],tblSource[org])</f>
        <v>DWP</v>
      </c>
      <c r="Y307" s="15" t="str">
        <f>_xlfn.XLOOKUP(tblMeasure[[#This Row],[id_src]],tblSource[id_src],tblSource[source])</f>
        <v>Family Resources Survey</v>
      </c>
      <c r="Z307" s="15" t="str">
        <f>_xlfn.XLOOKUP(tblMeasure[[#This Row],[id_src]],tblSource[id_src],tblSource[url_source])</f>
        <v>https://www.gov.uk/government/collections/family-resources-survey--2</v>
      </c>
      <c r="AA307" s="15">
        <f>_xlfn.XLOOKUP(tblMeasure[[#This Row],[id_src]],tblSource[id_src],tblSource[year_first_published])</f>
        <v>1994</v>
      </c>
      <c r="AB307" s="15">
        <f>_xlfn.XLOOKUP(tblMeasure[[#This Row],[id_src]],tblSource[id_src],tblSource[year_last_published])</f>
        <v>2019</v>
      </c>
      <c r="AC307" s="15">
        <f>_xlfn.XLOOKUP(tblMeasure[[#This Row],[id_src]],tblSource[id_src],tblSource[discontinuity])</f>
        <v>0</v>
      </c>
      <c r="AD307" s="15" t="str">
        <f>_xlfn.XLOOKUP(tblMeasure[[#This Row],[id_src]],tblSource[id_src],tblSource[publication_frequency])</f>
        <v>Annual</v>
      </c>
      <c r="AE307" s="15" t="str">
        <f>_xlfn.XLOOKUP(tblMeasure[[#This Row],[id_src]],tblSource[id_src],tblSource[publication_lag_months])</f>
        <v>TBD</v>
      </c>
      <c r="AF307" s="25" t="str">
        <f>_xlfn.XLOOKUP(tblMeasure[[#This Row],[id_src]],tblSource[id_src],tblSource[data_providers])</f>
        <v>DWP</v>
      </c>
      <c r="AG307" s="25" t="str">
        <f>_xlfn.XLOOKUP(tblMeasure[[#This Row],[id_src]],tblSource[id_src],tblSource[statistic_class])</f>
        <v>National</v>
      </c>
      <c r="AH307" s="25" t="str">
        <f>_xlfn.XLOOKUP(tblMeasure[[#This Row],[id_src]],tblSource[id_src],tblSource[methodology_link])</f>
        <v>https://assets.publishing.service.gov.uk/government/uploads/system/uploads/attachment_data/file/789455/family-resources-survey-2017-18-background-note-methodology.pdf</v>
      </c>
      <c r="AI307" s="25" t="str">
        <f>_xlfn.XLOOKUP(tblMeasure[[#This Row],[id_src]],tblSource[id_src],tblSource[quality_issues])</f>
        <v>TBD</v>
      </c>
      <c r="AJ307" s="25">
        <f>VLOOKUP(tblMeasure[[#This Row],[msr_population_or_survey]],strlu_msr_population_or_survey,2,FALSE)</f>
        <v>0</v>
      </c>
      <c r="AK307" s="25">
        <f>VLOOKUP(tblMeasure[[#This Row],[msr_min_geo_resolution]],strlu_msr_min_geo_resolution,2,FALSE)</f>
        <v>0</v>
      </c>
      <c r="AL307" s="25">
        <f>(MAX(tblMeasure[[#This Row],[src_year_last_published]]-2010+1,0)+MIN(2010-tblMeasure[[#This Row],[src_year_first_published]],0)-MAX(tblMeasure[[#This Row],[src_year_last_published]]-2019,0))/10</f>
        <v>1</v>
      </c>
      <c r="AM307" s="25">
        <f>IF(OR(tblMeasure[[#This Row],[src_discontinuity]]="None",tblMeasure[[#This Row],[src_discontinuity]]=0),1,0)</f>
        <v>1</v>
      </c>
      <c r="AN307" s="25">
        <f>VLOOKUP(tblMeasure[[#This Row],[src_pub_frequency]],strlu_src_pub_frequency,2,FALSE)</f>
        <v>0.8</v>
      </c>
      <c r="AO307" s="25">
        <f>VLOOKUP(tblMeasure[[#This Row],[src_pub_lag_months]],strlu_src_pub_lag_months,2,FALSE)</f>
        <v>0</v>
      </c>
      <c r="AP307" s="25">
        <f>VLOOKUP(tblMeasure[[#This Row],[src_statistic_class]],strlu_src_statistic_class,2,FALSE)</f>
        <v>1</v>
      </c>
      <c r="AQ307" s="25">
        <f>IF(tblMeasure[[#This Row],[src_methodology_url]]="TBD",0,1)</f>
        <v>1</v>
      </c>
      <c r="AR307" s="25">
        <f>IF(tblMeasure[[#This Row],[src_quality_url]]="TBD",0,1)</f>
        <v>0</v>
      </c>
      <c r="AS307" s="85" cm="1">
        <f t="array" ref="AS307">SUMPRODUCT(TRANSPOSE(tblMeasure[[#This Row],[str_msr_population_or_survey]:[str_src_quality_url]]),str_weights)/str_weights_total</f>
        <v>0.5461538461538461</v>
      </c>
    </row>
    <row r="308" spans="1:45" hidden="1" x14ac:dyDescent="0.15">
      <c r="A308" s="30">
        <v>306</v>
      </c>
      <c r="B308" s="15">
        <f>COUNTIF(requirement_measure_map!$D$3:$D$1514,measure!A308)</f>
        <v>2</v>
      </c>
      <c r="C308" s="30" t="s">
        <v>1065</v>
      </c>
      <c r="D308" s="15" t="s">
        <v>175</v>
      </c>
      <c r="E308" s="15" t="s">
        <v>980</v>
      </c>
      <c r="F308" s="15" t="s">
        <v>1086</v>
      </c>
      <c r="G308" s="29" t="s">
        <v>1073</v>
      </c>
      <c r="H308" s="15"/>
      <c r="I308" s="15" t="s">
        <v>429</v>
      </c>
      <c r="J308" s="15" t="s">
        <v>1074</v>
      </c>
      <c r="K308" s="15" t="s">
        <v>1087</v>
      </c>
      <c r="L308" s="15" t="s">
        <v>1076</v>
      </c>
      <c r="M308" s="15" t="s">
        <v>219</v>
      </c>
      <c r="N308" s="15" t="s">
        <v>219</v>
      </c>
      <c r="O308" s="15" t="s">
        <v>219</v>
      </c>
      <c r="P308" s="15" t="s">
        <v>219</v>
      </c>
      <c r="Q308" s="15" t="s">
        <v>219</v>
      </c>
      <c r="R308" s="15" t="s">
        <v>219</v>
      </c>
      <c r="S308" s="15" t="s">
        <v>219</v>
      </c>
      <c r="T308" s="15" t="s">
        <v>219</v>
      </c>
      <c r="U308" s="15" t="s">
        <v>219</v>
      </c>
      <c r="V308" s="15" t="s">
        <v>219</v>
      </c>
      <c r="W308" s="15">
        <v>20</v>
      </c>
      <c r="X308" s="15" t="str">
        <f>_xlfn.XLOOKUP(tblMeasure[[#This Row],[id_src]],tblSource[id_src],tblSource[org])</f>
        <v>DWP</v>
      </c>
      <c r="Y308" s="15" t="str">
        <f>_xlfn.XLOOKUP(tblMeasure[[#This Row],[id_src]],tblSource[id_src],tblSource[source])</f>
        <v>Family Resources Survey</v>
      </c>
      <c r="Z308" s="15" t="str">
        <f>_xlfn.XLOOKUP(tblMeasure[[#This Row],[id_src]],tblSource[id_src],tblSource[url_source])</f>
        <v>https://www.gov.uk/government/collections/family-resources-survey--2</v>
      </c>
      <c r="AA308" s="15">
        <f>_xlfn.XLOOKUP(tblMeasure[[#This Row],[id_src]],tblSource[id_src],tblSource[year_first_published])</f>
        <v>1994</v>
      </c>
      <c r="AB308" s="15">
        <f>_xlfn.XLOOKUP(tblMeasure[[#This Row],[id_src]],tblSource[id_src],tblSource[year_last_published])</f>
        <v>2019</v>
      </c>
      <c r="AC308" s="15">
        <f>_xlfn.XLOOKUP(tblMeasure[[#This Row],[id_src]],tblSource[id_src],tblSource[discontinuity])</f>
        <v>0</v>
      </c>
      <c r="AD308" s="15" t="str">
        <f>_xlfn.XLOOKUP(tblMeasure[[#This Row],[id_src]],tblSource[id_src],tblSource[publication_frequency])</f>
        <v>Annual</v>
      </c>
      <c r="AE308" s="15" t="str">
        <f>_xlfn.XLOOKUP(tblMeasure[[#This Row],[id_src]],tblSource[id_src],tblSource[publication_lag_months])</f>
        <v>TBD</v>
      </c>
      <c r="AF308" s="25" t="str">
        <f>_xlfn.XLOOKUP(tblMeasure[[#This Row],[id_src]],tblSource[id_src],tblSource[data_providers])</f>
        <v>DWP</v>
      </c>
      <c r="AG308" s="25" t="str">
        <f>_xlfn.XLOOKUP(tblMeasure[[#This Row],[id_src]],tblSource[id_src],tblSource[statistic_class])</f>
        <v>National</v>
      </c>
      <c r="AH308" s="25" t="str">
        <f>_xlfn.XLOOKUP(tblMeasure[[#This Row],[id_src]],tblSource[id_src],tblSource[methodology_link])</f>
        <v>https://assets.publishing.service.gov.uk/government/uploads/system/uploads/attachment_data/file/789455/family-resources-survey-2017-18-background-note-methodology.pdf</v>
      </c>
      <c r="AI308" s="25" t="str">
        <f>_xlfn.XLOOKUP(tblMeasure[[#This Row],[id_src]],tblSource[id_src],tblSource[quality_issues])</f>
        <v>TBD</v>
      </c>
      <c r="AJ308" s="25">
        <f>VLOOKUP(tblMeasure[[#This Row],[msr_population_or_survey]],strlu_msr_population_or_survey,2,FALSE)</f>
        <v>0</v>
      </c>
      <c r="AK308" s="25">
        <f>VLOOKUP(tblMeasure[[#This Row],[msr_min_geo_resolution]],strlu_msr_min_geo_resolution,2,FALSE)</f>
        <v>0</v>
      </c>
      <c r="AL308" s="25">
        <f>(MAX(tblMeasure[[#This Row],[src_year_last_published]]-2010+1,0)+MIN(2010-tblMeasure[[#This Row],[src_year_first_published]],0)-MAX(tblMeasure[[#This Row],[src_year_last_published]]-2019,0))/10</f>
        <v>1</v>
      </c>
      <c r="AM308" s="25">
        <f>IF(OR(tblMeasure[[#This Row],[src_discontinuity]]="None",tblMeasure[[#This Row],[src_discontinuity]]=0),1,0)</f>
        <v>1</v>
      </c>
      <c r="AN308" s="25">
        <f>VLOOKUP(tblMeasure[[#This Row],[src_pub_frequency]],strlu_src_pub_frequency,2,FALSE)</f>
        <v>0.8</v>
      </c>
      <c r="AO308" s="25">
        <f>VLOOKUP(tblMeasure[[#This Row],[src_pub_lag_months]],strlu_src_pub_lag_months,2,FALSE)</f>
        <v>0</v>
      </c>
      <c r="AP308" s="25">
        <f>VLOOKUP(tblMeasure[[#This Row],[src_statistic_class]],strlu_src_statistic_class,2,FALSE)</f>
        <v>1</v>
      </c>
      <c r="AQ308" s="25">
        <f>IF(tblMeasure[[#This Row],[src_methodology_url]]="TBD",0,1)</f>
        <v>1</v>
      </c>
      <c r="AR308" s="25">
        <f>IF(tblMeasure[[#This Row],[src_quality_url]]="TBD",0,1)</f>
        <v>0</v>
      </c>
      <c r="AS308" s="85" cm="1">
        <f t="array" ref="AS308">SUMPRODUCT(TRANSPOSE(tblMeasure[[#This Row],[str_msr_population_or_survey]:[str_src_quality_url]]),str_weights)/str_weights_total</f>
        <v>0.5461538461538461</v>
      </c>
    </row>
    <row r="309" spans="1:45" hidden="1" x14ac:dyDescent="0.15">
      <c r="A309" s="30">
        <v>307</v>
      </c>
      <c r="B309" s="15">
        <f>COUNTIF(requirement_measure_map!$D$3:$D$1514,measure!A309)</f>
        <v>3</v>
      </c>
      <c r="C309" s="30" t="s">
        <v>1065</v>
      </c>
      <c r="D309" s="15" t="s">
        <v>175</v>
      </c>
      <c r="E309" s="15" t="s">
        <v>983</v>
      </c>
      <c r="F309" s="15" t="s">
        <v>1088</v>
      </c>
      <c r="G309" s="29" t="s">
        <v>1073</v>
      </c>
      <c r="H309" s="15"/>
      <c r="I309" s="15" t="s">
        <v>429</v>
      </c>
      <c r="J309" s="15" t="s">
        <v>1074</v>
      </c>
      <c r="K309" s="15" t="s">
        <v>1089</v>
      </c>
      <c r="L309" s="15" t="s">
        <v>1076</v>
      </c>
      <c r="M309" s="15" t="s">
        <v>219</v>
      </c>
      <c r="N309" s="15" t="s">
        <v>219</v>
      </c>
      <c r="O309" s="15" t="s">
        <v>219</v>
      </c>
      <c r="P309" s="15" t="s">
        <v>219</v>
      </c>
      <c r="Q309" s="15" t="s">
        <v>219</v>
      </c>
      <c r="R309" s="15" t="s">
        <v>219</v>
      </c>
      <c r="S309" s="15" t="s">
        <v>219</v>
      </c>
      <c r="T309" s="15" t="s">
        <v>219</v>
      </c>
      <c r="U309" s="15" t="s">
        <v>219</v>
      </c>
      <c r="V309" s="15" t="s">
        <v>219</v>
      </c>
      <c r="W309" s="15">
        <v>20</v>
      </c>
      <c r="X309" s="15" t="str">
        <f>_xlfn.XLOOKUP(tblMeasure[[#This Row],[id_src]],tblSource[id_src],tblSource[org])</f>
        <v>DWP</v>
      </c>
      <c r="Y309" s="15" t="str">
        <f>_xlfn.XLOOKUP(tblMeasure[[#This Row],[id_src]],tblSource[id_src],tblSource[source])</f>
        <v>Family Resources Survey</v>
      </c>
      <c r="Z309" s="15" t="str">
        <f>_xlfn.XLOOKUP(tblMeasure[[#This Row],[id_src]],tblSource[id_src],tblSource[url_source])</f>
        <v>https://www.gov.uk/government/collections/family-resources-survey--2</v>
      </c>
      <c r="AA309" s="15">
        <f>_xlfn.XLOOKUP(tblMeasure[[#This Row],[id_src]],tblSource[id_src],tblSource[year_first_published])</f>
        <v>1994</v>
      </c>
      <c r="AB309" s="15">
        <f>_xlfn.XLOOKUP(tblMeasure[[#This Row],[id_src]],tblSource[id_src],tblSource[year_last_published])</f>
        <v>2019</v>
      </c>
      <c r="AC309" s="15">
        <f>_xlfn.XLOOKUP(tblMeasure[[#This Row],[id_src]],tblSource[id_src],tblSource[discontinuity])</f>
        <v>0</v>
      </c>
      <c r="AD309" s="15" t="str">
        <f>_xlfn.XLOOKUP(tblMeasure[[#This Row],[id_src]],tblSource[id_src],tblSource[publication_frequency])</f>
        <v>Annual</v>
      </c>
      <c r="AE309" s="15" t="str">
        <f>_xlfn.XLOOKUP(tblMeasure[[#This Row],[id_src]],tblSource[id_src],tblSource[publication_lag_months])</f>
        <v>TBD</v>
      </c>
      <c r="AF309" s="25" t="str">
        <f>_xlfn.XLOOKUP(tblMeasure[[#This Row],[id_src]],tblSource[id_src],tblSource[data_providers])</f>
        <v>DWP</v>
      </c>
      <c r="AG309" s="25" t="str">
        <f>_xlfn.XLOOKUP(tblMeasure[[#This Row],[id_src]],tblSource[id_src],tblSource[statistic_class])</f>
        <v>National</v>
      </c>
      <c r="AH309" s="25" t="str">
        <f>_xlfn.XLOOKUP(tblMeasure[[#This Row],[id_src]],tblSource[id_src],tblSource[methodology_link])</f>
        <v>https://assets.publishing.service.gov.uk/government/uploads/system/uploads/attachment_data/file/789455/family-resources-survey-2017-18-background-note-methodology.pdf</v>
      </c>
      <c r="AI309" s="25" t="str">
        <f>_xlfn.XLOOKUP(tblMeasure[[#This Row],[id_src]],tblSource[id_src],tblSource[quality_issues])</f>
        <v>TBD</v>
      </c>
      <c r="AJ309" s="25">
        <f>VLOOKUP(tblMeasure[[#This Row],[msr_population_or_survey]],strlu_msr_population_or_survey,2,FALSE)</f>
        <v>0</v>
      </c>
      <c r="AK309" s="25">
        <f>VLOOKUP(tblMeasure[[#This Row],[msr_min_geo_resolution]],strlu_msr_min_geo_resolution,2,FALSE)</f>
        <v>0</v>
      </c>
      <c r="AL309" s="25">
        <f>(MAX(tblMeasure[[#This Row],[src_year_last_published]]-2010+1,0)+MIN(2010-tblMeasure[[#This Row],[src_year_first_published]],0)-MAX(tblMeasure[[#This Row],[src_year_last_published]]-2019,0))/10</f>
        <v>1</v>
      </c>
      <c r="AM309" s="25">
        <f>IF(OR(tblMeasure[[#This Row],[src_discontinuity]]="None",tblMeasure[[#This Row],[src_discontinuity]]=0),1,0)</f>
        <v>1</v>
      </c>
      <c r="AN309" s="25">
        <f>VLOOKUP(tblMeasure[[#This Row],[src_pub_frequency]],strlu_src_pub_frequency,2,FALSE)</f>
        <v>0.8</v>
      </c>
      <c r="AO309" s="25">
        <f>VLOOKUP(tblMeasure[[#This Row],[src_pub_lag_months]],strlu_src_pub_lag_months,2,FALSE)</f>
        <v>0</v>
      </c>
      <c r="AP309" s="25">
        <f>VLOOKUP(tblMeasure[[#This Row],[src_statistic_class]],strlu_src_statistic_class,2,FALSE)</f>
        <v>1</v>
      </c>
      <c r="AQ309" s="25">
        <f>IF(tblMeasure[[#This Row],[src_methodology_url]]="TBD",0,1)</f>
        <v>1</v>
      </c>
      <c r="AR309" s="25">
        <f>IF(tblMeasure[[#This Row],[src_quality_url]]="TBD",0,1)</f>
        <v>0</v>
      </c>
      <c r="AS309" s="85" cm="1">
        <f t="array" ref="AS309">SUMPRODUCT(TRANSPOSE(tblMeasure[[#This Row],[str_msr_population_or_survey]:[str_src_quality_url]]),str_weights)/str_weights_total</f>
        <v>0.5461538461538461</v>
      </c>
    </row>
    <row r="310" spans="1:45" hidden="1" x14ac:dyDescent="0.15">
      <c r="A310" s="30">
        <v>308</v>
      </c>
      <c r="B310" s="15">
        <f>COUNTIF(requirement_measure_map!$D$3:$D$1514,measure!A310)</f>
        <v>2</v>
      </c>
      <c r="C310" s="30" t="s">
        <v>1065</v>
      </c>
      <c r="D310" s="15" t="s">
        <v>1090</v>
      </c>
      <c r="E310" s="15" t="s">
        <v>1005</v>
      </c>
      <c r="F310" s="15" t="s">
        <v>1091</v>
      </c>
      <c r="G310" s="29" t="s">
        <v>1092</v>
      </c>
      <c r="H310" s="15"/>
      <c r="I310" s="15" t="s">
        <v>429</v>
      </c>
      <c r="J310" s="15" t="s">
        <v>1074</v>
      </c>
      <c r="K310" s="15" t="s">
        <v>1093</v>
      </c>
      <c r="L310" s="15" t="s">
        <v>1076</v>
      </c>
      <c r="M310" s="15" t="s">
        <v>219</v>
      </c>
      <c r="N310" s="15" t="s">
        <v>219</v>
      </c>
      <c r="O310" s="15" t="s">
        <v>219</v>
      </c>
      <c r="P310" s="15" t="s">
        <v>219</v>
      </c>
      <c r="Q310" s="15" t="s">
        <v>219</v>
      </c>
      <c r="R310" s="15" t="s">
        <v>219</v>
      </c>
      <c r="S310" s="15" t="s">
        <v>220</v>
      </c>
      <c r="T310" s="15" t="s">
        <v>219</v>
      </c>
      <c r="U310" s="15" t="s">
        <v>219</v>
      </c>
      <c r="V310" s="15" t="s">
        <v>219</v>
      </c>
      <c r="W310" s="15">
        <v>20</v>
      </c>
      <c r="X310" s="15" t="str">
        <f>_xlfn.XLOOKUP(tblMeasure[[#This Row],[id_src]],tblSource[id_src],tblSource[org])</f>
        <v>DWP</v>
      </c>
      <c r="Y310" s="15" t="str">
        <f>_xlfn.XLOOKUP(tblMeasure[[#This Row],[id_src]],tblSource[id_src],tblSource[source])</f>
        <v>Family Resources Survey</v>
      </c>
      <c r="Z310" s="15" t="str">
        <f>_xlfn.XLOOKUP(tblMeasure[[#This Row],[id_src]],tblSource[id_src],tblSource[url_source])</f>
        <v>https://www.gov.uk/government/collections/family-resources-survey--2</v>
      </c>
      <c r="AA310" s="15">
        <f>_xlfn.XLOOKUP(tblMeasure[[#This Row],[id_src]],tblSource[id_src],tblSource[year_first_published])</f>
        <v>1994</v>
      </c>
      <c r="AB310" s="15">
        <f>_xlfn.XLOOKUP(tblMeasure[[#This Row],[id_src]],tblSource[id_src],tblSource[year_last_published])</f>
        <v>2019</v>
      </c>
      <c r="AC310" s="15">
        <f>_xlfn.XLOOKUP(tblMeasure[[#This Row],[id_src]],tblSource[id_src],tblSource[discontinuity])</f>
        <v>0</v>
      </c>
      <c r="AD310" s="15" t="str">
        <f>_xlfn.XLOOKUP(tblMeasure[[#This Row],[id_src]],tblSource[id_src],tblSource[publication_frequency])</f>
        <v>Annual</v>
      </c>
      <c r="AE310" s="15" t="str">
        <f>_xlfn.XLOOKUP(tblMeasure[[#This Row],[id_src]],tblSource[id_src],tblSource[publication_lag_months])</f>
        <v>TBD</v>
      </c>
      <c r="AF310" s="25" t="str">
        <f>_xlfn.XLOOKUP(tblMeasure[[#This Row],[id_src]],tblSource[id_src],tblSource[data_providers])</f>
        <v>DWP</v>
      </c>
      <c r="AG310" s="25" t="str">
        <f>_xlfn.XLOOKUP(tblMeasure[[#This Row],[id_src]],tblSource[id_src],tblSource[statistic_class])</f>
        <v>National</v>
      </c>
      <c r="AH310" s="25" t="str">
        <f>_xlfn.XLOOKUP(tblMeasure[[#This Row],[id_src]],tblSource[id_src],tblSource[methodology_link])</f>
        <v>https://assets.publishing.service.gov.uk/government/uploads/system/uploads/attachment_data/file/789455/family-resources-survey-2017-18-background-note-methodology.pdf</v>
      </c>
      <c r="AI310" s="25" t="str">
        <f>_xlfn.XLOOKUP(tblMeasure[[#This Row],[id_src]],tblSource[id_src],tblSource[quality_issues])</f>
        <v>TBD</v>
      </c>
      <c r="AJ310" s="25">
        <f>VLOOKUP(tblMeasure[[#This Row],[msr_population_or_survey]],strlu_msr_population_or_survey,2,FALSE)</f>
        <v>0</v>
      </c>
      <c r="AK310" s="25">
        <f>VLOOKUP(tblMeasure[[#This Row],[msr_min_geo_resolution]],strlu_msr_min_geo_resolution,2,FALSE)</f>
        <v>0</v>
      </c>
      <c r="AL310" s="25">
        <f>(MAX(tblMeasure[[#This Row],[src_year_last_published]]-2010+1,0)+MIN(2010-tblMeasure[[#This Row],[src_year_first_published]],0)-MAX(tblMeasure[[#This Row],[src_year_last_published]]-2019,0))/10</f>
        <v>1</v>
      </c>
      <c r="AM310" s="25">
        <f>IF(OR(tblMeasure[[#This Row],[src_discontinuity]]="None",tblMeasure[[#This Row],[src_discontinuity]]=0),1,0)</f>
        <v>1</v>
      </c>
      <c r="AN310" s="25">
        <f>VLOOKUP(tblMeasure[[#This Row],[src_pub_frequency]],strlu_src_pub_frequency,2,FALSE)</f>
        <v>0.8</v>
      </c>
      <c r="AO310" s="25">
        <f>VLOOKUP(tblMeasure[[#This Row],[src_pub_lag_months]],strlu_src_pub_lag_months,2,FALSE)</f>
        <v>0</v>
      </c>
      <c r="AP310" s="25">
        <f>VLOOKUP(tblMeasure[[#This Row],[src_statistic_class]],strlu_src_statistic_class,2,FALSE)</f>
        <v>1</v>
      </c>
      <c r="AQ310" s="25">
        <f>IF(tblMeasure[[#This Row],[src_methodology_url]]="TBD",0,1)</f>
        <v>1</v>
      </c>
      <c r="AR310" s="25">
        <f>IF(tblMeasure[[#This Row],[src_quality_url]]="TBD",0,1)</f>
        <v>0</v>
      </c>
      <c r="AS310" s="85" cm="1">
        <f t="array" ref="AS310">SUMPRODUCT(TRANSPOSE(tblMeasure[[#This Row],[str_msr_population_or_survey]:[str_src_quality_url]]),str_weights)/str_weights_total</f>
        <v>0.5461538461538461</v>
      </c>
    </row>
    <row r="311" spans="1:45" hidden="1" x14ac:dyDescent="0.15">
      <c r="A311" s="30">
        <v>309</v>
      </c>
      <c r="B311" s="15">
        <f>COUNTIF(requirement_measure_map!$D$3:$D$1514,measure!A311)</f>
        <v>3</v>
      </c>
      <c r="C311" s="30" t="s">
        <v>1065</v>
      </c>
      <c r="D311" s="15" t="s">
        <v>1090</v>
      </c>
      <c r="E311" s="15" t="s">
        <v>1008</v>
      </c>
      <c r="F311" s="15" t="s">
        <v>1094</v>
      </c>
      <c r="G311" s="29" t="s">
        <v>1092</v>
      </c>
      <c r="H311" s="15"/>
      <c r="I311" s="15" t="s">
        <v>429</v>
      </c>
      <c r="J311" s="15" t="s">
        <v>1074</v>
      </c>
      <c r="K311" s="15" t="s">
        <v>1095</v>
      </c>
      <c r="L311" s="15" t="s">
        <v>1076</v>
      </c>
      <c r="M311" s="15" t="s">
        <v>219</v>
      </c>
      <c r="N311" s="15" t="s">
        <v>219</v>
      </c>
      <c r="O311" s="15" t="s">
        <v>219</v>
      </c>
      <c r="P311" s="15" t="s">
        <v>219</v>
      </c>
      <c r="Q311" s="15" t="s">
        <v>219</v>
      </c>
      <c r="R311" s="15" t="s">
        <v>219</v>
      </c>
      <c r="S311" s="15" t="s">
        <v>220</v>
      </c>
      <c r="T311" s="15" t="s">
        <v>219</v>
      </c>
      <c r="U311" s="15" t="s">
        <v>219</v>
      </c>
      <c r="V311" s="15" t="s">
        <v>219</v>
      </c>
      <c r="W311" s="15">
        <v>20</v>
      </c>
      <c r="X311" s="15" t="str">
        <f>_xlfn.XLOOKUP(tblMeasure[[#This Row],[id_src]],tblSource[id_src],tblSource[org])</f>
        <v>DWP</v>
      </c>
      <c r="Y311" s="15" t="str">
        <f>_xlfn.XLOOKUP(tblMeasure[[#This Row],[id_src]],tblSource[id_src],tblSource[source])</f>
        <v>Family Resources Survey</v>
      </c>
      <c r="Z311" s="15" t="str">
        <f>_xlfn.XLOOKUP(tblMeasure[[#This Row],[id_src]],tblSource[id_src],tblSource[url_source])</f>
        <v>https://www.gov.uk/government/collections/family-resources-survey--2</v>
      </c>
      <c r="AA311" s="15">
        <f>_xlfn.XLOOKUP(tblMeasure[[#This Row],[id_src]],tblSource[id_src],tblSource[year_first_published])</f>
        <v>1994</v>
      </c>
      <c r="AB311" s="15">
        <f>_xlfn.XLOOKUP(tblMeasure[[#This Row],[id_src]],tblSource[id_src],tblSource[year_last_published])</f>
        <v>2019</v>
      </c>
      <c r="AC311" s="15">
        <f>_xlfn.XLOOKUP(tblMeasure[[#This Row],[id_src]],tblSource[id_src],tblSource[discontinuity])</f>
        <v>0</v>
      </c>
      <c r="AD311" s="15" t="str">
        <f>_xlfn.XLOOKUP(tblMeasure[[#This Row],[id_src]],tblSource[id_src],tblSource[publication_frequency])</f>
        <v>Annual</v>
      </c>
      <c r="AE311" s="15" t="str">
        <f>_xlfn.XLOOKUP(tblMeasure[[#This Row],[id_src]],tblSource[id_src],tblSource[publication_lag_months])</f>
        <v>TBD</v>
      </c>
      <c r="AF311" s="25" t="str">
        <f>_xlfn.XLOOKUP(tblMeasure[[#This Row],[id_src]],tblSource[id_src],tblSource[data_providers])</f>
        <v>DWP</v>
      </c>
      <c r="AG311" s="25" t="str">
        <f>_xlfn.XLOOKUP(tblMeasure[[#This Row],[id_src]],tblSource[id_src],tblSource[statistic_class])</f>
        <v>National</v>
      </c>
      <c r="AH311" s="25" t="str">
        <f>_xlfn.XLOOKUP(tblMeasure[[#This Row],[id_src]],tblSource[id_src],tblSource[methodology_link])</f>
        <v>https://assets.publishing.service.gov.uk/government/uploads/system/uploads/attachment_data/file/789455/family-resources-survey-2017-18-background-note-methodology.pdf</v>
      </c>
      <c r="AI311" s="25" t="str">
        <f>_xlfn.XLOOKUP(tblMeasure[[#This Row],[id_src]],tblSource[id_src],tblSource[quality_issues])</f>
        <v>TBD</v>
      </c>
      <c r="AJ311" s="25">
        <f>VLOOKUP(tblMeasure[[#This Row],[msr_population_or_survey]],strlu_msr_population_or_survey,2,FALSE)</f>
        <v>0</v>
      </c>
      <c r="AK311" s="25">
        <f>VLOOKUP(tblMeasure[[#This Row],[msr_min_geo_resolution]],strlu_msr_min_geo_resolution,2,FALSE)</f>
        <v>0</v>
      </c>
      <c r="AL311" s="25">
        <f>(MAX(tblMeasure[[#This Row],[src_year_last_published]]-2010+1,0)+MIN(2010-tblMeasure[[#This Row],[src_year_first_published]],0)-MAX(tblMeasure[[#This Row],[src_year_last_published]]-2019,0))/10</f>
        <v>1</v>
      </c>
      <c r="AM311" s="25">
        <f>IF(OR(tblMeasure[[#This Row],[src_discontinuity]]="None",tblMeasure[[#This Row],[src_discontinuity]]=0),1,0)</f>
        <v>1</v>
      </c>
      <c r="AN311" s="25">
        <f>VLOOKUP(tblMeasure[[#This Row],[src_pub_frequency]],strlu_src_pub_frequency,2,FALSE)</f>
        <v>0.8</v>
      </c>
      <c r="AO311" s="25">
        <f>VLOOKUP(tblMeasure[[#This Row],[src_pub_lag_months]],strlu_src_pub_lag_months,2,FALSE)</f>
        <v>0</v>
      </c>
      <c r="AP311" s="25">
        <f>VLOOKUP(tblMeasure[[#This Row],[src_statistic_class]],strlu_src_statistic_class,2,FALSE)</f>
        <v>1</v>
      </c>
      <c r="AQ311" s="25">
        <f>IF(tblMeasure[[#This Row],[src_methodology_url]]="TBD",0,1)</f>
        <v>1</v>
      </c>
      <c r="AR311" s="25">
        <f>IF(tblMeasure[[#This Row],[src_quality_url]]="TBD",0,1)</f>
        <v>0</v>
      </c>
      <c r="AS311" s="85" cm="1">
        <f t="array" ref="AS311">SUMPRODUCT(TRANSPOSE(tblMeasure[[#This Row],[str_msr_population_or_survey]:[str_src_quality_url]]),str_weights)/str_weights_total</f>
        <v>0.5461538461538461</v>
      </c>
    </row>
    <row r="312" spans="1:45" hidden="1" x14ac:dyDescent="0.15">
      <c r="A312" s="30">
        <v>310</v>
      </c>
      <c r="B312" s="15">
        <f>COUNTIF(requirement_measure_map!$D$3:$D$1514,measure!A312)</f>
        <v>6</v>
      </c>
      <c r="C312" s="30" t="s">
        <v>1065</v>
      </c>
      <c r="D312" s="15" t="s">
        <v>1090</v>
      </c>
      <c r="E312" s="15" t="s">
        <v>1011</v>
      </c>
      <c r="F312" s="15" t="s">
        <v>1096</v>
      </c>
      <c r="G312" s="29" t="s">
        <v>1092</v>
      </c>
      <c r="H312" s="15"/>
      <c r="I312" s="15" t="s">
        <v>429</v>
      </c>
      <c r="J312" s="15" t="s">
        <v>1074</v>
      </c>
      <c r="K312" s="15" t="s">
        <v>1097</v>
      </c>
      <c r="L312" s="15" t="s">
        <v>1076</v>
      </c>
      <c r="M312" s="15" t="s">
        <v>219</v>
      </c>
      <c r="N312" s="15" t="s">
        <v>219</v>
      </c>
      <c r="O312" s="15" t="s">
        <v>219</v>
      </c>
      <c r="P312" s="15" t="s">
        <v>219</v>
      </c>
      <c r="Q312" s="15" t="s">
        <v>219</v>
      </c>
      <c r="R312" s="15" t="s">
        <v>219</v>
      </c>
      <c r="S312" s="15" t="s">
        <v>220</v>
      </c>
      <c r="T312" s="15" t="s">
        <v>219</v>
      </c>
      <c r="U312" s="15" t="s">
        <v>219</v>
      </c>
      <c r="V312" s="15" t="s">
        <v>219</v>
      </c>
      <c r="W312" s="15">
        <v>20</v>
      </c>
      <c r="X312" s="15" t="str">
        <f>_xlfn.XLOOKUP(tblMeasure[[#This Row],[id_src]],tblSource[id_src],tblSource[org])</f>
        <v>DWP</v>
      </c>
      <c r="Y312" s="15" t="str">
        <f>_xlfn.XLOOKUP(tblMeasure[[#This Row],[id_src]],tblSource[id_src],tblSource[source])</f>
        <v>Family Resources Survey</v>
      </c>
      <c r="Z312" s="15" t="str">
        <f>_xlfn.XLOOKUP(tblMeasure[[#This Row],[id_src]],tblSource[id_src],tblSource[url_source])</f>
        <v>https://www.gov.uk/government/collections/family-resources-survey--2</v>
      </c>
      <c r="AA312" s="15">
        <f>_xlfn.XLOOKUP(tblMeasure[[#This Row],[id_src]],tblSource[id_src],tblSource[year_first_published])</f>
        <v>1994</v>
      </c>
      <c r="AB312" s="15">
        <f>_xlfn.XLOOKUP(tblMeasure[[#This Row],[id_src]],tblSource[id_src],tblSource[year_last_published])</f>
        <v>2019</v>
      </c>
      <c r="AC312" s="15">
        <f>_xlfn.XLOOKUP(tblMeasure[[#This Row],[id_src]],tblSource[id_src],tblSource[discontinuity])</f>
        <v>0</v>
      </c>
      <c r="AD312" s="15" t="str">
        <f>_xlfn.XLOOKUP(tblMeasure[[#This Row],[id_src]],tblSource[id_src],tblSource[publication_frequency])</f>
        <v>Annual</v>
      </c>
      <c r="AE312" s="15" t="str">
        <f>_xlfn.XLOOKUP(tblMeasure[[#This Row],[id_src]],tblSource[id_src],tblSource[publication_lag_months])</f>
        <v>TBD</v>
      </c>
      <c r="AF312" s="25" t="str">
        <f>_xlfn.XLOOKUP(tblMeasure[[#This Row],[id_src]],tblSource[id_src],tblSource[data_providers])</f>
        <v>DWP</v>
      </c>
      <c r="AG312" s="25" t="str">
        <f>_xlfn.XLOOKUP(tblMeasure[[#This Row],[id_src]],tblSource[id_src],tblSource[statistic_class])</f>
        <v>National</v>
      </c>
      <c r="AH312" s="25" t="str">
        <f>_xlfn.XLOOKUP(tblMeasure[[#This Row],[id_src]],tblSource[id_src],tblSource[methodology_link])</f>
        <v>https://assets.publishing.service.gov.uk/government/uploads/system/uploads/attachment_data/file/789455/family-resources-survey-2017-18-background-note-methodology.pdf</v>
      </c>
      <c r="AI312" s="25" t="str">
        <f>_xlfn.XLOOKUP(tblMeasure[[#This Row],[id_src]],tblSource[id_src],tblSource[quality_issues])</f>
        <v>TBD</v>
      </c>
      <c r="AJ312" s="25">
        <f>VLOOKUP(tblMeasure[[#This Row],[msr_population_or_survey]],strlu_msr_population_or_survey,2,FALSE)</f>
        <v>0</v>
      </c>
      <c r="AK312" s="25">
        <f>VLOOKUP(tblMeasure[[#This Row],[msr_min_geo_resolution]],strlu_msr_min_geo_resolution,2,FALSE)</f>
        <v>0</v>
      </c>
      <c r="AL312" s="25">
        <f>(MAX(tblMeasure[[#This Row],[src_year_last_published]]-2010+1,0)+MIN(2010-tblMeasure[[#This Row],[src_year_first_published]],0)-MAX(tblMeasure[[#This Row],[src_year_last_published]]-2019,0))/10</f>
        <v>1</v>
      </c>
      <c r="AM312" s="25">
        <f>IF(OR(tblMeasure[[#This Row],[src_discontinuity]]="None",tblMeasure[[#This Row],[src_discontinuity]]=0),1,0)</f>
        <v>1</v>
      </c>
      <c r="AN312" s="25">
        <f>VLOOKUP(tblMeasure[[#This Row],[src_pub_frequency]],strlu_src_pub_frequency,2,FALSE)</f>
        <v>0.8</v>
      </c>
      <c r="AO312" s="25">
        <f>VLOOKUP(tblMeasure[[#This Row],[src_pub_lag_months]],strlu_src_pub_lag_months,2,FALSE)</f>
        <v>0</v>
      </c>
      <c r="AP312" s="25">
        <f>VLOOKUP(tblMeasure[[#This Row],[src_statistic_class]],strlu_src_statistic_class,2,FALSE)</f>
        <v>1</v>
      </c>
      <c r="AQ312" s="25">
        <f>IF(tblMeasure[[#This Row],[src_methodology_url]]="TBD",0,1)</f>
        <v>1</v>
      </c>
      <c r="AR312" s="25">
        <f>IF(tblMeasure[[#This Row],[src_quality_url]]="TBD",0,1)</f>
        <v>0</v>
      </c>
      <c r="AS312" s="85" cm="1">
        <f t="array" ref="AS312">SUMPRODUCT(TRANSPOSE(tblMeasure[[#This Row],[str_msr_population_or_survey]:[str_src_quality_url]]),str_weights)/str_weights_total</f>
        <v>0.5461538461538461</v>
      </c>
    </row>
    <row r="313" spans="1:45" hidden="1" x14ac:dyDescent="0.15">
      <c r="A313" s="30">
        <v>311</v>
      </c>
      <c r="B313" s="15">
        <f>COUNTIF(requirement_measure_map!$D$3:$D$1514,measure!A313)</f>
        <v>3</v>
      </c>
      <c r="C313" s="30" t="s">
        <v>1065</v>
      </c>
      <c r="D313" s="15" t="s">
        <v>1090</v>
      </c>
      <c r="E313" s="15" t="s">
        <v>1014</v>
      </c>
      <c r="F313" s="15" t="s">
        <v>1098</v>
      </c>
      <c r="G313" s="29" t="s">
        <v>1092</v>
      </c>
      <c r="H313" s="15"/>
      <c r="I313" s="15" t="s">
        <v>429</v>
      </c>
      <c r="J313" s="15" t="s">
        <v>1074</v>
      </c>
      <c r="K313" s="15" t="s">
        <v>1099</v>
      </c>
      <c r="L313" s="15" t="s">
        <v>1076</v>
      </c>
      <c r="M313" s="15" t="s">
        <v>219</v>
      </c>
      <c r="N313" s="15" t="s">
        <v>219</v>
      </c>
      <c r="O313" s="15" t="s">
        <v>219</v>
      </c>
      <c r="P313" s="15" t="s">
        <v>219</v>
      </c>
      <c r="Q313" s="15" t="s">
        <v>219</v>
      </c>
      <c r="R313" s="15" t="s">
        <v>219</v>
      </c>
      <c r="S313" s="15" t="s">
        <v>220</v>
      </c>
      <c r="T313" s="15" t="s">
        <v>219</v>
      </c>
      <c r="U313" s="15" t="s">
        <v>219</v>
      </c>
      <c r="V313" s="15" t="s">
        <v>219</v>
      </c>
      <c r="W313" s="15">
        <v>20</v>
      </c>
      <c r="X313" s="15" t="str">
        <f>_xlfn.XLOOKUP(tblMeasure[[#This Row],[id_src]],tblSource[id_src],tblSource[org])</f>
        <v>DWP</v>
      </c>
      <c r="Y313" s="15" t="str">
        <f>_xlfn.XLOOKUP(tblMeasure[[#This Row],[id_src]],tblSource[id_src],tblSource[source])</f>
        <v>Family Resources Survey</v>
      </c>
      <c r="Z313" s="15" t="str">
        <f>_xlfn.XLOOKUP(tblMeasure[[#This Row],[id_src]],tblSource[id_src],tblSource[url_source])</f>
        <v>https://www.gov.uk/government/collections/family-resources-survey--2</v>
      </c>
      <c r="AA313" s="15">
        <f>_xlfn.XLOOKUP(tblMeasure[[#This Row],[id_src]],tblSource[id_src],tblSource[year_first_published])</f>
        <v>1994</v>
      </c>
      <c r="AB313" s="15">
        <f>_xlfn.XLOOKUP(tblMeasure[[#This Row],[id_src]],tblSource[id_src],tblSource[year_last_published])</f>
        <v>2019</v>
      </c>
      <c r="AC313" s="15">
        <f>_xlfn.XLOOKUP(tblMeasure[[#This Row],[id_src]],tblSource[id_src],tblSource[discontinuity])</f>
        <v>0</v>
      </c>
      <c r="AD313" s="15" t="str">
        <f>_xlfn.XLOOKUP(tblMeasure[[#This Row],[id_src]],tblSource[id_src],tblSource[publication_frequency])</f>
        <v>Annual</v>
      </c>
      <c r="AE313" s="15" t="str">
        <f>_xlfn.XLOOKUP(tblMeasure[[#This Row],[id_src]],tblSource[id_src],tblSource[publication_lag_months])</f>
        <v>TBD</v>
      </c>
      <c r="AF313" s="25" t="str">
        <f>_xlfn.XLOOKUP(tblMeasure[[#This Row],[id_src]],tblSource[id_src],tblSource[data_providers])</f>
        <v>DWP</v>
      </c>
      <c r="AG313" s="25" t="str">
        <f>_xlfn.XLOOKUP(tblMeasure[[#This Row],[id_src]],tblSource[id_src],tblSource[statistic_class])</f>
        <v>National</v>
      </c>
      <c r="AH313" s="25" t="str">
        <f>_xlfn.XLOOKUP(tblMeasure[[#This Row],[id_src]],tblSource[id_src],tblSource[methodology_link])</f>
        <v>https://assets.publishing.service.gov.uk/government/uploads/system/uploads/attachment_data/file/789455/family-resources-survey-2017-18-background-note-methodology.pdf</v>
      </c>
      <c r="AI313" s="25" t="str">
        <f>_xlfn.XLOOKUP(tblMeasure[[#This Row],[id_src]],tblSource[id_src],tblSource[quality_issues])</f>
        <v>TBD</v>
      </c>
      <c r="AJ313" s="25">
        <f>VLOOKUP(tblMeasure[[#This Row],[msr_population_or_survey]],strlu_msr_population_or_survey,2,FALSE)</f>
        <v>0</v>
      </c>
      <c r="AK313" s="25">
        <f>VLOOKUP(tblMeasure[[#This Row],[msr_min_geo_resolution]],strlu_msr_min_geo_resolution,2,FALSE)</f>
        <v>0</v>
      </c>
      <c r="AL313" s="25">
        <f>(MAX(tblMeasure[[#This Row],[src_year_last_published]]-2010+1,0)+MIN(2010-tblMeasure[[#This Row],[src_year_first_published]],0)-MAX(tblMeasure[[#This Row],[src_year_last_published]]-2019,0))/10</f>
        <v>1</v>
      </c>
      <c r="AM313" s="25">
        <f>IF(OR(tblMeasure[[#This Row],[src_discontinuity]]="None",tblMeasure[[#This Row],[src_discontinuity]]=0),1,0)</f>
        <v>1</v>
      </c>
      <c r="AN313" s="25">
        <f>VLOOKUP(tblMeasure[[#This Row],[src_pub_frequency]],strlu_src_pub_frequency,2,FALSE)</f>
        <v>0.8</v>
      </c>
      <c r="AO313" s="25">
        <f>VLOOKUP(tblMeasure[[#This Row],[src_pub_lag_months]],strlu_src_pub_lag_months,2,FALSE)</f>
        <v>0</v>
      </c>
      <c r="AP313" s="25">
        <f>VLOOKUP(tblMeasure[[#This Row],[src_statistic_class]],strlu_src_statistic_class,2,FALSE)</f>
        <v>1</v>
      </c>
      <c r="AQ313" s="25">
        <f>IF(tblMeasure[[#This Row],[src_methodology_url]]="TBD",0,1)</f>
        <v>1</v>
      </c>
      <c r="AR313" s="25">
        <f>IF(tblMeasure[[#This Row],[src_quality_url]]="TBD",0,1)</f>
        <v>0</v>
      </c>
      <c r="AS313" s="85" cm="1">
        <f t="array" ref="AS313">SUMPRODUCT(TRANSPOSE(tblMeasure[[#This Row],[str_msr_population_or_survey]:[str_src_quality_url]]),str_weights)/str_weights_total</f>
        <v>0.5461538461538461</v>
      </c>
    </row>
    <row r="314" spans="1:45" hidden="1" x14ac:dyDescent="0.15">
      <c r="A314" s="30">
        <v>312</v>
      </c>
      <c r="B314" s="15">
        <f>COUNTIF(requirement_measure_map!$D$3:$D$1514,measure!A314)</f>
        <v>4</v>
      </c>
      <c r="C314" s="30" t="s">
        <v>1065</v>
      </c>
      <c r="D314" s="15" t="s">
        <v>1090</v>
      </c>
      <c r="E314" s="15" t="s">
        <v>1017</v>
      </c>
      <c r="F314" s="15" t="s">
        <v>1100</v>
      </c>
      <c r="G314" s="29" t="s">
        <v>1092</v>
      </c>
      <c r="H314" s="15"/>
      <c r="I314" s="15" t="s">
        <v>429</v>
      </c>
      <c r="J314" s="15" t="s">
        <v>1074</v>
      </c>
      <c r="K314" s="15" t="s">
        <v>1101</v>
      </c>
      <c r="L314" s="15" t="s">
        <v>1076</v>
      </c>
      <c r="M314" s="15" t="s">
        <v>219</v>
      </c>
      <c r="N314" s="15" t="s">
        <v>219</v>
      </c>
      <c r="O314" s="15" t="s">
        <v>219</v>
      </c>
      <c r="P314" s="15" t="s">
        <v>219</v>
      </c>
      <c r="Q314" s="15" t="s">
        <v>219</v>
      </c>
      <c r="R314" s="15" t="s">
        <v>219</v>
      </c>
      <c r="S314" s="15" t="s">
        <v>220</v>
      </c>
      <c r="T314" s="15" t="s">
        <v>219</v>
      </c>
      <c r="U314" s="15" t="s">
        <v>219</v>
      </c>
      <c r="V314" s="15" t="s">
        <v>219</v>
      </c>
      <c r="W314" s="15">
        <v>20</v>
      </c>
      <c r="X314" s="15" t="str">
        <f>_xlfn.XLOOKUP(tblMeasure[[#This Row],[id_src]],tblSource[id_src],tblSource[org])</f>
        <v>DWP</v>
      </c>
      <c r="Y314" s="15" t="str">
        <f>_xlfn.XLOOKUP(tblMeasure[[#This Row],[id_src]],tblSource[id_src],tblSource[source])</f>
        <v>Family Resources Survey</v>
      </c>
      <c r="Z314" s="15" t="str">
        <f>_xlfn.XLOOKUP(tblMeasure[[#This Row],[id_src]],tblSource[id_src],tblSource[url_source])</f>
        <v>https://www.gov.uk/government/collections/family-resources-survey--2</v>
      </c>
      <c r="AA314" s="15">
        <f>_xlfn.XLOOKUP(tblMeasure[[#This Row],[id_src]],tblSource[id_src],tblSource[year_first_published])</f>
        <v>1994</v>
      </c>
      <c r="AB314" s="15">
        <f>_xlfn.XLOOKUP(tblMeasure[[#This Row],[id_src]],tblSource[id_src],tblSource[year_last_published])</f>
        <v>2019</v>
      </c>
      <c r="AC314" s="15">
        <f>_xlfn.XLOOKUP(tblMeasure[[#This Row],[id_src]],tblSource[id_src],tblSource[discontinuity])</f>
        <v>0</v>
      </c>
      <c r="AD314" s="15" t="str">
        <f>_xlfn.XLOOKUP(tblMeasure[[#This Row],[id_src]],tblSource[id_src],tblSource[publication_frequency])</f>
        <v>Annual</v>
      </c>
      <c r="AE314" s="15" t="str">
        <f>_xlfn.XLOOKUP(tblMeasure[[#This Row],[id_src]],tblSource[id_src],tblSource[publication_lag_months])</f>
        <v>TBD</v>
      </c>
      <c r="AF314" s="25" t="str">
        <f>_xlfn.XLOOKUP(tblMeasure[[#This Row],[id_src]],tblSource[id_src],tblSource[data_providers])</f>
        <v>DWP</v>
      </c>
      <c r="AG314" s="25" t="str">
        <f>_xlfn.XLOOKUP(tblMeasure[[#This Row],[id_src]],tblSource[id_src],tblSource[statistic_class])</f>
        <v>National</v>
      </c>
      <c r="AH314" s="25" t="str">
        <f>_xlfn.XLOOKUP(tblMeasure[[#This Row],[id_src]],tblSource[id_src],tblSource[methodology_link])</f>
        <v>https://assets.publishing.service.gov.uk/government/uploads/system/uploads/attachment_data/file/789455/family-resources-survey-2017-18-background-note-methodology.pdf</v>
      </c>
      <c r="AI314" s="25" t="str">
        <f>_xlfn.XLOOKUP(tblMeasure[[#This Row],[id_src]],tblSource[id_src],tblSource[quality_issues])</f>
        <v>TBD</v>
      </c>
      <c r="AJ314" s="25">
        <f>VLOOKUP(tblMeasure[[#This Row],[msr_population_or_survey]],strlu_msr_population_or_survey,2,FALSE)</f>
        <v>0</v>
      </c>
      <c r="AK314" s="25">
        <f>VLOOKUP(tblMeasure[[#This Row],[msr_min_geo_resolution]],strlu_msr_min_geo_resolution,2,FALSE)</f>
        <v>0</v>
      </c>
      <c r="AL314" s="25">
        <f>(MAX(tblMeasure[[#This Row],[src_year_last_published]]-2010+1,0)+MIN(2010-tblMeasure[[#This Row],[src_year_first_published]],0)-MAX(tblMeasure[[#This Row],[src_year_last_published]]-2019,0))/10</f>
        <v>1</v>
      </c>
      <c r="AM314" s="25">
        <f>IF(OR(tblMeasure[[#This Row],[src_discontinuity]]="None",tblMeasure[[#This Row],[src_discontinuity]]=0),1,0)</f>
        <v>1</v>
      </c>
      <c r="AN314" s="25">
        <f>VLOOKUP(tblMeasure[[#This Row],[src_pub_frequency]],strlu_src_pub_frequency,2,FALSE)</f>
        <v>0.8</v>
      </c>
      <c r="AO314" s="25">
        <f>VLOOKUP(tblMeasure[[#This Row],[src_pub_lag_months]],strlu_src_pub_lag_months,2,FALSE)</f>
        <v>0</v>
      </c>
      <c r="AP314" s="25">
        <f>VLOOKUP(tblMeasure[[#This Row],[src_statistic_class]],strlu_src_statistic_class,2,FALSE)</f>
        <v>1</v>
      </c>
      <c r="AQ314" s="25">
        <f>IF(tblMeasure[[#This Row],[src_methodology_url]]="TBD",0,1)</f>
        <v>1</v>
      </c>
      <c r="AR314" s="25">
        <f>IF(tblMeasure[[#This Row],[src_quality_url]]="TBD",0,1)</f>
        <v>0</v>
      </c>
      <c r="AS314" s="85" cm="1">
        <f t="array" ref="AS314">SUMPRODUCT(TRANSPOSE(tblMeasure[[#This Row],[str_msr_population_or_survey]:[str_src_quality_url]]),str_weights)/str_weights_total</f>
        <v>0.5461538461538461</v>
      </c>
    </row>
    <row r="315" spans="1:45" hidden="1" x14ac:dyDescent="0.15">
      <c r="A315" s="30">
        <v>313</v>
      </c>
      <c r="B315" s="15">
        <f>COUNTIF(requirement_measure_map!$D$3:$D$1514,measure!A315)</f>
        <v>4</v>
      </c>
      <c r="C315" s="30" t="s">
        <v>857</v>
      </c>
      <c r="D315" s="15" t="s">
        <v>1090</v>
      </c>
      <c r="E315" s="15" t="s">
        <v>1020</v>
      </c>
      <c r="F315" s="15" t="s">
        <v>1102</v>
      </c>
      <c r="G315" s="29" t="s">
        <v>1092</v>
      </c>
      <c r="H315" s="15"/>
      <c r="I315" s="15" t="s">
        <v>429</v>
      </c>
      <c r="J315" s="15" t="s">
        <v>1074</v>
      </c>
      <c r="K315" s="15" t="s">
        <v>1103</v>
      </c>
      <c r="L315" s="15" t="s">
        <v>1076</v>
      </c>
      <c r="M315" s="15" t="s">
        <v>219</v>
      </c>
      <c r="N315" s="15" t="s">
        <v>219</v>
      </c>
      <c r="O315" s="15" t="s">
        <v>219</v>
      </c>
      <c r="P315" s="15" t="s">
        <v>219</v>
      </c>
      <c r="Q315" s="15" t="s">
        <v>219</v>
      </c>
      <c r="R315" s="15" t="s">
        <v>219</v>
      </c>
      <c r="S315" s="15" t="s">
        <v>220</v>
      </c>
      <c r="T315" s="15" t="s">
        <v>219</v>
      </c>
      <c r="U315" s="15" t="s">
        <v>219</v>
      </c>
      <c r="V315" s="15" t="s">
        <v>219</v>
      </c>
      <c r="W315" s="15">
        <v>20</v>
      </c>
      <c r="X315" s="15" t="str">
        <f>_xlfn.XLOOKUP(tblMeasure[[#This Row],[id_src]],tblSource[id_src],tblSource[org])</f>
        <v>DWP</v>
      </c>
      <c r="Y315" s="15" t="str">
        <f>_xlfn.XLOOKUP(tblMeasure[[#This Row],[id_src]],tblSource[id_src],tblSource[source])</f>
        <v>Family Resources Survey</v>
      </c>
      <c r="Z315" s="15" t="str">
        <f>_xlfn.XLOOKUP(tblMeasure[[#This Row],[id_src]],tblSource[id_src],tblSource[url_source])</f>
        <v>https://www.gov.uk/government/collections/family-resources-survey--2</v>
      </c>
      <c r="AA315" s="15">
        <f>_xlfn.XLOOKUP(tblMeasure[[#This Row],[id_src]],tblSource[id_src],tblSource[year_first_published])</f>
        <v>1994</v>
      </c>
      <c r="AB315" s="15">
        <f>_xlfn.XLOOKUP(tblMeasure[[#This Row],[id_src]],tblSource[id_src],tblSource[year_last_published])</f>
        <v>2019</v>
      </c>
      <c r="AC315" s="15">
        <f>_xlfn.XLOOKUP(tblMeasure[[#This Row],[id_src]],tblSource[id_src],tblSource[discontinuity])</f>
        <v>0</v>
      </c>
      <c r="AD315" s="15" t="str">
        <f>_xlfn.XLOOKUP(tblMeasure[[#This Row],[id_src]],tblSource[id_src],tblSource[publication_frequency])</f>
        <v>Annual</v>
      </c>
      <c r="AE315" s="15" t="str">
        <f>_xlfn.XLOOKUP(tblMeasure[[#This Row],[id_src]],tblSource[id_src],tblSource[publication_lag_months])</f>
        <v>TBD</v>
      </c>
      <c r="AF315" s="25" t="str">
        <f>_xlfn.XLOOKUP(tblMeasure[[#This Row],[id_src]],tblSource[id_src],tblSource[data_providers])</f>
        <v>DWP</v>
      </c>
      <c r="AG315" s="25" t="str">
        <f>_xlfn.XLOOKUP(tblMeasure[[#This Row],[id_src]],tblSource[id_src],tblSource[statistic_class])</f>
        <v>National</v>
      </c>
      <c r="AH315" s="25" t="str">
        <f>_xlfn.XLOOKUP(tblMeasure[[#This Row],[id_src]],tblSource[id_src],tblSource[methodology_link])</f>
        <v>https://assets.publishing.service.gov.uk/government/uploads/system/uploads/attachment_data/file/789455/family-resources-survey-2017-18-background-note-methodology.pdf</v>
      </c>
      <c r="AI315" s="25" t="str">
        <f>_xlfn.XLOOKUP(tblMeasure[[#This Row],[id_src]],tblSource[id_src],tblSource[quality_issues])</f>
        <v>TBD</v>
      </c>
      <c r="AJ315" s="25">
        <f>VLOOKUP(tblMeasure[[#This Row],[msr_population_or_survey]],strlu_msr_population_or_survey,2,FALSE)</f>
        <v>0</v>
      </c>
      <c r="AK315" s="25">
        <f>VLOOKUP(tblMeasure[[#This Row],[msr_min_geo_resolution]],strlu_msr_min_geo_resolution,2,FALSE)</f>
        <v>0</v>
      </c>
      <c r="AL315" s="25">
        <f>(MAX(tblMeasure[[#This Row],[src_year_last_published]]-2010+1,0)+MIN(2010-tblMeasure[[#This Row],[src_year_first_published]],0)-MAX(tblMeasure[[#This Row],[src_year_last_published]]-2019,0))/10</f>
        <v>1</v>
      </c>
      <c r="AM315" s="25">
        <f>IF(OR(tblMeasure[[#This Row],[src_discontinuity]]="None",tblMeasure[[#This Row],[src_discontinuity]]=0),1,0)</f>
        <v>1</v>
      </c>
      <c r="AN315" s="25">
        <f>VLOOKUP(tblMeasure[[#This Row],[src_pub_frequency]],strlu_src_pub_frequency,2,FALSE)</f>
        <v>0.8</v>
      </c>
      <c r="AO315" s="25">
        <f>VLOOKUP(tblMeasure[[#This Row],[src_pub_lag_months]],strlu_src_pub_lag_months,2,FALSE)</f>
        <v>0</v>
      </c>
      <c r="AP315" s="25">
        <f>VLOOKUP(tblMeasure[[#This Row],[src_statistic_class]],strlu_src_statistic_class,2,FALSE)</f>
        <v>1</v>
      </c>
      <c r="AQ315" s="25">
        <f>IF(tblMeasure[[#This Row],[src_methodology_url]]="TBD",0,1)</f>
        <v>1</v>
      </c>
      <c r="AR315" s="25">
        <f>IF(tblMeasure[[#This Row],[src_quality_url]]="TBD",0,1)</f>
        <v>0</v>
      </c>
      <c r="AS315" s="85" cm="1">
        <f t="array" ref="AS315">SUMPRODUCT(TRANSPOSE(tblMeasure[[#This Row],[str_msr_population_or_survey]:[str_src_quality_url]]),str_weights)/str_weights_total</f>
        <v>0.5461538461538461</v>
      </c>
    </row>
    <row r="316" spans="1:45" hidden="1" x14ac:dyDescent="0.15">
      <c r="A316" s="30">
        <v>314</v>
      </c>
      <c r="B316" s="15">
        <f>COUNTIF(requirement_measure_map!$D$3:$D$1514,measure!A316)</f>
        <v>3</v>
      </c>
      <c r="C316" s="30" t="s">
        <v>857</v>
      </c>
      <c r="D316" s="15" t="s">
        <v>1090</v>
      </c>
      <c r="E316" s="15" t="s">
        <v>1023</v>
      </c>
      <c r="F316" s="15" t="s">
        <v>1104</v>
      </c>
      <c r="G316" s="29" t="s">
        <v>1092</v>
      </c>
      <c r="H316" s="15"/>
      <c r="I316" s="15" t="s">
        <v>429</v>
      </c>
      <c r="J316" s="15" t="s">
        <v>1074</v>
      </c>
      <c r="K316" s="15" t="s">
        <v>1105</v>
      </c>
      <c r="L316" s="15" t="s">
        <v>1076</v>
      </c>
      <c r="M316" s="15" t="s">
        <v>219</v>
      </c>
      <c r="N316" s="15" t="s">
        <v>219</v>
      </c>
      <c r="O316" s="15" t="s">
        <v>219</v>
      </c>
      <c r="P316" s="15" t="s">
        <v>219</v>
      </c>
      <c r="Q316" s="15" t="s">
        <v>219</v>
      </c>
      <c r="R316" s="15" t="s">
        <v>219</v>
      </c>
      <c r="S316" s="15" t="s">
        <v>220</v>
      </c>
      <c r="T316" s="15" t="s">
        <v>219</v>
      </c>
      <c r="U316" s="15" t="s">
        <v>219</v>
      </c>
      <c r="V316" s="15" t="s">
        <v>219</v>
      </c>
      <c r="W316" s="15">
        <v>20</v>
      </c>
      <c r="X316" s="15" t="str">
        <f>_xlfn.XLOOKUP(tblMeasure[[#This Row],[id_src]],tblSource[id_src],tblSource[org])</f>
        <v>DWP</v>
      </c>
      <c r="Y316" s="15" t="str">
        <f>_xlfn.XLOOKUP(tblMeasure[[#This Row],[id_src]],tblSource[id_src],tblSource[source])</f>
        <v>Family Resources Survey</v>
      </c>
      <c r="Z316" s="15" t="str">
        <f>_xlfn.XLOOKUP(tblMeasure[[#This Row],[id_src]],tblSource[id_src],tblSource[url_source])</f>
        <v>https://www.gov.uk/government/collections/family-resources-survey--2</v>
      </c>
      <c r="AA316" s="15">
        <f>_xlfn.XLOOKUP(tblMeasure[[#This Row],[id_src]],tblSource[id_src],tblSource[year_first_published])</f>
        <v>1994</v>
      </c>
      <c r="AB316" s="15">
        <f>_xlfn.XLOOKUP(tblMeasure[[#This Row],[id_src]],tblSource[id_src],tblSource[year_last_published])</f>
        <v>2019</v>
      </c>
      <c r="AC316" s="15">
        <f>_xlfn.XLOOKUP(tblMeasure[[#This Row],[id_src]],tblSource[id_src],tblSource[discontinuity])</f>
        <v>0</v>
      </c>
      <c r="AD316" s="15" t="str">
        <f>_xlfn.XLOOKUP(tblMeasure[[#This Row],[id_src]],tblSource[id_src],tblSource[publication_frequency])</f>
        <v>Annual</v>
      </c>
      <c r="AE316" s="15" t="str">
        <f>_xlfn.XLOOKUP(tblMeasure[[#This Row],[id_src]],tblSource[id_src],tblSource[publication_lag_months])</f>
        <v>TBD</v>
      </c>
      <c r="AF316" s="25" t="str">
        <f>_xlfn.XLOOKUP(tblMeasure[[#This Row],[id_src]],tblSource[id_src],tblSource[data_providers])</f>
        <v>DWP</v>
      </c>
      <c r="AG316" s="25" t="str">
        <f>_xlfn.XLOOKUP(tblMeasure[[#This Row],[id_src]],tblSource[id_src],tblSource[statistic_class])</f>
        <v>National</v>
      </c>
      <c r="AH316" s="25" t="str">
        <f>_xlfn.XLOOKUP(tblMeasure[[#This Row],[id_src]],tblSource[id_src],tblSource[methodology_link])</f>
        <v>https://assets.publishing.service.gov.uk/government/uploads/system/uploads/attachment_data/file/789455/family-resources-survey-2017-18-background-note-methodology.pdf</v>
      </c>
      <c r="AI316" s="25" t="str">
        <f>_xlfn.XLOOKUP(tblMeasure[[#This Row],[id_src]],tblSource[id_src],tblSource[quality_issues])</f>
        <v>TBD</v>
      </c>
      <c r="AJ316" s="25">
        <f>VLOOKUP(tblMeasure[[#This Row],[msr_population_or_survey]],strlu_msr_population_or_survey,2,FALSE)</f>
        <v>0</v>
      </c>
      <c r="AK316" s="25">
        <f>VLOOKUP(tblMeasure[[#This Row],[msr_min_geo_resolution]],strlu_msr_min_geo_resolution,2,FALSE)</f>
        <v>0</v>
      </c>
      <c r="AL316" s="25">
        <f>(MAX(tblMeasure[[#This Row],[src_year_last_published]]-2010+1,0)+MIN(2010-tblMeasure[[#This Row],[src_year_first_published]],0)-MAX(tblMeasure[[#This Row],[src_year_last_published]]-2019,0))/10</f>
        <v>1</v>
      </c>
      <c r="AM316" s="25">
        <f>IF(OR(tblMeasure[[#This Row],[src_discontinuity]]="None",tblMeasure[[#This Row],[src_discontinuity]]=0),1,0)</f>
        <v>1</v>
      </c>
      <c r="AN316" s="25">
        <f>VLOOKUP(tblMeasure[[#This Row],[src_pub_frequency]],strlu_src_pub_frequency,2,FALSE)</f>
        <v>0.8</v>
      </c>
      <c r="AO316" s="25">
        <f>VLOOKUP(tblMeasure[[#This Row],[src_pub_lag_months]],strlu_src_pub_lag_months,2,FALSE)</f>
        <v>0</v>
      </c>
      <c r="AP316" s="25">
        <f>VLOOKUP(tblMeasure[[#This Row],[src_statistic_class]],strlu_src_statistic_class,2,FALSE)</f>
        <v>1</v>
      </c>
      <c r="AQ316" s="25">
        <f>IF(tblMeasure[[#This Row],[src_methodology_url]]="TBD",0,1)</f>
        <v>1</v>
      </c>
      <c r="AR316" s="25">
        <f>IF(tblMeasure[[#This Row],[src_quality_url]]="TBD",0,1)</f>
        <v>0</v>
      </c>
      <c r="AS316" s="85" cm="1">
        <f t="array" ref="AS316">SUMPRODUCT(TRANSPOSE(tblMeasure[[#This Row],[str_msr_population_or_survey]:[str_src_quality_url]]),str_weights)/str_weights_total</f>
        <v>0.5461538461538461</v>
      </c>
    </row>
    <row r="317" spans="1:45" hidden="1" x14ac:dyDescent="0.15">
      <c r="A317" s="30">
        <v>315</v>
      </c>
      <c r="B317" s="15">
        <f>COUNTIF(requirement_measure_map!$D$3:$D$1514,measure!A317)</f>
        <v>2</v>
      </c>
      <c r="C317" s="30" t="s">
        <v>857</v>
      </c>
      <c r="D317" s="15" t="s">
        <v>1090</v>
      </c>
      <c r="E317" s="15" t="s">
        <v>1026</v>
      </c>
      <c r="F317" s="15" t="s">
        <v>1106</v>
      </c>
      <c r="G317" s="29" t="s">
        <v>1092</v>
      </c>
      <c r="H317" s="15"/>
      <c r="I317" s="15" t="s">
        <v>429</v>
      </c>
      <c r="J317" s="15" t="s">
        <v>1074</v>
      </c>
      <c r="K317" s="15" t="s">
        <v>1107</v>
      </c>
      <c r="L317" s="15" t="s">
        <v>1076</v>
      </c>
      <c r="M317" s="15" t="s">
        <v>741</v>
      </c>
      <c r="N317" s="15" t="s">
        <v>220</v>
      </c>
      <c r="O317" s="15" t="s">
        <v>219</v>
      </c>
      <c r="P317" s="15" t="s">
        <v>219</v>
      </c>
      <c r="Q317" s="15" t="s">
        <v>219</v>
      </c>
      <c r="R317" s="15" t="s">
        <v>219</v>
      </c>
      <c r="S317" s="15" t="s">
        <v>219</v>
      </c>
      <c r="T317" s="15" t="s">
        <v>219</v>
      </c>
      <c r="U317" s="15" t="s">
        <v>219</v>
      </c>
      <c r="V317" s="15" t="s">
        <v>219</v>
      </c>
      <c r="W317" s="15">
        <v>20</v>
      </c>
      <c r="X317" s="15" t="str">
        <f>_xlfn.XLOOKUP(tblMeasure[[#This Row],[id_src]],tblSource[id_src],tblSource[org])</f>
        <v>DWP</v>
      </c>
      <c r="Y317" s="15" t="str">
        <f>_xlfn.XLOOKUP(tblMeasure[[#This Row],[id_src]],tblSource[id_src],tblSource[source])</f>
        <v>Family Resources Survey</v>
      </c>
      <c r="Z317" s="15" t="str">
        <f>_xlfn.XLOOKUP(tblMeasure[[#This Row],[id_src]],tblSource[id_src],tblSource[url_source])</f>
        <v>https://www.gov.uk/government/collections/family-resources-survey--2</v>
      </c>
      <c r="AA317" s="15">
        <f>_xlfn.XLOOKUP(tblMeasure[[#This Row],[id_src]],tblSource[id_src],tblSource[year_first_published])</f>
        <v>1994</v>
      </c>
      <c r="AB317" s="15">
        <f>_xlfn.XLOOKUP(tblMeasure[[#This Row],[id_src]],tblSource[id_src],tblSource[year_last_published])</f>
        <v>2019</v>
      </c>
      <c r="AC317" s="15">
        <f>_xlfn.XLOOKUP(tblMeasure[[#This Row],[id_src]],tblSource[id_src],tblSource[discontinuity])</f>
        <v>0</v>
      </c>
      <c r="AD317" s="15" t="str">
        <f>_xlfn.XLOOKUP(tblMeasure[[#This Row],[id_src]],tblSource[id_src],tblSource[publication_frequency])</f>
        <v>Annual</v>
      </c>
      <c r="AE317" s="15" t="str">
        <f>_xlfn.XLOOKUP(tblMeasure[[#This Row],[id_src]],tblSource[id_src],tblSource[publication_lag_months])</f>
        <v>TBD</v>
      </c>
      <c r="AF317" s="25" t="str">
        <f>_xlfn.XLOOKUP(tblMeasure[[#This Row],[id_src]],tblSource[id_src],tblSource[data_providers])</f>
        <v>DWP</v>
      </c>
      <c r="AG317" s="25" t="str">
        <f>_xlfn.XLOOKUP(tblMeasure[[#This Row],[id_src]],tblSource[id_src],tblSource[statistic_class])</f>
        <v>National</v>
      </c>
      <c r="AH317" s="25" t="str">
        <f>_xlfn.XLOOKUP(tblMeasure[[#This Row],[id_src]],tblSource[id_src],tblSource[methodology_link])</f>
        <v>https://assets.publishing.service.gov.uk/government/uploads/system/uploads/attachment_data/file/789455/family-resources-survey-2017-18-background-note-methodology.pdf</v>
      </c>
      <c r="AI317" s="25" t="str">
        <f>_xlfn.XLOOKUP(tblMeasure[[#This Row],[id_src]],tblSource[id_src],tblSource[quality_issues])</f>
        <v>TBD</v>
      </c>
      <c r="AJ317" s="25">
        <f>VLOOKUP(tblMeasure[[#This Row],[msr_population_or_survey]],strlu_msr_population_or_survey,2,FALSE)</f>
        <v>0</v>
      </c>
      <c r="AK317" s="25">
        <f>VLOOKUP(tblMeasure[[#This Row],[msr_min_geo_resolution]],strlu_msr_min_geo_resolution,2,FALSE)</f>
        <v>0</v>
      </c>
      <c r="AL317" s="25">
        <f>(MAX(tblMeasure[[#This Row],[src_year_last_published]]-2010+1,0)+MIN(2010-tblMeasure[[#This Row],[src_year_first_published]],0)-MAX(tblMeasure[[#This Row],[src_year_last_published]]-2019,0))/10</f>
        <v>1</v>
      </c>
      <c r="AM317" s="25">
        <f>IF(OR(tblMeasure[[#This Row],[src_discontinuity]]="None",tblMeasure[[#This Row],[src_discontinuity]]=0),1,0)</f>
        <v>1</v>
      </c>
      <c r="AN317" s="25">
        <f>VLOOKUP(tblMeasure[[#This Row],[src_pub_frequency]],strlu_src_pub_frequency,2,FALSE)</f>
        <v>0.8</v>
      </c>
      <c r="AO317" s="25">
        <f>VLOOKUP(tblMeasure[[#This Row],[src_pub_lag_months]],strlu_src_pub_lag_months,2,FALSE)</f>
        <v>0</v>
      </c>
      <c r="AP317" s="25">
        <f>VLOOKUP(tblMeasure[[#This Row],[src_statistic_class]],strlu_src_statistic_class,2,FALSE)</f>
        <v>1</v>
      </c>
      <c r="AQ317" s="25">
        <f>IF(tblMeasure[[#This Row],[src_methodology_url]]="TBD",0,1)</f>
        <v>1</v>
      </c>
      <c r="AR317" s="25">
        <f>IF(tblMeasure[[#This Row],[src_quality_url]]="TBD",0,1)</f>
        <v>0</v>
      </c>
      <c r="AS317" s="85" cm="1">
        <f t="array" ref="AS317">SUMPRODUCT(TRANSPOSE(tblMeasure[[#This Row],[str_msr_population_or_survey]:[str_src_quality_url]]),str_weights)/str_weights_total</f>
        <v>0.5461538461538461</v>
      </c>
    </row>
    <row r="318" spans="1:45" hidden="1" x14ac:dyDescent="0.15">
      <c r="A318" s="30">
        <v>316</v>
      </c>
      <c r="B318" s="15">
        <f>COUNTIF(requirement_measure_map!$D$3:$D$1514,measure!A318)</f>
        <v>1</v>
      </c>
      <c r="C318" s="30" t="s">
        <v>857</v>
      </c>
      <c r="D318" s="15" t="s">
        <v>1090</v>
      </c>
      <c r="E318" s="15" t="s">
        <v>1029</v>
      </c>
      <c r="F318" s="15" t="s">
        <v>1108</v>
      </c>
      <c r="G318" s="29" t="s">
        <v>1092</v>
      </c>
      <c r="H318" s="15"/>
      <c r="I318" s="15" t="s">
        <v>429</v>
      </c>
      <c r="J318" s="15" t="s">
        <v>1074</v>
      </c>
      <c r="K318" s="15" t="s">
        <v>1109</v>
      </c>
      <c r="L318" s="15" t="s">
        <v>1076</v>
      </c>
      <c r="M318" s="15" t="s">
        <v>741</v>
      </c>
      <c r="N318" s="15" t="s">
        <v>219</v>
      </c>
      <c r="O318" s="15" t="s">
        <v>219</v>
      </c>
      <c r="P318" s="15" t="s">
        <v>219</v>
      </c>
      <c r="Q318" s="15" t="s">
        <v>219</v>
      </c>
      <c r="R318" s="15" t="s">
        <v>219</v>
      </c>
      <c r="S318" s="15" t="s">
        <v>219</v>
      </c>
      <c r="T318" s="15" t="s">
        <v>219</v>
      </c>
      <c r="U318" s="15" t="s">
        <v>219</v>
      </c>
      <c r="V318" s="15" t="s">
        <v>219</v>
      </c>
      <c r="W318" s="15">
        <v>20</v>
      </c>
      <c r="X318" s="15" t="str">
        <f>_xlfn.XLOOKUP(tblMeasure[[#This Row],[id_src]],tblSource[id_src],tblSource[org])</f>
        <v>DWP</v>
      </c>
      <c r="Y318" s="15" t="str">
        <f>_xlfn.XLOOKUP(tblMeasure[[#This Row],[id_src]],tblSource[id_src],tblSource[source])</f>
        <v>Family Resources Survey</v>
      </c>
      <c r="Z318" s="15" t="str">
        <f>_xlfn.XLOOKUP(tblMeasure[[#This Row],[id_src]],tblSource[id_src],tblSource[url_source])</f>
        <v>https://www.gov.uk/government/collections/family-resources-survey--2</v>
      </c>
      <c r="AA318" s="15">
        <f>_xlfn.XLOOKUP(tblMeasure[[#This Row],[id_src]],tblSource[id_src],tblSource[year_first_published])</f>
        <v>1994</v>
      </c>
      <c r="AB318" s="15">
        <f>_xlfn.XLOOKUP(tblMeasure[[#This Row],[id_src]],tblSource[id_src],tblSource[year_last_published])</f>
        <v>2019</v>
      </c>
      <c r="AC318" s="15">
        <f>_xlfn.XLOOKUP(tblMeasure[[#This Row],[id_src]],tblSource[id_src],tblSource[discontinuity])</f>
        <v>0</v>
      </c>
      <c r="AD318" s="15" t="str">
        <f>_xlfn.XLOOKUP(tblMeasure[[#This Row],[id_src]],tblSource[id_src],tblSource[publication_frequency])</f>
        <v>Annual</v>
      </c>
      <c r="AE318" s="15" t="str">
        <f>_xlfn.XLOOKUP(tblMeasure[[#This Row],[id_src]],tblSource[id_src],tblSource[publication_lag_months])</f>
        <v>TBD</v>
      </c>
      <c r="AF318" s="25" t="str">
        <f>_xlfn.XLOOKUP(tblMeasure[[#This Row],[id_src]],tblSource[id_src],tblSource[data_providers])</f>
        <v>DWP</v>
      </c>
      <c r="AG318" s="25" t="str">
        <f>_xlfn.XLOOKUP(tblMeasure[[#This Row],[id_src]],tblSource[id_src],tblSource[statistic_class])</f>
        <v>National</v>
      </c>
      <c r="AH318" s="25" t="str">
        <f>_xlfn.XLOOKUP(tblMeasure[[#This Row],[id_src]],tblSource[id_src],tblSource[methodology_link])</f>
        <v>https://assets.publishing.service.gov.uk/government/uploads/system/uploads/attachment_data/file/789455/family-resources-survey-2017-18-background-note-methodology.pdf</v>
      </c>
      <c r="AI318" s="25" t="str">
        <f>_xlfn.XLOOKUP(tblMeasure[[#This Row],[id_src]],tblSource[id_src],tblSource[quality_issues])</f>
        <v>TBD</v>
      </c>
      <c r="AJ318" s="25">
        <f>VLOOKUP(tblMeasure[[#This Row],[msr_population_or_survey]],strlu_msr_population_or_survey,2,FALSE)</f>
        <v>0</v>
      </c>
      <c r="AK318" s="25">
        <f>VLOOKUP(tblMeasure[[#This Row],[msr_min_geo_resolution]],strlu_msr_min_geo_resolution,2,FALSE)</f>
        <v>0</v>
      </c>
      <c r="AL318" s="25">
        <f>(MAX(tblMeasure[[#This Row],[src_year_last_published]]-2010+1,0)+MIN(2010-tblMeasure[[#This Row],[src_year_first_published]],0)-MAX(tblMeasure[[#This Row],[src_year_last_published]]-2019,0))/10</f>
        <v>1</v>
      </c>
      <c r="AM318" s="25">
        <f>IF(OR(tblMeasure[[#This Row],[src_discontinuity]]="None",tblMeasure[[#This Row],[src_discontinuity]]=0),1,0)</f>
        <v>1</v>
      </c>
      <c r="AN318" s="25">
        <f>VLOOKUP(tblMeasure[[#This Row],[src_pub_frequency]],strlu_src_pub_frequency,2,FALSE)</f>
        <v>0.8</v>
      </c>
      <c r="AO318" s="25">
        <f>VLOOKUP(tblMeasure[[#This Row],[src_pub_lag_months]],strlu_src_pub_lag_months,2,FALSE)</f>
        <v>0</v>
      </c>
      <c r="AP318" s="25">
        <f>VLOOKUP(tblMeasure[[#This Row],[src_statistic_class]],strlu_src_statistic_class,2,FALSE)</f>
        <v>1</v>
      </c>
      <c r="AQ318" s="25">
        <f>IF(tblMeasure[[#This Row],[src_methodology_url]]="TBD",0,1)</f>
        <v>1</v>
      </c>
      <c r="AR318" s="25">
        <f>IF(tblMeasure[[#This Row],[src_quality_url]]="TBD",0,1)</f>
        <v>0</v>
      </c>
      <c r="AS318" s="85" cm="1">
        <f t="array" ref="AS318">SUMPRODUCT(TRANSPOSE(tblMeasure[[#This Row],[str_msr_population_or_survey]:[str_src_quality_url]]),str_weights)/str_weights_total</f>
        <v>0.5461538461538461</v>
      </c>
    </row>
    <row r="319" spans="1:45" hidden="1" x14ac:dyDescent="0.15">
      <c r="A319" s="30">
        <v>317</v>
      </c>
      <c r="B319" s="15">
        <f>COUNTIF(requirement_measure_map!$D$3:$D$1514,measure!A319)</f>
        <v>3</v>
      </c>
      <c r="C319" s="30" t="s">
        <v>857</v>
      </c>
      <c r="D319" s="15" t="s">
        <v>1090</v>
      </c>
      <c r="E319" s="15" t="s">
        <v>1032</v>
      </c>
      <c r="F319" s="15" t="s">
        <v>1110</v>
      </c>
      <c r="G319" s="29" t="s">
        <v>1092</v>
      </c>
      <c r="H319" s="15"/>
      <c r="I319" s="15" t="s">
        <v>429</v>
      </c>
      <c r="J319" s="15" t="s">
        <v>1074</v>
      </c>
      <c r="K319" s="15" t="s">
        <v>1111</v>
      </c>
      <c r="L319" s="15" t="s">
        <v>1076</v>
      </c>
      <c r="M319" s="15" t="s">
        <v>219</v>
      </c>
      <c r="N319" s="15" t="s">
        <v>220</v>
      </c>
      <c r="O319" s="15" t="s">
        <v>219</v>
      </c>
      <c r="P319" s="15" t="s">
        <v>219</v>
      </c>
      <c r="Q319" s="15" t="s">
        <v>219</v>
      </c>
      <c r="R319" s="15" t="s">
        <v>219</v>
      </c>
      <c r="S319" s="15" t="s">
        <v>219</v>
      </c>
      <c r="T319" s="15" t="s">
        <v>219</v>
      </c>
      <c r="U319" s="15" t="s">
        <v>219</v>
      </c>
      <c r="V319" s="15" t="s">
        <v>219</v>
      </c>
      <c r="W319" s="15">
        <v>20</v>
      </c>
      <c r="X319" s="15" t="str">
        <f>_xlfn.XLOOKUP(tblMeasure[[#This Row],[id_src]],tblSource[id_src],tblSource[org])</f>
        <v>DWP</v>
      </c>
      <c r="Y319" s="15" t="str">
        <f>_xlfn.XLOOKUP(tblMeasure[[#This Row],[id_src]],tblSource[id_src],tblSource[source])</f>
        <v>Family Resources Survey</v>
      </c>
      <c r="Z319" s="15" t="str">
        <f>_xlfn.XLOOKUP(tblMeasure[[#This Row],[id_src]],tblSource[id_src],tblSource[url_source])</f>
        <v>https://www.gov.uk/government/collections/family-resources-survey--2</v>
      </c>
      <c r="AA319" s="15">
        <f>_xlfn.XLOOKUP(tblMeasure[[#This Row],[id_src]],tblSource[id_src],tblSource[year_first_published])</f>
        <v>1994</v>
      </c>
      <c r="AB319" s="15">
        <f>_xlfn.XLOOKUP(tblMeasure[[#This Row],[id_src]],tblSource[id_src],tblSource[year_last_published])</f>
        <v>2019</v>
      </c>
      <c r="AC319" s="15">
        <f>_xlfn.XLOOKUP(tblMeasure[[#This Row],[id_src]],tblSource[id_src],tblSource[discontinuity])</f>
        <v>0</v>
      </c>
      <c r="AD319" s="15" t="str">
        <f>_xlfn.XLOOKUP(tblMeasure[[#This Row],[id_src]],tblSource[id_src],tblSource[publication_frequency])</f>
        <v>Annual</v>
      </c>
      <c r="AE319" s="15" t="str">
        <f>_xlfn.XLOOKUP(tblMeasure[[#This Row],[id_src]],tblSource[id_src],tblSource[publication_lag_months])</f>
        <v>TBD</v>
      </c>
      <c r="AF319" s="25" t="str">
        <f>_xlfn.XLOOKUP(tblMeasure[[#This Row],[id_src]],tblSource[id_src],tblSource[data_providers])</f>
        <v>DWP</v>
      </c>
      <c r="AG319" s="25" t="str">
        <f>_xlfn.XLOOKUP(tblMeasure[[#This Row],[id_src]],tblSource[id_src],tblSource[statistic_class])</f>
        <v>National</v>
      </c>
      <c r="AH319" s="25" t="str">
        <f>_xlfn.XLOOKUP(tblMeasure[[#This Row],[id_src]],tblSource[id_src],tblSource[methodology_link])</f>
        <v>https://assets.publishing.service.gov.uk/government/uploads/system/uploads/attachment_data/file/789455/family-resources-survey-2017-18-background-note-methodology.pdf</v>
      </c>
      <c r="AI319" s="25" t="str">
        <f>_xlfn.XLOOKUP(tblMeasure[[#This Row],[id_src]],tblSource[id_src],tblSource[quality_issues])</f>
        <v>TBD</v>
      </c>
      <c r="AJ319" s="25">
        <f>VLOOKUP(tblMeasure[[#This Row],[msr_population_or_survey]],strlu_msr_population_or_survey,2,FALSE)</f>
        <v>0</v>
      </c>
      <c r="AK319" s="25">
        <f>VLOOKUP(tblMeasure[[#This Row],[msr_min_geo_resolution]],strlu_msr_min_geo_resolution,2,FALSE)</f>
        <v>0</v>
      </c>
      <c r="AL319" s="25">
        <f>(MAX(tblMeasure[[#This Row],[src_year_last_published]]-2010+1,0)+MIN(2010-tblMeasure[[#This Row],[src_year_first_published]],0)-MAX(tblMeasure[[#This Row],[src_year_last_published]]-2019,0))/10</f>
        <v>1</v>
      </c>
      <c r="AM319" s="25">
        <f>IF(OR(tblMeasure[[#This Row],[src_discontinuity]]="None",tblMeasure[[#This Row],[src_discontinuity]]=0),1,0)</f>
        <v>1</v>
      </c>
      <c r="AN319" s="25">
        <f>VLOOKUP(tblMeasure[[#This Row],[src_pub_frequency]],strlu_src_pub_frequency,2,FALSE)</f>
        <v>0.8</v>
      </c>
      <c r="AO319" s="25">
        <f>VLOOKUP(tblMeasure[[#This Row],[src_pub_lag_months]],strlu_src_pub_lag_months,2,FALSE)</f>
        <v>0</v>
      </c>
      <c r="AP319" s="25">
        <f>VLOOKUP(tblMeasure[[#This Row],[src_statistic_class]],strlu_src_statistic_class,2,FALSE)</f>
        <v>1</v>
      </c>
      <c r="AQ319" s="25">
        <f>IF(tblMeasure[[#This Row],[src_methodology_url]]="TBD",0,1)</f>
        <v>1</v>
      </c>
      <c r="AR319" s="25">
        <f>IF(tblMeasure[[#This Row],[src_quality_url]]="TBD",0,1)</f>
        <v>0</v>
      </c>
      <c r="AS319" s="85" cm="1">
        <f t="array" ref="AS319">SUMPRODUCT(TRANSPOSE(tblMeasure[[#This Row],[str_msr_population_or_survey]:[str_src_quality_url]]),str_weights)/str_weights_total</f>
        <v>0.5461538461538461</v>
      </c>
    </row>
    <row r="320" spans="1:45" hidden="1" x14ac:dyDescent="0.15">
      <c r="A320" s="41">
        <v>396</v>
      </c>
      <c r="B320" s="42">
        <f>COUNTIF(requirement_measure_map!$D$3:$D$1514,measure!A320)</f>
        <v>0</v>
      </c>
      <c r="C320" s="41" t="s">
        <v>1112</v>
      </c>
      <c r="D320" s="15" t="s">
        <v>1113</v>
      </c>
      <c r="E320" s="15" t="s">
        <v>1114</v>
      </c>
      <c r="F320" s="15" t="s">
        <v>1115</v>
      </c>
      <c r="G320" s="29" t="s">
        <v>1116</v>
      </c>
      <c r="H320" s="15"/>
      <c r="I320" s="15" t="s">
        <v>429</v>
      </c>
      <c r="J320" s="15" t="s">
        <v>1074</v>
      </c>
      <c r="K320" s="15" t="s">
        <v>1117</v>
      </c>
      <c r="L320" s="15" t="s">
        <v>1076</v>
      </c>
      <c r="M320" s="15" t="s">
        <v>219</v>
      </c>
      <c r="N320" s="15" t="s">
        <v>219</v>
      </c>
      <c r="O320" s="15" t="s">
        <v>220</v>
      </c>
      <c r="P320" s="15" t="s">
        <v>219</v>
      </c>
      <c r="Q320" s="15" t="s">
        <v>219</v>
      </c>
      <c r="R320" s="15" t="s">
        <v>219</v>
      </c>
      <c r="S320" s="15" t="s">
        <v>219</v>
      </c>
      <c r="T320" s="15" t="s">
        <v>219</v>
      </c>
      <c r="U320" s="15" t="s">
        <v>219</v>
      </c>
      <c r="V320" s="15" t="s">
        <v>219</v>
      </c>
      <c r="W320" s="15">
        <v>20</v>
      </c>
      <c r="X320" s="15" t="str">
        <f>_xlfn.XLOOKUP(tblMeasure[[#This Row],[id_src]],tblSource[id_src],tblSource[org])</f>
        <v>DWP</v>
      </c>
      <c r="Y320" s="25" t="str">
        <f>_xlfn.XLOOKUP(tblMeasure[[#This Row],[id_src]],tblSource[id_src],tblSource[source])</f>
        <v>Family Resources Survey</v>
      </c>
      <c r="Z320" s="25" t="str">
        <f>_xlfn.XLOOKUP(tblMeasure[[#This Row],[id_src]],tblSource[id_src],tblSource[url_source])</f>
        <v>https://www.gov.uk/government/collections/family-resources-survey--2</v>
      </c>
      <c r="AA320" s="25">
        <f>_xlfn.XLOOKUP(tblMeasure[[#This Row],[id_src]],tblSource[id_src],tblSource[year_first_published])</f>
        <v>1994</v>
      </c>
      <c r="AB320" s="25">
        <f>_xlfn.XLOOKUP(tblMeasure[[#This Row],[id_src]],tblSource[id_src],tblSource[year_last_published])</f>
        <v>2019</v>
      </c>
      <c r="AC320" s="25">
        <f>_xlfn.XLOOKUP(tblMeasure[[#This Row],[id_src]],tblSource[id_src],tblSource[discontinuity])</f>
        <v>0</v>
      </c>
      <c r="AD320" s="25" t="str">
        <f>_xlfn.XLOOKUP(tblMeasure[[#This Row],[id_src]],tblSource[id_src],tblSource[publication_frequency])</f>
        <v>Annual</v>
      </c>
      <c r="AE320" s="15" t="str">
        <f>_xlfn.XLOOKUP(tblMeasure[[#This Row],[id_src]],tblSource[id_src],tblSource[publication_lag_months])</f>
        <v>TBD</v>
      </c>
      <c r="AF320" s="25" t="str">
        <f>_xlfn.XLOOKUP(tblMeasure[[#This Row],[id_src]],tblSource[id_src],tblSource[data_providers])</f>
        <v>DWP</v>
      </c>
      <c r="AG320" s="25" t="str">
        <f>_xlfn.XLOOKUP(tblMeasure[[#This Row],[id_src]],tblSource[id_src],tblSource[statistic_class])</f>
        <v>National</v>
      </c>
      <c r="AH320" s="25" t="str">
        <f>_xlfn.XLOOKUP(tblMeasure[[#This Row],[id_src]],tblSource[id_src],tblSource[methodology_link])</f>
        <v>https://assets.publishing.service.gov.uk/government/uploads/system/uploads/attachment_data/file/789455/family-resources-survey-2017-18-background-note-methodology.pdf</v>
      </c>
      <c r="AI320" s="25" t="str">
        <f>_xlfn.XLOOKUP(tblMeasure[[#This Row],[id_src]],tblSource[id_src],tblSource[quality_issues])</f>
        <v>TBD</v>
      </c>
      <c r="AJ320" s="25">
        <f>VLOOKUP(tblMeasure[[#This Row],[msr_population_or_survey]],strlu_msr_population_or_survey,2,FALSE)</f>
        <v>0</v>
      </c>
      <c r="AK320" s="25">
        <f>VLOOKUP(tblMeasure[[#This Row],[msr_min_geo_resolution]],strlu_msr_min_geo_resolution,2,FALSE)</f>
        <v>0</v>
      </c>
      <c r="AL320" s="25">
        <f>(MAX(tblMeasure[[#This Row],[src_year_last_published]]-2010+1,0)+MIN(2010-tblMeasure[[#This Row],[src_year_first_published]],0)-MAX(tblMeasure[[#This Row],[src_year_last_published]]-2019,0))/10</f>
        <v>1</v>
      </c>
      <c r="AM320" s="25">
        <f>IF(OR(tblMeasure[[#This Row],[src_discontinuity]]="None",tblMeasure[[#This Row],[src_discontinuity]]=0),1,0)</f>
        <v>1</v>
      </c>
      <c r="AN320" s="25">
        <f>VLOOKUP(tblMeasure[[#This Row],[src_pub_frequency]],strlu_src_pub_frequency,2,FALSE)</f>
        <v>0.8</v>
      </c>
      <c r="AO320" s="25">
        <f>VLOOKUP(tblMeasure[[#This Row],[src_pub_lag_months]],strlu_src_pub_lag_months,2,FALSE)</f>
        <v>0</v>
      </c>
      <c r="AP320" s="25">
        <f>VLOOKUP(tblMeasure[[#This Row],[src_statistic_class]],strlu_src_statistic_class,2,FALSE)</f>
        <v>1</v>
      </c>
      <c r="AQ320" s="25">
        <f>IF(tblMeasure[[#This Row],[src_methodology_url]]="TBD",0,1)</f>
        <v>1</v>
      </c>
      <c r="AR320" s="25">
        <f>IF(tblMeasure[[#This Row],[src_quality_url]]="TBD",0,1)</f>
        <v>0</v>
      </c>
      <c r="AS320" s="85" cm="1">
        <f t="array" ref="AS320">SUMPRODUCT(TRANSPOSE(tblMeasure[[#This Row],[str_msr_population_or_survey]:[str_src_quality_url]]),str_weights)/str_weights_total</f>
        <v>0.5461538461538461</v>
      </c>
    </row>
    <row r="321" spans="1:45" hidden="1" x14ac:dyDescent="0.15">
      <c r="A321" s="30">
        <v>397</v>
      </c>
      <c r="B321" s="32">
        <f>COUNTIF(requirement_measure_map!$D$3:$D$1514,measure!A321)</f>
        <v>2</v>
      </c>
      <c r="C321" s="30" t="s">
        <v>1118</v>
      </c>
      <c r="D321" s="15" t="s">
        <v>1113</v>
      </c>
      <c r="E321" s="15" t="s">
        <v>1119</v>
      </c>
      <c r="F321" s="15" t="s">
        <v>1120</v>
      </c>
      <c r="G321" s="29" t="s">
        <v>1116</v>
      </c>
      <c r="H321" s="15"/>
      <c r="I321" s="15" t="s">
        <v>429</v>
      </c>
      <c r="J321" s="15" t="s">
        <v>1074</v>
      </c>
      <c r="K321" s="15" t="s">
        <v>1117</v>
      </c>
      <c r="L321" s="15" t="s">
        <v>287</v>
      </c>
      <c r="M321" s="15" t="s">
        <v>219</v>
      </c>
      <c r="N321" s="15" t="s">
        <v>219</v>
      </c>
      <c r="O321" s="15" t="s">
        <v>220</v>
      </c>
      <c r="P321" s="15" t="s">
        <v>219</v>
      </c>
      <c r="Q321" s="15" t="s">
        <v>219</v>
      </c>
      <c r="R321" s="15" t="s">
        <v>219</v>
      </c>
      <c r="S321" s="15" t="s">
        <v>219</v>
      </c>
      <c r="T321" s="15" t="s">
        <v>219</v>
      </c>
      <c r="U321" s="15" t="s">
        <v>219</v>
      </c>
      <c r="V321" s="15" t="s">
        <v>219</v>
      </c>
      <c r="W321" s="15">
        <v>20</v>
      </c>
      <c r="X321" s="15" t="str">
        <f>_xlfn.XLOOKUP(tblMeasure[[#This Row],[id_src]],tblSource[id_src],tblSource[org])</f>
        <v>DWP</v>
      </c>
      <c r="Y321" s="25" t="str">
        <f>_xlfn.XLOOKUP(tblMeasure[[#This Row],[id_src]],tblSource[id_src],tblSource[source])</f>
        <v>Family Resources Survey</v>
      </c>
      <c r="Z321" s="25" t="str">
        <f>_xlfn.XLOOKUP(tblMeasure[[#This Row],[id_src]],tblSource[id_src],tblSource[url_source])</f>
        <v>https://www.gov.uk/government/collections/family-resources-survey--2</v>
      </c>
      <c r="AA321" s="25">
        <f>_xlfn.XLOOKUP(tblMeasure[[#This Row],[id_src]],tblSource[id_src],tblSource[year_first_published])</f>
        <v>1994</v>
      </c>
      <c r="AB321" s="25">
        <f>_xlfn.XLOOKUP(tblMeasure[[#This Row],[id_src]],tblSource[id_src],tblSource[year_last_published])</f>
        <v>2019</v>
      </c>
      <c r="AC321" s="25">
        <f>_xlfn.XLOOKUP(tblMeasure[[#This Row],[id_src]],tblSource[id_src],tblSource[discontinuity])</f>
        <v>0</v>
      </c>
      <c r="AD321" s="25" t="str">
        <f>_xlfn.XLOOKUP(tblMeasure[[#This Row],[id_src]],tblSource[id_src],tblSource[publication_frequency])</f>
        <v>Annual</v>
      </c>
      <c r="AE321" s="15" t="str">
        <f>_xlfn.XLOOKUP(tblMeasure[[#This Row],[id_src]],tblSource[id_src],tblSource[publication_lag_months])</f>
        <v>TBD</v>
      </c>
      <c r="AF321" s="25" t="str">
        <f>_xlfn.XLOOKUP(tblMeasure[[#This Row],[id_src]],tblSource[id_src],tblSource[data_providers])</f>
        <v>DWP</v>
      </c>
      <c r="AG321" s="25" t="str">
        <f>_xlfn.XLOOKUP(tblMeasure[[#This Row],[id_src]],tblSource[id_src],tblSource[statistic_class])</f>
        <v>National</v>
      </c>
      <c r="AH321" s="25" t="str">
        <f>_xlfn.XLOOKUP(tblMeasure[[#This Row],[id_src]],tblSource[id_src],tblSource[methodology_link])</f>
        <v>https://assets.publishing.service.gov.uk/government/uploads/system/uploads/attachment_data/file/789455/family-resources-survey-2017-18-background-note-methodology.pdf</v>
      </c>
      <c r="AI321" s="25" t="str">
        <f>_xlfn.XLOOKUP(tblMeasure[[#This Row],[id_src]],tblSource[id_src],tblSource[quality_issues])</f>
        <v>TBD</v>
      </c>
      <c r="AJ321" s="25">
        <f>VLOOKUP(tblMeasure[[#This Row],[msr_population_or_survey]],strlu_msr_population_or_survey,2,FALSE)</f>
        <v>0</v>
      </c>
      <c r="AK321" s="25">
        <f>VLOOKUP(tblMeasure[[#This Row],[msr_min_geo_resolution]],strlu_msr_min_geo_resolution,2,FALSE)</f>
        <v>0.5</v>
      </c>
      <c r="AL321" s="25">
        <f>(MAX(tblMeasure[[#This Row],[src_year_last_published]]-2010+1,0)+MIN(2010-tblMeasure[[#This Row],[src_year_first_published]],0)-MAX(tblMeasure[[#This Row],[src_year_last_published]]-2019,0))/10</f>
        <v>1</v>
      </c>
      <c r="AM321" s="25">
        <f>IF(OR(tblMeasure[[#This Row],[src_discontinuity]]="None",tblMeasure[[#This Row],[src_discontinuity]]=0),1,0)</f>
        <v>1</v>
      </c>
      <c r="AN321" s="25">
        <f>VLOOKUP(tblMeasure[[#This Row],[src_pub_frequency]],strlu_src_pub_frequency,2,FALSE)</f>
        <v>0.8</v>
      </c>
      <c r="AO321" s="25">
        <f>VLOOKUP(tblMeasure[[#This Row],[src_pub_lag_months]],strlu_src_pub_lag_months,2,FALSE)</f>
        <v>0</v>
      </c>
      <c r="AP321" s="25">
        <f>VLOOKUP(tblMeasure[[#This Row],[src_statistic_class]],strlu_src_statistic_class,2,FALSE)</f>
        <v>1</v>
      </c>
      <c r="AQ321" s="25">
        <f>IF(tblMeasure[[#This Row],[src_methodology_url]]="TBD",0,1)</f>
        <v>1</v>
      </c>
      <c r="AR321" s="25">
        <f>IF(tblMeasure[[#This Row],[src_quality_url]]="TBD",0,1)</f>
        <v>0</v>
      </c>
      <c r="AS321" s="85" cm="1">
        <f t="array" ref="AS321">SUMPRODUCT(TRANSPOSE(tblMeasure[[#This Row],[str_msr_population_or_survey]:[str_src_quality_url]]),str_weights)/str_weights_total</f>
        <v>0.62307692307692308</v>
      </c>
    </row>
    <row r="322" spans="1:45" hidden="1" x14ac:dyDescent="0.15">
      <c r="A322" s="30">
        <v>398</v>
      </c>
      <c r="B322" s="32">
        <f>COUNTIF(requirement_measure_map!$D$3:$D$1514,measure!A322)</f>
        <v>3</v>
      </c>
      <c r="C322" s="30" t="s">
        <v>1118</v>
      </c>
      <c r="D322" s="15" t="s">
        <v>1113</v>
      </c>
      <c r="E322" s="15" t="s">
        <v>1121</v>
      </c>
      <c r="F322" s="15" t="s">
        <v>1122</v>
      </c>
      <c r="G322" s="29" t="s">
        <v>1116</v>
      </c>
      <c r="H322" s="15"/>
      <c r="I322" s="15" t="s">
        <v>429</v>
      </c>
      <c r="J322" s="15" t="s">
        <v>1074</v>
      </c>
      <c r="K322" s="15" t="s">
        <v>1117</v>
      </c>
      <c r="L322" s="15" t="s">
        <v>1076</v>
      </c>
      <c r="M322" s="15" t="s">
        <v>219</v>
      </c>
      <c r="N322" s="15" t="s">
        <v>220</v>
      </c>
      <c r="O322" s="15" t="s">
        <v>220</v>
      </c>
      <c r="P322" s="15" t="s">
        <v>219</v>
      </c>
      <c r="Q322" s="15" t="s">
        <v>219</v>
      </c>
      <c r="R322" s="15" t="s">
        <v>219</v>
      </c>
      <c r="S322" s="15" t="s">
        <v>219</v>
      </c>
      <c r="T322" s="15" t="s">
        <v>219</v>
      </c>
      <c r="U322" s="15" t="s">
        <v>219</v>
      </c>
      <c r="V322" s="15" t="s">
        <v>219</v>
      </c>
      <c r="W322" s="15">
        <v>20</v>
      </c>
      <c r="X322" s="15" t="str">
        <f>_xlfn.XLOOKUP(tblMeasure[[#This Row],[id_src]],tblSource[id_src],tblSource[org])</f>
        <v>DWP</v>
      </c>
      <c r="Y322" s="25" t="str">
        <f>_xlfn.XLOOKUP(tblMeasure[[#This Row],[id_src]],tblSource[id_src],tblSource[source])</f>
        <v>Family Resources Survey</v>
      </c>
      <c r="Z322" s="25" t="str">
        <f>_xlfn.XLOOKUP(tblMeasure[[#This Row],[id_src]],tblSource[id_src],tblSource[url_source])</f>
        <v>https://www.gov.uk/government/collections/family-resources-survey--2</v>
      </c>
      <c r="AA322" s="25">
        <f>_xlfn.XLOOKUP(tblMeasure[[#This Row],[id_src]],tblSource[id_src],tblSource[year_first_published])</f>
        <v>1994</v>
      </c>
      <c r="AB322" s="25">
        <f>_xlfn.XLOOKUP(tblMeasure[[#This Row],[id_src]],tblSource[id_src],tblSource[year_last_published])</f>
        <v>2019</v>
      </c>
      <c r="AC322" s="25">
        <f>_xlfn.XLOOKUP(tblMeasure[[#This Row],[id_src]],tblSource[id_src],tblSource[discontinuity])</f>
        <v>0</v>
      </c>
      <c r="AD322" s="25" t="str">
        <f>_xlfn.XLOOKUP(tblMeasure[[#This Row],[id_src]],tblSource[id_src],tblSource[publication_frequency])</f>
        <v>Annual</v>
      </c>
      <c r="AE322" s="15" t="str">
        <f>_xlfn.XLOOKUP(tblMeasure[[#This Row],[id_src]],tblSource[id_src],tblSource[publication_lag_months])</f>
        <v>TBD</v>
      </c>
      <c r="AF322" s="25" t="str">
        <f>_xlfn.XLOOKUP(tblMeasure[[#This Row],[id_src]],tblSource[id_src],tblSource[data_providers])</f>
        <v>DWP</v>
      </c>
      <c r="AG322" s="25" t="str">
        <f>_xlfn.XLOOKUP(tblMeasure[[#This Row],[id_src]],tblSource[id_src],tblSource[statistic_class])</f>
        <v>National</v>
      </c>
      <c r="AH322" s="25" t="str">
        <f>_xlfn.XLOOKUP(tblMeasure[[#This Row],[id_src]],tblSource[id_src],tblSource[methodology_link])</f>
        <v>https://assets.publishing.service.gov.uk/government/uploads/system/uploads/attachment_data/file/789455/family-resources-survey-2017-18-background-note-methodology.pdf</v>
      </c>
      <c r="AI322" s="25" t="str">
        <f>_xlfn.XLOOKUP(tblMeasure[[#This Row],[id_src]],tblSource[id_src],tblSource[quality_issues])</f>
        <v>TBD</v>
      </c>
      <c r="AJ322" s="25">
        <f>VLOOKUP(tblMeasure[[#This Row],[msr_population_or_survey]],strlu_msr_population_or_survey,2,FALSE)</f>
        <v>0</v>
      </c>
      <c r="AK322" s="25">
        <f>VLOOKUP(tblMeasure[[#This Row],[msr_min_geo_resolution]],strlu_msr_min_geo_resolution,2,FALSE)</f>
        <v>0</v>
      </c>
      <c r="AL322" s="25">
        <f>(MAX(tblMeasure[[#This Row],[src_year_last_published]]-2010+1,0)+MIN(2010-tblMeasure[[#This Row],[src_year_first_published]],0)-MAX(tblMeasure[[#This Row],[src_year_last_published]]-2019,0))/10</f>
        <v>1</v>
      </c>
      <c r="AM322" s="25">
        <f>IF(OR(tblMeasure[[#This Row],[src_discontinuity]]="None",tblMeasure[[#This Row],[src_discontinuity]]=0),1,0)</f>
        <v>1</v>
      </c>
      <c r="AN322" s="25">
        <f>VLOOKUP(tblMeasure[[#This Row],[src_pub_frequency]],strlu_src_pub_frequency,2,FALSE)</f>
        <v>0.8</v>
      </c>
      <c r="AO322" s="25">
        <f>VLOOKUP(tblMeasure[[#This Row],[src_pub_lag_months]],strlu_src_pub_lag_months,2,FALSE)</f>
        <v>0</v>
      </c>
      <c r="AP322" s="25">
        <f>VLOOKUP(tblMeasure[[#This Row],[src_statistic_class]],strlu_src_statistic_class,2,FALSE)</f>
        <v>1</v>
      </c>
      <c r="AQ322" s="25">
        <f>IF(tblMeasure[[#This Row],[src_methodology_url]]="TBD",0,1)</f>
        <v>1</v>
      </c>
      <c r="AR322" s="25">
        <f>IF(tblMeasure[[#This Row],[src_quality_url]]="TBD",0,1)</f>
        <v>0</v>
      </c>
      <c r="AS322" s="85" cm="1">
        <f t="array" ref="AS322">SUMPRODUCT(TRANSPOSE(tblMeasure[[#This Row],[str_msr_population_or_survey]:[str_src_quality_url]]),str_weights)/str_weights_total</f>
        <v>0.5461538461538461</v>
      </c>
    </row>
    <row r="323" spans="1:45" hidden="1" x14ac:dyDescent="0.15">
      <c r="A323" s="30">
        <v>399</v>
      </c>
      <c r="B323" s="32">
        <f>COUNTIF(requirement_measure_map!$D$3:$D$1514,measure!A323)</f>
        <v>3</v>
      </c>
      <c r="C323" s="30" t="s">
        <v>1118</v>
      </c>
      <c r="D323" s="15" t="s">
        <v>1113</v>
      </c>
      <c r="E323" s="15" t="s">
        <v>1123</v>
      </c>
      <c r="F323" s="15" t="s">
        <v>1124</v>
      </c>
      <c r="G323" s="29" t="s">
        <v>1116</v>
      </c>
      <c r="H323" s="15"/>
      <c r="I323" s="15" t="s">
        <v>429</v>
      </c>
      <c r="J323" s="15" t="s">
        <v>1074</v>
      </c>
      <c r="K323" s="15" t="s">
        <v>1125</v>
      </c>
      <c r="L323" s="15" t="s">
        <v>1076</v>
      </c>
      <c r="M323" s="15" t="s">
        <v>220</v>
      </c>
      <c r="N323" s="15" t="s">
        <v>219</v>
      </c>
      <c r="O323" s="15" t="s">
        <v>220</v>
      </c>
      <c r="P323" s="15" t="s">
        <v>219</v>
      </c>
      <c r="Q323" s="15" t="s">
        <v>219</v>
      </c>
      <c r="R323" s="15" t="s">
        <v>219</v>
      </c>
      <c r="S323" s="15" t="s">
        <v>219</v>
      </c>
      <c r="T323" s="15" t="s">
        <v>219</v>
      </c>
      <c r="U323" s="15" t="s">
        <v>219</v>
      </c>
      <c r="V323" s="15" t="s">
        <v>219</v>
      </c>
      <c r="W323" s="15">
        <v>20</v>
      </c>
      <c r="X323" s="15" t="str">
        <f>_xlfn.XLOOKUP(tblMeasure[[#This Row],[id_src]],tblSource[id_src],tblSource[org])</f>
        <v>DWP</v>
      </c>
      <c r="Y323" s="25" t="str">
        <f>_xlfn.XLOOKUP(tblMeasure[[#This Row],[id_src]],tblSource[id_src],tblSource[source])</f>
        <v>Family Resources Survey</v>
      </c>
      <c r="Z323" s="25" t="str">
        <f>_xlfn.XLOOKUP(tblMeasure[[#This Row],[id_src]],tblSource[id_src],tblSource[url_source])</f>
        <v>https://www.gov.uk/government/collections/family-resources-survey--2</v>
      </c>
      <c r="AA323" s="25">
        <f>_xlfn.XLOOKUP(tblMeasure[[#This Row],[id_src]],tblSource[id_src],tblSource[year_first_published])</f>
        <v>1994</v>
      </c>
      <c r="AB323" s="25">
        <f>_xlfn.XLOOKUP(tblMeasure[[#This Row],[id_src]],tblSource[id_src],tblSource[year_last_published])</f>
        <v>2019</v>
      </c>
      <c r="AC323" s="25">
        <f>_xlfn.XLOOKUP(tblMeasure[[#This Row],[id_src]],tblSource[id_src],tblSource[discontinuity])</f>
        <v>0</v>
      </c>
      <c r="AD323" s="25" t="str">
        <f>_xlfn.XLOOKUP(tblMeasure[[#This Row],[id_src]],tblSource[id_src],tblSource[publication_frequency])</f>
        <v>Annual</v>
      </c>
      <c r="AE323" s="15" t="str">
        <f>_xlfn.XLOOKUP(tblMeasure[[#This Row],[id_src]],tblSource[id_src],tblSource[publication_lag_months])</f>
        <v>TBD</v>
      </c>
      <c r="AF323" s="25" t="str">
        <f>_xlfn.XLOOKUP(tblMeasure[[#This Row],[id_src]],tblSource[id_src],tblSource[data_providers])</f>
        <v>DWP</v>
      </c>
      <c r="AG323" s="25" t="str">
        <f>_xlfn.XLOOKUP(tblMeasure[[#This Row],[id_src]],tblSource[id_src],tblSource[statistic_class])</f>
        <v>National</v>
      </c>
      <c r="AH323" s="25" t="str">
        <f>_xlfn.XLOOKUP(tblMeasure[[#This Row],[id_src]],tblSource[id_src],tblSource[methodology_link])</f>
        <v>https://assets.publishing.service.gov.uk/government/uploads/system/uploads/attachment_data/file/789455/family-resources-survey-2017-18-background-note-methodology.pdf</v>
      </c>
      <c r="AI323" s="25" t="str">
        <f>_xlfn.XLOOKUP(tblMeasure[[#This Row],[id_src]],tblSource[id_src],tblSource[quality_issues])</f>
        <v>TBD</v>
      </c>
      <c r="AJ323" s="25">
        <f>VLOOKUP(tblMeasure[[#This Row],[msr_population_or_survey]],strlu_msr_population_or_survey,2,FALSE)</f>
        <v>0</v>
      </c>
      <c r="AK323" s="25">
        <f>VLOOKUP(tblMeasure[[#This Row],[msr_min_geo_resolution]],strlu_msr_min_geo_resolution,2,FALSE)</f>
        <v>0</v>
      </c>
      <c r="AL323" s="25">
        <f>(MAX(tblMeasure[[#This Row],[src_year_last_published]]-2010+1,0)+MIN(2010-tblMeasure[[#This Row],[src_year_first_published]],0)-MAX(tblMeasure[[#This Row],[src_year_last_published]]-2019,0))/10</f>
        <v>1</v>
      </c>
      <c r="AM323" s="25">
        <f>IF(OR(tblMeasure[[#This Row],[src_discontinuity]]="None",tblMeasure[[#This Row],[src_discontinuity]]=0),1,0)</f>
        <v>1</v>
      </c>
      <c r="AN323" s="25">
        <f>VLOOKUP(tblMeasure[[#This Row],[src_pub_frequency]],strlu_src_pub_frequency,2,FALSE)</f>
        <v>0.8</v>
      </c>
      <c r="AO323" s="25">
        <f>VLOOKUP(tblMeasure[[#This Row],[src_pub_lag_months]],strlu_src_pub_lag_months,2,FALSE)</f>
        <v>0</v>
      </c>
      <c r="AP323" s="25">
        <f>VLOOKUP(tblMeasure[[#This Row],[src_statistic_class]],strlu_src_statistic_class,2,FALSE)</f>
        <v>1</v>
      </c>
      <c r="AQ323" s="25">
        <f>IF(tblMeasure[[#This Row],[src_methodology_url]]="TBD",0,1)</f>
        <v>1</v>
      </c>
      <c r="AR323" s="25">
        <f>IF(tblMeasure[[#This Row],[src_quality_url]]="TBD",0,1)</f>
        <v>0</v>
      </c>
      <c r="AS323" s="85" cm="1">
        <f t="array" ref="AS323">SUMPRODUCT(TRANSPOSE(tblMeasure[[#This Row],[str_msr_population_or_survey]:[str_src_quality_url]]),str_weights)/str_weights_total</f>
        <v>0.5461538461538461</v>
      </c>
    </row>
    <row r="324" spans="1:45" hidden="1" x14ac:dyDescent="0.15">
      <c r="A324" s="30">
        <v>400</v>
      </c>
      <c r="B324" s="32">
        <f>COUNTIF(requirement_measure_map!$D$3:$D$1514,measure!A324)</f>
        <v>2</v>
      </c>
      <c r="C324" s="30" t="s">
        <v>1118</v>
      </c>
      <c r="D324" s="15" t="s">
        <v>1113</v>
      </c>
      <c r="E324" s="15" t="s">
        <v>1126</v>
      </c>
      <c r="F324" s="15" t="s">
        <v>1127</v>
      </c>
      <c r="G324" s="29" t="s">
        <v>1116</v>
      </c>
      <c r="H324" s="15"/>
      <c r="I324" s="15" t="s">
        <v>429</v>
      </c>
      <c r="J324" s="15" t="s">
        <v>1074</v>
      </c>
      <c r="K324" s="15" t="s">
        <v>1128</v>
      </c>
      <c r="L324" s="15" t="s">
        <v>1076</v>
      </c>
      <c r="M324" s="15" t="s">
        <v>218</v>
      </c>
      <c r="N324" s="15" t="s">
        <v>219</v>
      </c>
      <c r="O324" s="15" t="s">
        <v>220</v>
      </c>
      <c r="P324" s="15" t="s">
        <v>219</v>
      </c>
      <c r="Q324" s="15" t="s">
        <v>219</v>
      </c>
      <c r="R324" s="15" t="s">
        <v>219</v>
      </c>
      <c r="S324" s="15" t="s">
        <v>219</v>
      </c>
      <c r="T324" s="15" t="s">
        <v>219</v>
      </c>
      <c r="U324" s="15" t="s">
        <v>219</v>
      </c>
      <c r="V324" s="15" t="s">
        <v>219</v>
      </c>
      <c r="W324" s="15">
        <v>20</v>
      </c>
      <c r="X324" s="15" t="str">
        <f>_xlfn.XLOOKUP(tblMeasure[[#This Row],[id_src]],tblSource[id_src],tblSource[org])</f>
        <v>DWP</v>
      </c>
      <c r="Y324" s="25" t="str">
        <f>_xlfn.XLOOKUP(tblMeasure[[#This Row],[id_src]],tblSource[id_src],tblSource[source])</f>
        <v>Family Resources Survey</v>
      </c>
      <c r="Z324" s="25" t="str">
        <f>_xlfn.XLOOKUP(tblMeasure[[#This Row],[id_src]],tblSource[id_src],tblSource[url_source])</f>
        <v>https://www.gov.uk/government/collections/family-resources-survey--2</v>
      </c>
      <c r="AA324" s="25">
        <f>_xlfn.XLOOKUP(tblMeasure[[#This Row],[id_src]],tblSource[id_src],tblSource[year_first_published])</f>
        <v>1994</v>
      </c>
      <c r="AB324" s="25">
        <f>_xlfn.XLOOKUP(tblMeasure[[#This Row],[id_src]],tblSource[id_src],tblSource[year_last_published])</f>
        <v>2019</v>
      </c>
      <c r="AC324" s="25">
        <f>_xlfn.XLOOKUP(tblMeasure[[#This Row],[id_src]],tblSource[id_src],tblSource[discontinuity])</f>
        <v>0</v>
      </c>
      <c r="AD324" s="25" t="str">
        <f>_xlfn.XLOOKUP(tblMeasure[[#This Row],[id_src]],tblSource[id_src],tblSource[publication_frequency])</f>
        <v>Annual</v>
      </c>
      <c r="AE324" s="15" t="str">
        <f>_xlfn.XLOOKUP(tblMeasure[[#This Row],[id_src]],tblSource[id_src],tblSource[publication_lag_months])</f>
        <v>TBD</v>
      </c>
      <c r="AF324" s="25" t="str">
        <f>_xlfn.XLOOKUP(tblMeasure[[#This Row],[id_src]],tblSource[id_src],tblSource[data_providers])</f>
        <v>DWP</v>
      </c>
      <c r="AG324" s="25" t="str">
        <f>_xlfn.XLOOKUP(tblMeasure[[#This Row],[id_src]],tblSource[id_src],tblSource[statistic_class])</f>
        <v>National</v>
      </c>
      <c r="AH324" s="25" t="str">
        <f>_xlfn.XLOOKUP(tblMeasure[[#This Row],[id_src]],tblSource[id_src],tblSource[methodology_link])</f>
        <v>https://assets.publishing.service.gov.uk/government/uploads/system/uploads/attachment_data/file/789455/family-resources-survey-2017-18-background-note-methodology.pdf</v>
      </c>
      <c r="AI324" s="25" t="str">
        <f>_xlfn.XLOOKUP(tblMeasure[[#This Row],[id_src]],tblSource[id_src],tblSource[quality_issues])</f>
        <v>TBD</v>
      </c>
      <c r="AJ324" s="25">
        <f>VLOOKUP(tblMeasure[[#This Row],[msr_population_or_survey]],strlu_msr_population_or_survey,2,FALSE)</f>
        <v>0</v>
      </c>
      <c r="AK324" s="25">
        <f>VLOOKUP(tblMeasure[[#This Row],[msr_min_geo_resolution]],strlu_msr_min_geo_resolution,2,FALSE)</f>
        <v>0</v>
      </c>
      <c r="AL324" s="25">
        <f>(MAX(tblMeasure[[#This Row],[src_year_last_published]]-2010+1,0)+MIN(2010-tblMeasure[[#This Row],[src_year_first_published]],0)-MAX(tblMeasure[[#This Row],[src_year_last_published]]-2019,0))/10</f>
        <v>1</v>
      </c>
      <c r="AM324" s="25">
        <f>IF(OR(tblMeasure[[#This Row],[src_discontinuity]]="None",tblMeasure[[#This Row],[src_discontinuity]]=0),1,0)</f>
        <v>1</v>
      </c>
      <c r="AN324" s="25">
        <f>VLOOKUP(tblMeasure[[#This Row],[src_pub_frequency]],strlu_src_pub_frequency,2,FALSE)</f>
        <v>0.8</v>
      </c>
      <c r="AO324" s="25">
        <f>VLOOKUP(tblMeasure[[#This Row],[src_pub_lag_months]],strlu_src_pub_lag_months,2,FALSE)</f>
        <v>0</v>
      </c>
      <c r="AP324" s="25">
        <f>VLOOKUP(tblMeasure[[#This Row],[src_statistic_class]],strlu_src_statistic_class,2,FALSE)</f>
        <v>1</v>
      </c>
      <c r="AQ324" s="25">
        <f>IF(tblMeasure[[#This Row],[src_methodology_url]]="TBD",0,1)</f>
        <v>1</v>
      </c>
      <c r="AR324" s="25">
        <f>IF(tblMeasure[[#This Row],[src_quality_url]]="TBD",0,1)</f>
        <v>0</v>
      </c>
      <c r="AS324" s="85" cm="1">
        <f t="array" ref="AS324">SUMPRODUCT(TRANSPOSE(tblMeasure[[#This Row],[str_msr_population_or_survey]:[str_src_quality_url]]),str_weights)/str_weights_total</f>
        <v>0.5461538461538461</v>
      </c>
    </row>
    <row r="325" spans="1:45" hidden="1" x14ac:dyDescent="0.15">
      <c r="A325" s="30">
        <v>401</v>
      </c>
      <c r="B325" s="32">
        <f>COUNTIF(requirement_measure_map!$D$3:$D$1514,measure!A325)</f>
        <v>0</v>
      </c>
      <c r="C325" s="30" t="s">
        <v>1129</v>
      </c>
      <c r="D325" s="15" t="s">
        <v>1113</v>
      </c>
      <c r="E325" s="15" t="s">
        <v>1130</v>
      </c>
      <c r="F325" s="15" t="s">
        <v>1131</v>
      </c>
      <c r="G325" s="29" t="s">
        <v>1116</v>
      </c>
      <c r="H325" s="15"/>
      <c r="I325" s="15" t="s">
        <v>429</v>
      </c>
      <c r="J325" s="15" t="s">
        <v>1074</v>
      </c>
      <c r="K325" s="15" t="s">
        <v>1128</v>
      </c>
      <c r="L325" s="15" t="s">
        <v>287</v>
      </c>
      <c r="M325" s="15" t="s">
        <v>219</v>
      </c>
      <c r="N325" s="15" t="s">
        <v>219</v>
      </c>
      <c r="O325" s="15" t="s">
        <v>220</v>
      </c>
      <c r="P325" s="15" t="s">
        <v>219</v>
      </c>
      <c r="Q325" s="15" t="s">
        <v>219</v>
      </c>
      <c r="R325" s="15" t="s">
        <v>219</v>
      </c>
      <c r="S325" s="15" t="s">
        <v>219</v>
      </c>
      <c r="T325" s="15" t="s">
        <v>219</v>
      </c>
      <c r="U325" s="15" t="s">
        <v>219</v>
      </c>
      <c r="V325" s="15" t="s">
        <v>219</v>
      </c>
      <c r="W325" s="15">
        <v>20</v>
      </c>
      <c r="X325" s="15" t="str">
        <f>_xlfn.XLOOKUP(tblMeasure[[#This Row],[id_src]],tblSource[id_src],tblSource[org])</f>
        <v>DWP</v>
      </c>
      <c r="Y325" s="25" t="str">
        <f>_xlfn.XLOOKUP(tblMeasure[[#This Row],[id_src]],tblSource[id_src],tblSource[source])</f>
        <v>Family Resources Survey</v>
      </c>
      <c r="Z325" s="25" t="str">
        <f>_xlfn.XLOOKUP(tblMeasure[[#This Row],[id_src]],tblSource[id_src],tblSource[url_source])</f>
        <v>https://www.gov.uk/government/collections/family-resources-survey--2</v>
      </c>
      <c r="AA325" s="25">
        <f>_xlfn.XLOOKUP(tblMeasure[[#This Row],[id_src]],tblSource[id_src],tblSource[year_first_published])</f>
        <v>1994</v>
      </c>
      <c r="AB325" s="25">
        <f>_xlfn.XLOOKUP(tblMeasure[[#This Row],[id_src]],tblSource[id_src],tblSource[year_last_published])</f>
        <v>2019</v>
      </c>
      <c r="AC325" s="25">
        <f>_xlfn.XLOOKUP(tblMeasure[[#This Row],[id_src]],tblSource[id_src],tblSource[discontinuity])</f>
        <v>0</v>
      </c>
      <c r="AD325" s="25" t="str">
        <f>_xlfn.XLOOKUP(tblMeasure[[#This Row],[id_src]],tblSource[id_src],tblSource[publication_frequency])</f>
        <v>Annual</v>
      </c>
      <c r="AE325" s="15" t="str">
        <f>_xlfn.XLOOKUP(tblMeasure[[#This Row],[id_src]],tblSource[id_src],tblSource[publication_lag_months])</f>
        <v>TBD</v>
      </c>
      <c r="AF325" s="25" t="str">
        <f>_xlfn.XLOOKUP(tblMeasure[[#This Row],[id_src]],tblSource[id_src],tblSource[data_providers])</f>
        <v>DWP</v>
      </c>
      <c r="AG325" s="25" t="str">
        <f>_xlfn.XLOOKUP(tblMeasure[[#This Row],[id_src]],tblSource[id_src],tblSource[statistic_class])</f>
        <v>National</v>
      </c>
      <c r="AH325" s="25" t="str">
        <f>_xlfn.XLOOKUP(tblMeasure[[#This Row],[id_src]],tblSource[id_src],tblSource[methodology_link])</f>
        <v>https://assets.publishing.service.gov.uk/government/uploads/system/uploads/attachment_data/file/789455/family-resources-survey-2017-18-background-note-methodology.pdf</v>
      </c>
      <c r="AI325" s="25" t="str">
        <f>_xlfn.XLOOKUP(tblMeasure[[#This Row],[id_src]],tblSource[id_src],tblSource[quality_issues])</f>
        <v>TBD</v>
      </c>
      <c r="AJ325" s="25">
        <f>VLOOKUP(tblMeasure[[#This Row],[msr_population_or_survey]],strlu_msr_population_or_survey,2,FALSE)</f>
        <v>0</v>
      </c>
      <c r="AK325" s="25">
        <f>VLOOKUP(tblMeasure[[#This Row],[msr_min_geo_resolution]],strlu_msr_min_geo_resolution,2,FALSE)</f>
        <v>0.5</v>
      </c>
      <c r="AL325" s="25">
        <f>(MAX(tblMeasure[[#This Row],[src_year_last_published]]-2010+1,0)+MIN(2010-tblMeasure[[#This Row],[src_year_first_published]],0)-MAX(tblMeasure[[#This Row],[src_year_last_published]]-2019,0))/10</f>
        <v>1</v>
      </c>
      <c r="AM325" s="25">
        <f>IF(OR(tblMeasure[[#This Row],[src_discontinuity]]="None",tblMeasure[[#This Row],[src_discontinuity]]=0),1,0)</f>
        <v>1</v>
      </c>
      <c r="AN325" s="25">
        <f>VLOOKUP(tblMeasure[[#This Row],[src_pub_frequency]],strlu_src_pub_frequency,2,FALSE)</f>
        <v>0.8</v>
      </c>
      <c r="AO325" s="25">
        <f>VLOOKUP(tblMeasure[[#This Row],[src_pub_lag_months]],strlu_src_pub_lag_months,2,FALSE)</f>
        <v>0</v>
      </c>
      <c r="AP325" s="25">
        <f>VLOOKUP(tblMeasure[[#This Row],[src_statistic_class]],strlu_src_statistic_class,2,FALSE)</f>
        <v>1</v>
      </c>
      <c r="AQ325" s="25">
        <f>IF(tblMeasure[[#This Row],[src_methodology_url]]="TBD",0,1)</f>
        <v>1</v>
      </c>
      <c r="AR325" s="25">
        <f>IF(tblMeasure[[#This Row],[src_quality_url]]="TBD",0,1)</f>
        <v>0</v>
      </c>
      <c r="AS325" s="85" cm="1">
        <f t="array" ref="AS325">SUMPRODUCT(TRANSPOSE(tblMeasure[[#This Row],[str_msr_population_or_survey]:[str_src_quality_url]]),str_weights)/str_weights_total</f>
        <v>0.62307692307692308</v>
      </c>
    </row>
    <row r="326" spans="1:45" hidden="1" x14ac:dyDescent="0.15">
      <c r="A326" s="30">
        <v>402</v>
      </c>
      <c r="B326" s="32">
        <f>COUNTIF(requirement_measure_map!$D$3:$D$1514,measure!A326)</f>
        <v>0</v>
      </c>
      <c r="C326" s="30" t="s">
        <v>1129</v>
      </c>
      <c r="D326" s="15" t="s">
        <v>1113</v>
      </c>
      <c r="E326" s="15" t="s">
        <v>1132</v>
      </c>
      <c r="F326" s="15" t="s">
        <v>1133</v>
      </c>
      <c r="G326" s="29" t="s">
        <v>1116</v>
      </c>
      <c r="H326" s="15"/>
      <c r="I326" s="15" t="s">
        <v>429</v>
      </c>
      <c r="J326" s="15" t="s">
        <v>1074</v>
      </c>
      <c r="K326" s="15" t="s">
        <v>1128</v>
      </c>
      <c r="L326" s="15" t="s">
        <v>1076</v>
      </c>
      <c r="M326" s="15" t="s">
        <v>219</v>
      </c>
      <c r="N326" s="15" t="s">
        <v>220</v>
      </c>
      <c r="O326" s="15" t="s">
        <v>220</v>
      </c>
      <c r="P326" s="15" t="s">
        <v>219</v>
      </c>
      <c r="Q326" s="15" t="s">
        <v>219</v>
      </c>
      <c r="R326" s="15" t="s">
        <v>219</v>
      </c>
      <c r="S326" s="15" t="s">
        <v>219</v>
      </c>
      <c r="T326" s="15" t="s">
        <v>219</v>
      </c>
      <c r="U326" s="15" t="s">
        <v>219</v>
      </c>
      <c r="V326" s="15" t="s">
        <v>219</v>
      </c>
      <c r="W326" s="15">
        <v>20</v>
      </c>
      <c r="X326" s="15" t="str">
        <f>_xlfn.XLOOKUP(tblMeasure[[#This Row],[id_src]],tblSource[id_src],tblSource[org])</f>
        <v>DWP</v>
      </c>
      <c r="Y326" s="25" t="str">
        <f>_xlfn.XLOOKUP(tblMeasure[[#This Row],[id_src]],tblSource[id_src],tblSource[source])</f>
        <v>Family Resources Survey</v>
      </c>
      <c r="Z326" s="25" t="str">
        <f>_xlfn.XLOOKUP(tblMeasure[[#This Row],[id_src]],tblSource[id_src],tblSource[url_source])</f>
        <v>https://www.gov.uk/government/collections/family-resources-survey--2</v>
      </c>
      <c r="AA326" s="25">
        <f>_xlfn.XLOOKUP(tblMeasure[[#This Row],[id_src]],tblSource[id_src],tblSource[year_first_published])</f>
        <v>1994</v>
      </c>
      <c r="AB326" s="25">
        <f>_xlfn.XLOOKUP(tblMeasure[[#This Row],[id_src]],tblSource[id_src],tblSource[year_last_published])</f>
        <v>2019</v>
      </c>
      <c r="AC326" s="25">
        <f>_xlfn.XLOOKUP(tblMeasure[[#This Row],[id_src]],tblSource[id_src],tblSource[discontinuity])</f>
        <v>0</v>
      </c>
      <c r="AD326" s="25" t="str">
        <f>_xlfn.XLOOKUP(tblMeasure[[#This Row],[id_src]],tblSource[id_src],tblSource[publication_frequency])</f>
        <v>Annual</v>
      </c>
      <c r="AE326" s="15" t="str">
        <f>_xlfn.XLOOKUP(tblMeasure[[#This Row],[id_src]],tblSource[id_src],tblSource[publication_lag_months])</f>
        <v>TBD</v>
      </c>
      <c r="AF326" s="25" t="str">
        <f>_xlfn.XLOOKUP(tblMeasure[[#This Row],[id_src]],tblSource[id_src],tblSource[data_providers])</f>
        <v>DWP</v>
      </c>
      <c r="AG326" s="25" t="str">
        <f>_xlfn.XLOOKUP(tblMeasure[[#This Row],[id_src]],tblSource[id_src],tblSource[statistic_class])</f>
        <v>National</v>
      </c>
      <c r="AH326" s="25" t="str">
        <f>_xlfn.XLOOKUP(tblMeasure[[#This Row],[id_src]],tblSource[id_src],tblSource[methodology_link])</f>
        <v>https://assets.publishing.service.gov.uk/government/uploads/system/uploads/attachment_data/file/789455/family-resources-survey-2017-18-background-note-methodology.pdf</v>
      </c>
      <c r="AI326" s="25" t="str">
        <f>_xlfn.XLOOKUP(tblMeasure[[#This Row],[id_src]],tblSource[id_src],tblSource[quality_issues])</f>
        <v>TBD</v>
      </c>
      <c r="AJ326" s="25">
        <f>VLOOKUP(tblMeasure[[#This Row],[msr_population_or_survey]],strlu_msr_population_or_survey,2,FALSE)</f>
        <v>0</v>
      </c>
      <c r="AK326" s="25">
        <f>VLOOKUP(tblMeasure[[#This Row],[msr_min_geo_resolution]],strlu_msr_min_geo_resolution,2,FALSE)</f>
        <v>0</v>
      </c>
      <c r="AL326" s="25">
        <f>(MAX(tblMeasure[[#This Row],[src_year_last_published]]-2010+1,0)+MIN(2010-tblMeasure[[#This Row],[src_year_first_published]],0)-MAX(tblMeasure[[#This Row],[src_year_last_published]]-2019,0))/10</f>
        <v>1</v>
      </c>
      <c r="AM326" s="25">
        <f>IF(OR(tblMeasure[[#This Row],[src_discontinuity]]="None",tblMeasure[[#This Row],[src_discontinuity]]=0),1,0)</f>
        <v>1</v>
      </c>
      <c r="AN326" s="25">
        <f>VLOOKUP(tblMeasure[[#This Row],[src_pub_frequency]],strlu_src_pub_frequency,2,FALSE)</f>
        <v>0.8</v>
      </c>
      <c r="AO326" s="25">
        <f>VLOOKUP(tblMeasure[[#This Row],[src_pub_lag_months]],strlu_src_pub_lag_months,2,FALSE)</f>
        <v>0</v>
      </c>
      <c r="AP326" s="25">
        <f>VLOOKUP(tblMeasure[[#This Row],[src_statistic_class]],strlu_src_statistic_class,2,FALSE)</f>
        <v>1</v>
      </c>
      <c r="AQ326" s="25">
        <f>IF(tblMeasure[[#This Row],[src_methodology_url]]="TBD",0,1)</f>
        <v>1</v>
      </c>
      <c r="AR326" s="25">
        <f>IF(tblMeasure[[#This Row],[src_quality_url]]="TBD",0,1)</f>
        <v>0</v>
      </c>
      <c r="AS326" s="85" cm="1">
        <f t="array" ref="AS326">SUMPRODUCT(TRANSPOSE(tblMeasure[[#This Row],[str_msr_population_or_survey]:[str_src_quality_url]]),str_weights)/str_weights_total</f>
        <v>0.5461538461538461</v>
      </c>
    </row>
    <row r="327" spans="1:45" hidden="1" x14ac:dyDescent="0.15">
      <c r="A327" s="30">
        <v>403</v>
      </c>
      <c r="B327" s="32">
        <f>COUNTIF(requirement_measure_map!$D$3:$D$1514,measure!A327)</f>
        <v>3</v>
      </c>
      <c r="C327" s="30" t="s">
        <v>1118</v>
      </c>
      <c r="D327" s="15" t="s">
        <v>1113</v>
      </c>
      <c r="E327" s="15" t="s">
        <v>1134</v>
      </c>
      <c r="F327" s="15" t="s">
        <v>1135</v>
      </c>
      <c r="G327" s="29" t="s">
        <v>1116</v>
      </c>
      <c r="H327" s="15"/>
      <c r="I327" s="15" t="s">
        <v>429</v>
      </c>
      <c r="J327" s="15" t="s">
        <v>1074</v>
      </c>
      <c r="K327" s="15" t="s">
        <v>1136</v>
      </c>
      <c r="L327" s="15" t="s">
        <v>287</v>
      </c>
      <c r="M327" s="15" t="s">
        <v>219</v>
      </c>
      <c r="N327" s="15" t="s">
        <v>219</v>
      </c>
      <c r="O327" s="15" t="s">
        <v>220</v>
      </c>
      <c r="P327" s="15" t="s">
        <v>219</v>
      </c>
      <c r="Q327" s="15" t="s">
        <v>219</v>
      </c>
      <c r="R327" s="15" t="s">
        <v>219</v>
      </c>
      <c r="S327" s="15" t="s">
        <v>220</v>
      </c>
      <c r="T327" s="15" t="s">
        <v>219</v>
      </c>
      <c r="U327" s="15" t="s">
        <v>219</v>
      </c>
      <c r="V327" s="15" t="s">
        <v>219</v>
      </c>
      <c r="W327" s="15">
        <v>20</v>
      </c>
      <c r="X327" s="15" t="str">
        <f>_xlfn.XLOOKUP(tblMeasure[[#This Row],[id_src]],tblSource[id_src],tblSource[org])</f>
        <v>DWP</v>
      </c>
      <c r="Y327" s="25" t="str">
        <f>_xlfn.XLOOKUP(tblMeasure[[#This Row],[id_src]],tblSource[id_src],tblSource[source])</f>
        <v>Family Resources Survey</v>
      </c>
      <c r="Z327" s="25" t="str">
        <f>_xlfn.XLOOKUP(tblMeasure[[#This Row],[id_src]],tblSource[id_src],tblSource[url_source])</f>
        <v>https://www.gov.uk/government/collections/family-resources-survey--2</v>
      </c>
      <c r="AA327" s="25">
        <f>_xlfn.XLOOKUP(tblMeasure[[#This Row],[id_src]],tblSource[id_src],tblSource[year_first_published])</f>
        <v>1994</v>
      </c>
      <c r="AB327" s="25">
        <f>_xlfn.XLOOKUP(tblMeasure[[#This Row],[id_src]],tblSource[id_src],tblSource[year_last_published])</f>
        <v>2019</v>
      </c>
      <c r="AC327" s="25">
        <f>_xlfn.XLOOKUP(tblMeasure[[#This Row],[id_src]],tblSource[id_src],tblSource[discontinuity])</f>
        <v>0</v>
      </c>
      <c r="AD327" s="25" t="str">
        <f>_xlfn.XLOOKUP(tblMeasure[[#This Row],[id_src]],tblSource[id_src],tblSource[publication_frequency])</f>
        <v>Annual</v>
      </c>
      <c r="AE327" s="15" t="str">
        <f>_xlfn.XLOOKUP(tblMeasure[[#This Row],[id_src]],tblSource[id_src],tblSource[publication_lag_months])</f>
        <v>TBD</v>
      </c>
      <c r="AF327" s="25" t="str">
        <f>_xlfn.XLOOKUP(tblMeasure[[#This Row],[id_src]],tblSource[id_src],tblSource[data_providers])</f>
        <v>DWP</v>
      </c>
      <c r="AG327" s="25" t="str">
        <f>_xlfn.XLOOKUP(tblMeasure[[#This Row],[id_src]],tblSource[id_src],tblSource[statistic_class])</f>
        <v>National</v>
      </c>
      <c r="AH327" s="25" t="str">
        <f>_xlfn.XLOOKUP(tblMeasure[[#This Row],[id_src]],tblSource[id_src],tblSource[methodology_link])</f>
        <v>https://assets.publishing.service.gov.uk/government/uploads/system/uploads/attachment_data/file/789455/family-resources-survey-2017-18-background-note-methodology.pdf</v>
      </c>
      <c r="AI327" s="25" t="str">
        <f>_xlfn.XLOOKUP(tblMeasure[[#This Row],[id_src]],tblSource[id_src],tblSource[quality_issues])</f>
        <v>TBD</v>
      </c>
      <c r="AJ327" s="25">
        <f>VLOOKUP(tblMeasure[[#This Row],[msr_population_or_survey]],strlu_msr_population_or_survey,2,FALSE)</f>
        <v>0</v>
      </c>
      <c r="AK327" s="25">
        <f>VLOOKUP(tblMeasure[[#This Row],[msr_min_geo_resolution]],strlu_msr_min_geo_resolution,2,FALSE)</f>
        <v>0.5</v>
      </c>
      <c r="AL327" s="25">
        <f>(MAX(tblMeasure[[#This Row],[src_year_last_published]]-2010+1,0)+MIN(2010-tblMeasure[[#This Row],[src_year_first_published]],0)-MAX(tblMeasure[[#This Row],[src_year_last_published]]-2019,0))/10</f>
        <v>1</v>
      </c>
      <c r="AM327" s="25">
        <f>IF(OR(tblMeasure[[#This Row],[src_discontinuity]]="None",tblMeasure[[#This Row],[src_discontinuity]]=0),1,0)</f>
        <v>1</v>
      </c>
      <c r="AN327" s="25">
        <f>VLOOKUP(tblMeasure[[#This Row],[src_pub_frequency]],strlu_src_pub_frequency,2,FALSE)</f>
        <v>0.8</v>
      </c>
      <c r="AO327" s="25">
        <f>VLOOKUP(tblMeasure[[#This Row],[src_pub_lag_months]],strlu_src_pub_lag_months,2,FALSE)</f>
        <v>0</v>
      </c>
      <c r="AP327" s="25">
        <f>VLOOKUP(tblMeasure[[#This Row],[src_statistic_class]],strlu_src_statistic_class,2,FALSE)</f>
        <v>1</v>
      </c>
      <c r="AQ327" s="25">
        <f>IF(tblMeasure[[#This Row],[src_methodology_url]]="TBD",0,1)</f>
        <v>1</v>
      </c>
      <c r="AR327" s="25">
        <f>IF(tblMeasure[[#This Row],[src_quality_url]]="TBD",0,1)</f>
        <v>0</v>
      </c>
      <c r="AS327" s="85" cm="1">
        <f t="array" ref="AS327">SUMPRODUCT(TRANSPOSE(tblMeasure[[#This Row],[str_msr_population_or_survey]:[str_src_quality_url]]),str_weights)/str_weights_total</f>
        <v>0.62307692307692308</v>
      </c>
    </row>
    <row r="328" spans="1:45" hidden="1" x14ac:dyDescent="0.15">
      <c r="A328" s="30">
        <v>404</v>
      </c>
      <c r="B328" s="32">
        <f>COUNTIF(requirement_measure_map!$D$3:$D$1514,measure!A328)</f>
        <v>4</v>
      </c>
      <c r="C328" s="30" t="s">
        <v>1118</v>
      </c>
      <c r="D328" s="15" t="s">
        <v>1113</v>
      </c>
      <c r="E328" s="15" t="s">
        <v>1137</v>
      </c>
      <c r="F328" s="15" t="s">
        <v>1138</v>
      </c>
      <c r="G328" s="29" t="s">
        <v>1116</v>
      </c>
      <c r="H328" s="15"/>
      <c r="I328" s="15" t="s">
        <v>429</v>
      </c>
      <c r="J328" s="15" t="s">
        <v>1074</v>
      </c>
      <c r="K328" s="15" t="s">
        <v>1139</v>
      </c>
      <c r="L328" s="15" t="s">
        <v>1076</v>
      </c>
      <c r="M328" s="15" t="s">
        <v>219</v>
      </c>
      <c r="N328" s="15" t="s">
        <v>219</v>
      </c>
      <c r="O328" s="15" t="s">
        <v>220</v>
      </c>
      <c r="P328" s="15" t="s">
        <v>219</v>
      </c>
      <c r="Q328" s="15" t="s">
        <v>219</v>
      </c>
      <c r="R328" s="15" t="s">
        <v>219</v>
      </c>
      <c r="S328" s="15" t="s">
        <v>220</v>
      </c>
      <c r="T328" s="15" t="s">
        <v>219</v>
      </c>
      <c r="U328" s="15" t="s">
        <v>219</v>
      </c>
      <c r="V328" s="15" t="s">
        <v>219</v>
      </c>
      <c r="W328" s="15">
        <v>20</v>
      </c>
      <c r="X328" s="15" t="str">
        <f>_xlfn.XLOOKUP(tblMeasure[[#This Row],[id_src]],tblSource[id_src],tblSource[org])</f>
        <v>DWP</v>
      </c>
      <c r="Y328" s="25" t="str">
        <f>_xlfn.XLOOKUP(tblMeasure[[#This Row],[id_src]],tblSource[id_src],tblSource[source])</f>
        <v>Family Resources Survey</v>
      </c>
      <c r="Z328" s="25" t="str">
        <f>_xlfn.XLOOKUP(tblMeasure[[#This Row],[id_src]],tblSource[id_src],tblSource[url_source])</f>
        <v>https://www.gov.uk/government/collections/family-resources-survey--2</v>
      </c>
      <c r="AA328" s="25">
        <f>_xlfn.XLOOKUP(tblMeasure[[#This Row],[id_src]],tblSource[id_src],tblSource[year_first_published])</f>
        <v>1994</v>
      </c>
      <c r="AB328" s="25">
        <f>_xlfn.XLOOKUP(tblMeasure[[#This Row],[id_src]],tblSource[id_src],tblSource[year_last_published])</f>
        <v>2019</v>
      </c>
      <c r="AC328" s="25">
        <f>_xlfn.XLOOKUP(tblMeasure[[#This Row],[id_src]],tblSource[id_src],tblSource[discontinuity])</f>
        <v>0</v>
      </c>
      <c r="AD328" s="25" t="str">
        <f>_xlfn.XLOOKUP(tblMeasure[[#This Row],[id_src]],tblSource[id_src],tblSource[publication_frequency])</f>
        <v>Annual</v>
      </c>
      <c r="AE328" s="15" t="str">
        <f>_xlfn.XLOOKUP(tblMeasure[[#This Row],[id_src]],tblSource[id_src],tblSource[publication_lag_months])</f>
        <v>TBD</v>
      </c>
      <c r="AF328" s="25" t="str">
        <f>_xlfn.XLOOKUP(tblMeasure[[#This Row],[id_src]],tblSource[id_src],tblSource[data_providers])</f>
        <v>DWP</v>
      </c>
      <c r="AG328" s="25" t="str">
        <f>_xlfn.XLOOKUP(tblMeasure[[#This Row],[id_src]],tblSource[id_src],tblSource[statistic_class])</f>
        <v>National</v>
      </c>
      <c r="AH328" s="25" t="str">
        <f>_xlfn.XLOOKUP(tblMeasure[[#This Row],[id_src]],tblSource[id_src],tblSource[methodology_link])</f>
        <v>https://assets.publishing.service.gov.uk/government/uploads/system/uploads/attachment_data/file/789455/family-resources-survey-2017-18-background-note-methodology.pdf</v>
      </c>
      <c r="AI328" s="25" t="str">
        <f>_xlfn.XLOOKUP(tblMeasure[[#This Row],[id_src]],tblSource[id_src],tblSource[quality_issues])</f>
        <v>TBD</v>
      </c>
      <c r="AJ328" s="25">
        <f>VLOOKUP(tblMeasure[[#This Row],[msr_population_or_survey]],strlu_msr_population_or_survey,2,FALSE)</f>
        <v>0</v>
      </c>
      <c r="AK328" s="25">
        <f>VLOOKUP(tblMeasure[[#This Row],[msr_min_geo_resolution]],strlu_msr_min_geo_resolution,2,FALSE)</f>
        <v>0</v>
      </c>
      <c r="AL328" s="25">
        <f>(MAX(tblMeasure[[#This Row],[src_year_last_published]]-2010+1,0)+MIN(2010-tblMeasure[[#This Row],[src_year_first_published]],0)-MAX(tblMeasure[[#This Row],[src_year_last_published]]-2019,0))/10</f>
        <v>1</v>
      </c>
      <c r="AM328" s="25">
        <f>IF(OR(tblMeasure[[#This Row],[src_discontinuity]]="None",tblMeasure[[#This Row],[src_discontinuity]]=0),1,0)</f>
        <v>1</v>
      </c>
      <c r="AN328" s="25">
        <f>VLOOKUP(tblMeasure[[#This Row],[src_pub_frequency]],strlu_src_pub_frequency,2,FALSE)</f>
        <v>0.8</v>
      </c>
      <c r="AO328" s="25">
        <f>VLOOKUP(tblMeasure[[#This Row],[src_pub_lag_months]],strlu_src_pub_lag_months,2,FALSE)</f>
        <v>0</v>
      </c>
      <c r="AP328" s="25">
        <f>VLOOKUP(tblMeasure[[#This Row],[src_statistic_class]],strlu_src_statistic_class,2,FALSE)</f>
        <v>1</v>
      </c>
      <c r="AQ328" s="25">
        <f>IF(tblMeasure[[#This Row],[src_methodology_url]]="TBD",0,1)</f>
        <v>1</v>
      </c>
      <c r="AR328" s="25">
        <f>IF(tblMeasure[[#This Row],[src_quality_url]]="TBD",0,1)</f>
        <v>0</v>
      </c>
      <c r="AS328" s="85" cm="1">
        <f t="array" ref="AS328">SUMPRODUCT(TRANSPOSE(tblMeasure[[#This Row],[str_msr_population_or_survey]:[str_src_quality_url]]),str_weights)/str_weights_total</f>
        <v>0.5461538461538461</v>
      </c>
    </row>
    <row r="329" spans="1:45" hidden="1" x14ac:dyDescent="0.15">
      <c r="A329" s="30">
        <v>405</v>
      </c>
      <c r="B329" s="32">
        <f>COUNTIF(requirement_measure_map!$D$3:$D$1514,measure!A329)</f>
        <v>4</v>
      </c>
      <c r="C329" s="30" t="s">
        <v>1118</v>
      </c>
      <c r="D329" s="15" t="s">
        <v>1113</v>
      </c>
      <c r="E329" s="15" t="s">
        <v>1140</v>
      </c>
      <c r="F329" s="15" t="s">
        <v>1141</v>
      </c>
      <c r="G329" s="29" t="s">
        <v>1116</v>
      </c>
      <c r="H329" s="15"/>
      <c r="I329" s="15" t="s">
        <v>429</v>
      </c>
      <c r="J329" s="15" t="s">
        <v>1074</v>
      </c>
      <c r="K329" s="15" t="s">
        <v>1136</v>
      </c>
      <c r="L329" s="15" t="s">
        <v>1076</v>
      </c>
      <c r="M329" s="15" t="s">
        <v>219</v>
      </c>
      <c r="N329" s="15" t="s">
        <v>220</v>
      </c>
      <c r="O329" s="15" t="s">
        <v>220</v>
      </c>
      <c r="P329" s="15" t="s">
        <v>219</v>
      </c>
      <c r="Q329" s="15" t="s">
        <v>219</v>
      </c>
      <c r="R329" s="15" t="s">
        <v>219</v>
      </c>
      <c r="S329" s="15" t="s">
        <v>220</v>
      </c>
      <c r="T329" s="15" t="s">
        <v>219</v>
      </c>
      <c r="U329" s="15" t="s">
        <v>219</v>
      </c>
      <c r="V329" s="15" t="s">
        <v>219</v>
      </c>
      <c r="W329" s="15">
        <v>20</v>
      </c>
      <c r="X329" s="15" t="str">
        <f>_xlfn.XLOOKUP(tblMeasure[[#This Row],[id_src]],tblSource[id_src],tblSource[org])</f>
        <v>DWP</v>
      </c>
      <c r="Y329" s="25" t="str">
        <f>_xlfn.XLOOKUP(tblMeasure[[#This Row],[id_src]],tblSource[id_src],tblSource[source])</f>
        <v>Family Resources Survey</v>
      </c>
      <c r="Z329" s="25" t="str">
        <f>_xlfn.XLOOKUP(tblMeasure[[#This Row],[id_src]],tblSource[id_src],tblSource[url_source])</f>
        <v>https://www.gov.uk/government/collections/family-resources-survey--2</v>
      </c>
      <c r="AA329" s="25">
        <f>_xlfn.XLOOKUP(tblMeasure[[#This Row],[id_src]],tblSource[id_src],tblSource[year_first_published])</f>
        <v>1994</v>
      </c>
      <c r="AB329" s="25">
        <f>_xlfn.XLOOKUP(tblMeasure[[#This Row],[id_src]],tblSource[id_src],tblSource[year_last_published])</f>
        <v>2019</v>
      </c>
      <c r="AC329" s="25">
        <f>_xlfn.XLOOKUP(tblMeasure[[#This Row],[id_src]],tblSource[id_src],tblSource[discontinuity])</f>
        <v>0</v>
      </c>
      <c r="AD329" s="25" t="str">
        <f>_xlfn.XLOOKUP(tblMeasure[[#This Row],[id_src]],tblSource[id_src],tblSource[publication_frequency])</f>
        <v>Annual</v>
      </c>
      <c r="AE329" s="15" t="str">
        <f>_xlfn.XLOOKUP(tblMeasure[[#This Row],[id_src]],tblSource[id_src],tblSource[publication_lag_months])</f>
        <v>TBD</v>
      </c>
      <c r="AF329" s="25" t="str">
        <f>_xlfn.XLOOKUP(tblMeasure[[#This Row],[id_src]],tblSource[id_src],tblSource[data_providers])</f>
        <v>DWP</v>
      </c>
      <c r="AG329" s="25" t="str">
        <f>_xlfn.XLOOKUP(tblMeasure[[#This Row],[id_src]],tblSource[id_src],tblSource[statistic_class])</f>
        <v>National</v>
      </c>
      <c r="AH329" s="25" t="str">
        <f>_xlfn.XLOOKUP(tblMeasure[[#This Row],[id_src]],tblSource[id_src],tblSource[methodology_link])</f>
        <v>https://assets.publishing.service.gov.uk/government/uploads/system/uploads/attachment_data/file/789455/family-resources-survey-2017-18-background-note-methodology.pdf</v>
      </c>
      <c r="AI329" s="25" t="str">
        <f>_xlfn.XLOOKUP(tblMeasure[[#This Row],[id_src]],tblSource[id_src],tblSource[quality_issues])</f>
        <v>TBD</v>
      </c>
      <c r="AJ329" s="25">
        <f>VLOOKUP(tblMeasure[[#This Row],[msr_population_or_survey]],strlu_msr_population_or_survey,2,FALSE)</f>
        <v>0</v>
      </c>
      <c r="AK329" s="25">
        <f>VLOOKUP(tblMeasure[[#This Row],[msr_min_geo_resolution]],strlu_msr_min_geo_resolution,2,FALSE)</f>
        <v>0</v>
      </c>
      <c r="AL329" s="25">
        <f>(MAX(tblMeasure[[#This Row],[src_year_last_published]]-2010+1,0)+MIN(2010-tblMeasure[[#This Row],[src_year_first_published]],0)-MAX(tblMeasure[[#This Row],[src_year_last_published]]-2019,0))/10</f>
        <v>1</v>
      </c>
      <c r="AM329" s="25">
        <f>IF(OR(tblMeasure[[#This Row],[src_discontinuity]]="None",tblMeasure[[#This Row],[src_discontinuity]]=0),1,0)</f>
        <v>1</v>
      </c>
      <c r="AN329" s="25">
        <f>VLOOKUP(tblMeasure[[#This Row],[src_pub_frequency]],strlu_src_pub_frequency,2,FALSE)</f>
        <v>0.8</v>
      </c>
      <c r="AO329" s="25">
        <f>VLOOKUP(tblMeasure[[#This Row],[src_pub_lag_months]],strlu_src_pub_lag_months,2,FALSE)</f>
        <v>0</v>
      </c>
      <c r="AP329" s="25">
        <f>VLOOKUP(tblMeasure[[#This Row],[src_statistic_class]],strlu_src_statistic_class,2,FALSE)</f>
        <v>1</v>
      </c>
      <c r="AQ329" s="25">
        <f>IF(tblMeasure[[#This Row],[src_methodology_url]]="TBD",0,1)</f>
        <v>1</v>
      </c>
      <c r="AR329" s="25">
        <f>IF(tblMeasure[[#This Row],[src_quality_url]]="TBD",0,1)</f>
        <v>0</v>
      </c>
      <c r="AS329" s="85" cm="1">
        <f t="array" ref="AS329">SUMPRODUCT(TRANSPOSE(tblMeasure[[#This Row],[str_msr_population_or_survey]:[str_src_quality_url]]),str_weights)/str_weights_total</f>
        <v>0.5461538461538461</v>
      </c>
    </row>
    <row r="330" spans="1:45" hidden="1" x14ac:dyDescent="0.15">
      <c r="A330" s="30">
        <v>406</v>
      </c>
      <c r="B330" s="32">
        <f>COUNTIF(requirement_measure_map!$D$3:$D$1514,measure!A330)</f>
        <v>4</v>
      </c>
      <c r="C330" s="30" t="s">
        <v>1118</v>
      </c>
      <c r="D330" s="15" t="s">
        <v>1113</v>
      </c>
      <c r="E330" s="15" t="s">
        <v>1142</v>
      </c>
      <c r="F330" s="15" t="s">
        <v>1143</v>
      </c>
      <c r="G330" s="29" t="s">
        <v>1116</v>
      </c>
      <c r="H330" s="15"/>
      <c r="I330" s="15" t="s">
        <v>429</v>
      </c>
      <c r="J330" s="15" t="s">
        <v>1074</v>
      </c>
      <c r="K330" s="15" t="s">
        <v>1136</v>
      </c>
      <c r="L330" s="15" t="s">
        <v>1076</v>
      </c>
      <c r="M330" s="15" t="s">
        <v>741</v>
      </c>
      <c r="N330" s="15" t="s">
        <v>219</v>
      </c>
      <c r="O330" s="15" t="s">
        <v>220</v>
      </c>
      <c r="P330" s="15" t="s">
        <v>219</v>
      </c>
      <c r="Q330" s="15" t="s">
        <v>219</v>
      </c>
      <c r="R330" s="15" t="s">
        <v>219</v>
      </c>
      <c r="S330" s="15" t="s">
        <v>220</v>
      </c>
      <c r="T330" s="15" t="s">
        <v>219</v>
      </c>
      <c r="U330" s="15" t="s">
        <v>219</v>
      </c>
      <c r="V330" s="15" t="s">
        <v>219</v>
      </c>
      <c r="W330" s="15">
        <v>20</v>
      </c>
      <c r="X330" s="15" t="str">
        <f>_xlfn.XLOOKUP(tblMeasure[[#This Row],[id_src]],tblSource[id_src],tblSource[org])</f>
        <v>DWP</v>
      </c>
      <c r="Y330" s="25" t="str">
        <f>_xlfn.XLOOKUP(tblMeasure[[#This Row],[id_src]],tblSource[id_src],tblSource[source])</f>
        <v>Family Resources Survey</v>
      </c>
      <c r="Z330" s="25" t="str">
        <f>_xlfn.XLOOKUP(tblMeasure[[#This Row],[id_src]],tblSource[id_src],tblSource[url_source])</f>
        <v>https://www.gov.uk/government/collections/family-resources-survey--2</v>
      </c>
      <c r="AA330" s="25">
        <f>_xlfn.XLOOKUP(tblMeasure[[#This Row],[id_src]],tblSource[id_src],tblSource[year_first_published])</f>
        <v>1994</v>
      </c>
      <c r="AB330" s="25">
        <f>_xlfn.XLOOKUP(tblMeasure[[#This Row],[id_src]],tblSource[id_src],tblSource[year_last_published])</f>
        <v>2019</v>
      </c>
      <c r="AC330" s="25">
        <f>_xlfn.XLOOKUP(tblMeasure[[#This Row],[id_src]],tblSource[id_src],tblSource[discontinuity])</f>
        <v>0</v>
      </c>
      <c r="AD330" s="25" t="str">
        <f>_xlfn.XLOOKUP(tblMeasure[[#This Row],[id_src]],tblSource[id_src],tblSource[publication_frequency])</f>
        <v>Annual</v>
      </c>
      <c r="AE330" s="15" t="str">
        <f>_xlfn.XLOOKUP(tblMeasure[[#This Row],[id_src]],tblSource[id_src],tblSource[publication_lag_months])</f>
        <v>TBD</v>
      </c>
      <c r="AF330" s="25" t="str">
        <f>_xlfn.XLOOKUP(tblMeasure[[#This Row],[id_src]],tblSource[id_src],tblSource[data_providers])</f>
        <v>DWP</v>
      </c>
      <c r="AG330" s="25" t="str">
        <f>_xlfn.XLOOKUP(tblMeasure[[#This Row],[id_src]],tblSource[id_src],tblSource[statistic_class])</f>
        <v>National</v>
      </c>
      <c r="AH330" s="25" t="str">
        <f>_xlfn.XLOOKUP(tblMeasure[[#This Row],[id_src]],tblSource[id_src],tblSource[methodology_link])</f>
        <v>https://assets.publishing.service.gov.uk/government/uploads/system/uploads/attachment_data/file/789455/family-resources-survey-2017-18-background-note-methodology.pdf</v>
      </c>
      <c r="AI330" s="25" t="str">
        <f>_xlfn.XLOOKUP(tblMeasure[[#This Row],[id_src]],tblSource[id_src],tblSource[quality_issues])</f>
        <v>TBD</v>
      </c>
      <c r="AJ330" s="25">
        <f>VLOOKUP(tblMeasure[[#This Row],[msr_population_or_survey]],strlu_msr_population_or_survey,2,FALSE)</f>
        <v>0</v>
      </c>
      <c r="AK330" s="25">
        <f>VLOOKUP(tblMeasure[[#This Row],[msr_min_geo_resolution]],strlu_msr_min_geo_resolution,2,FALSE)</f>
        <v>0</v>
      </c>
      <c r="AL330" s="25">
        <f>(MAX(tblMeasure[[#This Row],[src_year_last_published]]-2010+1,0)+MIN(2010-tblMeasure[[#This Row],[src_year_first_published]],0)-MAX(tblMeasure[[#This Row],[src_year_last_published]]-2019,0))/10</f>
        <v>1</v>
      </c>
      <c r="AM330" s="25">
        <f>IF(OR(tblMeasure[[#This Row],[src_discontinuity]]="None",tblMeasure[[#This Row],[src_discontinuity]]=0),1,0)</f>
        <v>1</v>
      </c>
      <c r="AN330" s="25">
        <f>VLOOKUP(tblMeasure[[#This Row],[src_pub_frequency]],strlu_src_pub_frequency,2,FALSE)</f>
        <v>0.8</v>
      </c>
      <c r="AO330" s="25">
        <f>VLOOKUP(tblMeasure[[#This Row],[src_pub_lag_months]],strlu_src_pub_lag_months,2,FALSE)</f>
        <v>0</v>
      </c>
      <c r="AP330" s="25">
        <f>VLOOKUP(tblMeasure[[#This Row],[src_statistic_class]],strlu_src_statistic_class,2,FALSE)</f>
        <v>1</v>
      </c>
      <c r="AQ330" s="25">
        <f>IF(tblMeasure[[#This Row],[src_methodology_url]]="TBD",0,1)</f>
        <v>1</v>
      </c>
      <c r="AR330" s="25">
        <f>IF(tblMeasure[[#This Row],[src_quality_url]]="TBD",0,1)</f>
        <v>0</v>
      </c>
      <c r="AS330" s="85" cm="1">
        <f t="array" ref="AS330">SUMPRODUCT(TRANSPOSE(tblMeasure[[#This Row],[str_msr_population_or_survey]:[str_src_quality_url]]),str_weights)/str_weights_total</f>
        <v>0.5461538461538461</v>
      </c>
    </row>
    <row r="331" spans="1:45" hidden="1" x14ac:dyDescent="0.15">
      <c r="A331" s="30">
        <v>407</v>
      </c>
      <c r="B331" s="32">
        <f>COUNTIF(requirement_measure_map!$D$3:$D$1514,measure!A331)</f>
        <v>4</v>
      </c>
      <c r="C331" s="30" t="s">
        <v>1118</v>
      </c>
      <c r="D331" s="15" t="s">
        <v>1113</v>
      </c>
      <c r="E331" s="15" t="s">
        <v>1144</v>
      </c>
      <c r="F331" s="15" t="s">
        <v>1145</v>
      </c>
      <c r="G331" s="29" t="s">
        <v>1116</v>
      </c>
      <c r="H331" s="15"/>
      <c r="I331" s="15" t="s">
        <v>429</v>
      </c>
      <c r="J331" s="15" t="s">
        <v>1074</v>
      </c>
      <c r="K331" s="15" t="s">
        <v>1146</v>
      </c>
      <c r="L331" s="15" t="s">
        <v>1076</v>
      </c>
      <c r="M331" s="15" t="s">
        <v>219</v>
      </c>
      <c r="N331" s="15" t="s">
        <v>219</v>
      </c>
      <c r="O331" s="15" t="s">
        <v>220</v>
      </c>
      <c r="P331" s="15" t="s">
        <v>219</v>
      </c>
      <c r="Q331" s="15" t="s">
        <v>219</v>
      </c>
      <c r="R331" s="15" t="s">
        <v>219</v>
      </c>
      <c r="S331" s="15" t="s">
        <v>220</v>
      </c>
      <c r="T331" s="15" t="s">
        <v>219</v>
      </c>
      <c r="U331" s="15" t="s">
        <v>219</v>
      </c>
      <c r="V331" s="15" t="s">
        <v>219</v>
      </c>
      <c r="W331" s="15">
        <v>20</v>
      </c>
      <c r="X331" s="15" t="str">
        <f>_xlfn.XLOOKUP(tblMeasure[[#This Row],[id_src]],tblSource[id_src],tblSource[org])</f>
        <v>DWP</v>
      </c>
      <c r="Y331" s="25" t="str">
        <f>_xlfn.XLOOKUP(tblMeasure[[#This Row],[id_src]],tblSource[id_src],tblSource[source])</f>
        <v>Family Resources Survey</v>
      </c>
      <c r="Z331" s="25" t="str">
        <f>_xlfn.XLOOKUP(tblMeasure[[#This Row],[id_src]],tblSource[id_src],tblSource[url_source])</f>
        <v>https://www.gov.uk/government/collections/family-resources-survey--2</v>
      </c>
      <c r="AA331" s="25">
        <f>_xlfn.XLOOKUP(tblMeasure[[#This Row],[id_src]],tblSource[id_src],tblSource[year_first_published])</f>
        <v>1994</v>
      </c>
      <c r="AB331" s="25">
        <f>_xlfn.XLOOKUP(tblMeasure[[#This Row],[id_src]],tblSource[id_src],tblSource[year_last_published])</f>
        <v>2019</v>
      </c>
      <c r="AC331" s="25">
        <f>_xlfn.XLOOKUP(tblMeasure[[#This Row],[id_src]],tblSource[id_src],tblSource[discontinuity])</f>
        <v>0</v>
      </c>
      <c r="AD331" s="25" t="str">
        <f>_xlfn.XLOOKUP(tblMeasure[[#This Row],[id_src]],tblSource[id_src],tblSource[publication_frequency])</f>
        <v>Annual</v>
      </c>
      <c r="AE331" s="15" t="str">
        <f>_xlfn.XLOOKUP(tblMeasure[[#This Row],[id_src]],tblSource[id_src],tblSource[publication_lag_months])</f>
        <v>TBD</v>
      </c>
      <c r="AF331" s="25" t="str">
        <f>_xlfn.XLOOKUP(tblMeasure[[#This Row],[id_src]],tblSource[id_src],tblSource[data_providers])</f>
        <v>DWP</v>
      </c>
      <c r="AG331" s="25" t="str">
        <f>_xlfn.XLOOKUP(tblMeasure[[#This Row],[id_src]],tblSource[id_src],tblSource[statistic_class])</f>
        <v>National</v>
      </c>
      <c r="AH331" s="25" t="str">
        <f>_xlfn.XLOOKUP(tblMeasure[[#This Row],[id_src]],tblSource[id_src],tblSource[methodology_link])</f>
        <v>https://assets.publishing.service.gov.uk/government/uploads/system/uploads/attachment_data/file/789455/family-resources-survey-2017-18-background-note-methodology.pdf</v>
      </c>
      <c r="AI331" s="25" t="str">
        <f>_xlfn.XLOOKUP(tblMeasure[[#This Row],[id_src]],tblSource[id_src],tblSource[quality_issues])</f>
        <v>TBD</v>
      </c>
      <c r="AJ331" s="25">
        <f>VLOOKUP(tblMeasure[[#This Row],[msr_population_or_survey]],strlu_msr_population_or_survey,2,FALSE)</f>
        <v>0</v>
      </c>
      <c r="AK331" s="25">
        <f>VLOOKUP(tblMeasure[[#This Row],[msr_min_geo_resolution]],strlu_msr_min_geo_resolution,2,FALSE)</f>
        <v>0</v>
      </c>
      <c r="AL331" s="25">
        <f>(MAX(tblMeasure[[#This Row],[src_year_last_published]]-2010+1,0)+MIN(2010-tblMeasure[[#This Row],[src_year_first_published]],0)-MAX(tblMeasure[[#This Row],[src_year_last_published]]-2019,0))/10</f>
        <v>1</v>
      </c>
      <c r="AM331" s="25">
        <f>IF(OR(tblMeasure[[#This Row],[src_discontinuity]]="None",tblMeasure[[#This Row],[src_discontinuity]]=0),1,0)</f>
        <v>1</v>
      </c>
      <c r="AN331" s="25">
        <f>VLOOKUP(tblMeasure[[#This Row],[src_pub_frequency]],strlu_src_pub_frequency,2,FALSE)</f>
        <v>0.8</v>
      </c>
      <c r="AO331" s="25">
        <f>VLOOKUP(tblMeasure[[#This Row],[src_pub_lag_months]],strlu_src_pub_lag_months,2,FALSE)</f>
        <v>0</v>
      </c>
      <c r="AP331" s="25">
        <f>VLOOKUP(tblMeasure[[#This Row],[src_statistic_class]],strlu_src_statistic_class,2,FALSE)</f>
        <v>1</v>
      </c>
      <c r="AQ331" s="25">
        <f>IF(tblMeasure[[#This Row],[src_methodology_url]]="TBD",0,1)</f>
        <v>1</v>
      </c>
      <c r="AR331" s="25">
        <f>IF(tblMeasure[[#This Row],[src_quality_url]]="TBD",0,1)</f>
        <v>0</v>
      </c>
      <c r="AS331" s="85" cm="1">
        <f t="array" ref="AS331">SUMPRODUCT(TRANSPOSE(tblMeasure[[#This Row],[str_msr_population_or_survey]:[str_src_quality_url]]),str_weights)/str_weights_total</f>
        <v>0.5461538461538461</v>
      </c>
    </row>
    <row r="332" spans="1:45" hidden="1" x14ac:dyDescent="0.15">
      <c r="A332" s="30">
        <v>408</v>
      </c>
      <c r="B332" s="32">
        <f>COUNTIF(requirement_measure_map!$D$3:$D$1514,measure!A332)</f>
        <v>4</v>
      </c>
      <c r="C332" s="30" t="s">
        <v>1118</v>
      </c>
      <c r="D332" s="15" t="s">
        <v>1113</v>
      </c>
      <c r="E332" s="15" t="s">
        <v>1147</v>
      </c>
      <c r="F332" s="15" t="s">
        <v>1148</v>
      </c>
      <c r="G332" s="29" t="s">
        <v>1116</v>
      </c>
      <c r="H332" s="15"/>
      <c r="I332" s="15" t="s">
        <v>429</v>
      </c>
      <c r="J332" s="15" t="s">
        <v>1074</v>
      </c>
      <c r="K332" s="15" t="s">
        <v>1149</v>
      </c>
      <c r="L332" s="15" t="s">
        <v>1076</v>
      </c>
      <c r="M332" s="15" t="s">
        <v>219</v>
      </c>
      <c r="N332" s="15" t="s">
        <v>219</v>
      </c>
      <c r="O332" s="15" t="s">
        <v>220</v>
      </c>
      <c r="P332" s="15" t="s">
        <v>219</v>
      </c>
      <c r="Q332" s="15" t="s">
        <v>219</v>
      </c>
      <c r="R332" s="15" t="s">
        <v>219</v>
      </c>
      <c r="S332" s="15" t="s">
        <v>220</v>
      </c>
      <c r="T332" s="15" t="s">
        <v>219</v>
      </c>
      <c r="U332" s="15" t="s">
        <v>219</v>
      </c>
      <c r="V332" s="15" t="s">
        <v>219</v>
      </c>
      <c r="W332" s="15">
        <v>20</v>
      </c>
      <c r="X332" s="15" t="str">
        <f>_xlfn.XLOOKUP(tblMeasure[[#This Row],[id_src]],tblSource[id_src],tblSource[org])</f>
        <v>DWP</v>
      </c>
      <c r="Y332" s="25" t="str">
        <f>_xlfn.XLOOKUP(tblMeasure[[#This Row],[id_src]],tblSource[id_src],tblSource[source])</f>
        <v>Family Resources Survey</v>
      </c>
      <c r="Z332" s="25" t="str">
        <f>_xlfn.XLOOKUP(tblMeasure[[#This Row],[id_src]],tblSource[id_src],tblSource[url_source])</f>
        <v>https://www.gov.uk/government/collections/family-resources-survey--2</v>
      </c>
      <c r="AA332" s="25">
        <f>_xlfn.XLOOKUP(tblMeasure[[#This Row],[id_src]],tblSource[id_src],tblSource[year_first_published])</f>
        <v>1994</v>
      </c>
      <c r="AB332" s="25">
        <f>_xlfn.XLOOKUP(tblMeasure[[#This Row],[id_src]],tblSource[id_src],tblSource[year_last_published])</f>
        <v>2019</v>
      </c>
      <c r="AC332" s="25">
        <f>_xlfn.XLOOKUP(tblMeasure[[#This Row],[id_src]],tblSource[id_src],tblSource[discontinuity])</f>
        <v>0</v>
      </c>
      <c r="AD332" s="25" t="str">
        <f>_xlfn.XLOOKUP(tblMeasure[[#This Row],[id_src]],tblSource[id_src],tblSource[publication_frequency])</f>
        <v>Annual</v>
      </c>
      <c r="AE332" s="15" t="str">
        <f>_xlfn.XLOOKUP(tblMeasure[[#This Row],[id_src]],tblSource[id_src],tblSource[publication_lag_months])</f>
        <v>TBD</v>
      </c>
      <c r="AF332" s="25" t="str">
        <f>_xlfn.XLOOKUP(tblMeasure[[#This Row],[id_src]],tblSource[id_src],tblSource[data_providers])</f>
        <v>DWP</v>
      </c>
      <c r="AG332" s="25" t="str">
        <f>_xlfn.XLOOKUP(tblMeasure[[#This Row],[id_src]],tblSource[id_src],tblSource[statistic_class])</f>
        <v>National</v>
      </c>
      <c r="AH332" s="25" t="str">
        <f>_xlfn.XLOOKUP(tblMeasure[[#This Row],[id_src]],tblSource[id_src],tblSource[methodology_link])</f>
        <v>https://assets.publishing.service.gov.uk/government/uploads/system/uploads/attachment_data/file/789455/family-resources-survey-2017-18-background-note-methodology.pdf</v>
      </c>
      <c r="AI332" s="25" t="str">
        <f>_xlfn.XLOOKUP(tblMeasure[[#This Row],[id_src]],tblSource[id_src],tblSource[quality_issues])</f>
        <v>TBD</v>
      </c>
      <c r="AJ332" s="25">
        <f>VLOOKUP(tblMeasure[[#This Row],[msr_population_or_survey]],strlu_msr_population_or_survey,2,FALSE)</f>
        <v>0</v>
      </c>
      <c r="AK332" s="25">
        <f>VLOOKUP(tblMeasure[[#This Row],[msr_min_geo_resolution]],strlu_msr_min_geo_resolution,2,FALSE)</f>
        <v>0</v>
      </c>
      <c r="AL332" s="25">
        <f>(MAX(tblMeasure[[#This Row],[src_year_last_published]]-2010+1,0)+MIN(2010-tblMeasure[[#This Row],[src_year_first_published]],0)-MAX(tblMeasure[[#This Row],[src_year_last_published]]-2019,0))/10</f>
        <v>1</v>
      </c>
      <c r="AM332" s="25">
        <f>IF(OR(tblMeasure[[#This Row],[src_discontinuity]]="None",tblMeasure[[#This Row],[src_discontinuity]]=0),1,0)</f>
        <v>1</v>
      </c>
      <c r="AN332" s="25">
        <f>VLOOKUP(tblMeasure[[#This Row],[src_pub_frequency]],strlu_src_pub_frequency,2,FALSE)</f>
        <v>0.8</v>
      </c>
      <c r="AO332" s="25">
        <f>VLOOKUP(tblMeasure[[#This Row],[src_pub_lag_months]],strlu_src_pub_lag_months,2,FALSE)</f>
        <v>0</v>
      </c>
      <c r="AP332" s="25">
        <f>VLOOKUP(tblMeasure[[#This Row],[src_statistic_class]],strlu_src_statistic_class,2,FALSE)</f>
        <v>1</v>
      </c>
      <c r="AQ332" s="25">
        <f>IF(tblMeasure[[#This Row],[src_methodology_url]]="TBD",0,1)</f>
        <v>1</v>
      </c>
      <c r="AR332" s="25">
        <f>IF(tblMeasure[[#This Row],[src_quality_url]]="TBD",0,1)</f>
        <v>0</v>
      </c>
      <c r="AS332" s="85" cm="1">
        <f t="array" ref="AS332">SUMPRODUCT(TRANSPOSE(tblMeasure[[#This Row],[str_msr_population_or_survey]:[str_src_quality_url]]),str_weights)/str_weights_total</f>
        <v>0.5461538461538461</v>
      </c>
    </row>
    <row r="333" spans="1:45" hidden="1" x14ac:dyDescent="0.15">
      <c r="A333" s="30">
        <v>409</v>
      </c>
      <c r="B333" s="32">
        <f>COUNTIF(requirement_measure_map!$D$3:$D$1514,measure!A333)</f>
        <v>2</v>
      </c>
      <c r="C333" s="30" t="s">
        <v>1118</v>
      </c>
      <c r="D333" s="15" t="s">
        <v>1113</v>
      </c>
      <c r="E333" s="15" t="s">
        <v>1150</v>
      </c>
      <c r="F333" s="15" t="s">
        <v>1151</v>
      </c>
      <c r="G333" s="29" t="s">
        <v>1116</v>
      </c>
      <c r="H333" s="15"/>
      <c r="I333" s="15" t="s">
        <v>429</v>
      </c>
      <c r="J333" s="15" t="s">
        <v>1074</v>
      </c>
      <c r="K333" s="15" t="s">
        <v>1152</v>
      </c>
      <c r="L333" s="15" t="s">
        <v>1076</v>
      </c>
      <c r="M333" s="15" t="s">
        <v>219</v>
      </c>
      <c r="N333" s="15" t="s">
        <v>219</v>
      </c>
      <c r="O333" s="15" t="s">
        <v>219</v>
      </c>
      <c r="P333" s="15" t="s">
        <v>219</v>
      </c>
      <c r="Q333" s="15" t="s">
        <v>219</v>
      </c>
      <c r="R333" s="15" t="s">
        <v>219</v>
      </c>
      <c r="S333" s="15" t="s">
        <v>219</v>
      </c>
      <c r="T333" s="15" t="s">
        <v>219</v>
      </c>
      <c r="U333" s="15" t="s">
        <v>219</v>
      </c>
      <c r="V333" s="15" t="s">
        <v>219</v>
      </c>
      <c r="W333" s="15">
        <v>20</v>
      </c>
      <c r="X333" s="15" t="str">
        <f>_xlfn.XLOOKUP(tblMeasure[[#This Row],[id_src]],tblSource[id_src],tblSource[org])</f>
        <v>DWP</v>
      </c>
      <c r="Y333" s="25" t="str">
        <f>_xlfn.XLOOKUP(tblMeasure[[#This Row],[id_src]],tblSource[id_src],tblSource[source])</f>
        <v>Family Resources Survey</v>
      </c>
      <c r="Z333" s="25" t="str">
        <f>_xlfn.XLOOKUP(tblMeasure[[#This Row],[id_src]],tblSource[id_src],tblSource[url_source])</f>
        <v>https://www.gov.uk/government/collections/family-resources-survey--2</v>
      </c>
      <c r="AA333" s="25">
        <f>_xlfn.XLOOKUP(tblMeasure[[#This Row],[id_src]],tblSource[id_src],tblSource[year_first_published])</f>
        <v>1994</v>
      </c>
      <c r="AB333" s="25">
        <f>_xlfn.XLOOKUP(tblMeasure[[#This Row],[id_src]],tblSource[id_src],tblSource[year_last_published])</f>
        <v>2019</v>
      </c>
      <c r="AC333" s="25">
        <f>_xlfn.XLOOKUP(tblMeasure[[#This Row],[id_src]],tblSource[id_src],tblSource[discontinuity])</f>
        <v>0</v>
      </c>
      <c r="AD333" s="25" t="str">
        <f>_xlfn.XLOOKUP(tblMeasure[[#This Row],[id_src]],tblSource[id_src],tblSource[publication_frequency])</f>
        <v>Annual</v>
      </c>
      <c r="AE333" s="15" t="str">
        <f>_xlfn.XLOOKUP(tblMeasure[[#This Row],[id_src]],tblSource[id_src],tblSource[publication_lag_months])</f>
        <v>TBD</v>
      </c>
      <c r="AF333" s="25" t="str">
        <f>_xlfn.XLOOKUP(tblMeasure[[#This Row],[id_src]],tblSource[id_src],tblSource[data_providers])</f>
        <v>DWP</v>
      </c>
      <c r="AG333" s="25" t="str">
        <f>_xlfn.XLOOKUP(tblMeasure[[#This Row],[id_src]],tblSource[id_src],tblSource[statistic_class])</f>
        <v>National</v>
      </c>
      <c r="AH333" s="25" t="str">
        <f>_xlfn.XLOOKUP(tblMeasure[[#This Row],[id_src]],tblSource[id_src],tblSource[methodology_link])</f>
        <v>https://assets.publishing.service.gov.uk/government/uploads/system/uploads/attachment_data/file/789455/family-resources-survey-2017-18-background-note-methodology.pdf</v>
      </c>
      <c r="AI333" s="25" t="str">
        <f>_xlfn.XLOOKUP(tblMeasure[[#This Row],[id_src]],tblSource[id_src],tblSource[quality_issues])</f>
        <v>TBD</v>
      </c>
      <c r="AJ333" s="25">
        <f>VLOOKUP(tblMeasure[[#This Row],[msr_population_or_survey]],strlu_msr_population_or_survey,2,FALSE)</f>
        <v>0</v>
      </c>
      <c r="AK333" s="25">
        <f>VLOOKUP(tblMeasure[[#This Row],[msr_min_geo_resolution]],strlu_msr_min_geo_resolution,2,FALSE)</f>
        <v>0</v>
      </c>
      <c r="AL333" s="25">
        <f>(MAX(tblMeasure[[#This Row],[src_year_last_published]]-2010+1,0)+MIN(2010-tblMeasure[[#This Row],[src_year_first_published]],0)-MAX(tblMeasure[[#This Row],[src_year_last_published]]-2019,0))/10</f>
        <v>1</v>
      </c>
      <c r="AM333" s="25">
        <f>IF(OR(tblMeasure[[#This Row],[src_discontinuity]]="None",tblMeasure[[#This Row],[src_discontinuity]]=0),1,0)</f>
        <v>1</v>
      </c>
      <c r="AN333" s="25">
        <f>VLOOKUP(tblMeasure[[#This Row],[src_pub_frequency]],strlu_src_pub_frequency,2,FALSE)</f>
        <v>0.8</v>
      </c>
      <c r="AO333" s="25">
        <f>VLOOKUP(tblMeasure[[#This Row],[src_pub_lag_months]],strlu_src_pub_lag_months,2,FALSE)</f>
        <v>0</v>
      </c>
      <c r="AP333" s="25">
        <f>VLOOKUP(tblMeasure[[#This Row],[src_statistic_class]],strlu_src_statistic_class,2,FALSE)</f>
        <v>1</v>
      </c>
      <c r="AQ333" s="25">
        <f>IF(tblMeasure[[#This Row],[src_methodology_url]]="TBD",0,1)</f>
        <v>1</v>
      </c>
      <c r="AR333" s="25">
        <f>IF(tblMeasure[[#This Row],[src_quality_url]]="TBD",0,1)</f>
        <v>0</v>
      </c>
      <c r="AS333" s="85" cm="1">
        <f t="array" ref="AS333">SUMPRODUCT(TRANSPOSE(tblMeasure[[#This Row],[str_msr_population_or_survey]:[str_src_quality_url]]),str_weights)/str_weights_total</f>
        <v>0.5461538461538461</v>
      </c>
    </row>
    <row r="334" spans="1:45" hidden="1" x14ac:dyDescent="0.15">
      <c r="A334" s="30">
        <v>318</v>
      </c>
      <c r="B334" s="15">
        <f>COUNTIF(requirement_measure_map!$D$3:$D$1514,measure!A334)</f>
        <v>4</v>
      </c>
      <c r="C334" s="30" t="s">
        <v>857</v>
      </c>
      <c r="D334" s="15" t="s">
        <v>1153</v>
      </c>
      <c r="E334" s="15" t="s">
        <v>1154</v>
      </c>
      <c r="F334" s="15" t="s">
        <v>1155</v>
      </c>
      <c r="G334" s="29" t="s">
        <v>1156</v>
      </c>
      <c r="H334" s="15"/>
      <c r="I334" s="15" t="s">
        <v>214</v>
      </c>
      <c r="J334" s="15" t="s">
        <v>215</v>
      </c>
      <c r="K334" s="15" t="s">
        <v>1157</v>
      </c>
      <c r="L334" s="15" t="s">
        <v>217</v>
      </c>
      <c r="M334" s="15" t="s">
        <v>219</v>
      </c>
      <c r="N334" s="15" t="s">
        <v>219</v>
      </c>
      <c r="O334" s="15" t="s">
        <v>219</v>
      </c>
      <c r="P334" s="15" t="s">
        <v>219</v>
      </c>
      <c r="Q334" s="15" t="s">
        <v>219</v>
      </c>
      <c r="R334" s="15" t="s">
        <v>219</v>
      </c>
      <c r="S334" s="15" t="s">
        <v>220</v>
      </c>
      <c r="T334" s="15" t="s">
        <v>219</v>
      </c>
      <c r="U334" s="15" t="s">
        <v>219</v>
      </c>
      <c r="V334" s="15" t="s">
        <v>219</v>
      </c>
      <c r="W334" s="15">
        <v>21</v>
      </c>
      <c r="X334" s="15" t="str">
        <f>_xlfn.XLOOKUP(tblMeasure[[#This Row],[id_src]],tblSource[id_src],tblSource[org])</f>
        <v>DWP</v>
      </c>
      <c r="Y334" s="15" t="str">
        <f>_xlfn.XLOOKUP(tblMeasure[[#This Row],[id_src]],tblSource[id_src],tblSource[source])</f>
        <v>Stat-Xplore</v>
      </c>
      <c r="Z334" s="15" t="str">
        <f>_xlfn.XLOOKUP(tblMeasure[[#This Row],[id_src]],tblSource[id_src],tblSource[url_source])</f>
        <v>https://www.gov.uk/government/organisations/department-for-work-pensions/about/statistics</v>
      </c>
      <c r="AA334" s="15">
        <f>_xlfn.XLOOKUP(tblMeasure[[#This Row],[id_src]],tblSource[id_src],tblSource[year_first_published])</f>
        <v>2002</v>
      </c>
      <c r="AB334" s="15">
        <f>_xlfn.XLOOKUP(tblMeasure[[#This Row],[id_src]],tblSource[id_src],tblSource[year_last_published])</f>
        <v>2019</v>
      </c>
      <c r="AC334" s="15">
        <f>_xlfn.XLOOKUP(tblMeasure[[#This Row],[id_src]],tblSource[id_src],tblSource[discontinuity])</f>
        <v>0</v>
      </c>
      <c r="AD334" s="15" t="str">
        <f>_xlfn.XLOOKUP(tblMeasure[[#This Row],[id_src]],tblSource[id_src],tblSource[publication_frequency])</f>
        <v>Quarterly</v>
      </c>
      <c r="AE334" s="15" t="str">
        <f>_xlfn.XLOOKUP(tblMeasure[[#This Row],[id_src]],tblSource[id_src],tblSource[publication_lag_months])</f>
        <v>TBD</v>
      </c>
      <c r="AF334" s="25" t="str">
        <f>_xlfn.XLOOKUP(tblMeasure[[#This Row],[id_src]],tblSource[id_src],tblSource[data_providers])</f>
        <v>DWP</v>
      </c>
      <c r="AG334" s="25" t="str">
        <f>_xlfn.XLOOKUP(tblMeasure[[#This Row],[id_src]],tblSource[id_src],tblSource[statistic_class])</f>
        <v>TBD</v>
      </c>
      <c r="AH334" s="25" t="str">
        <f>_xlfn.XLOOKUP(tblMeasure[[#This Row],[id_src]],tblSource[id_src],tblSource[methodology_link])</f>
        <v>TBD</v>
      </c>
      <c r="AI334" s="25" t="str">
        <f>_xlfn.XLOOKUP(tblMeasure[[#This Row],[id_src]],tblSource[id_src],tblSource[quality_issues])</f>
        <v>TBD</v>
      </c>
      <c r="AJ334" s="25">
        <f>VLOOKUP(tblMeasure[[#This Row],[msr_population_or_survey]],strlu_msr_population_or_survey,2,FALSE)</f>
        <v>1</v>
      </c>
      <c r="AK334" s="25">
        <f>VLOOKUP(tblMeasure[[#This Row],[msr_min_geo_resolution]],strlu_msr_min_geo_resolution,2,FALSE)</f>
        <v>1</v>
      </c>
      <c r="AL334" s="25">
        <f>(MAX(tblMeasure[[#This Row],[src_year_last_published]]-2010+1,0)+MIN(2010-tblMeasure[[#This Row],[src_year_first_published]],0)-MAX(tblMeasure[[#This Row],[src_year_last_published]]-2019,0))/10</f>
        <v>1</v>
      </c>
      <c r="AM334" s="25">
        <f>IF(OR(tblMeasure[[#This Row],[src_discontinuity]]="None",tblMeasure[[#This Row],[src_discontinuity]]=0),1,0)</f>
        <v>1</v>
      </c>
      <c r="AN334" s="25">
        <f>VLOOKUP(tblMeasure[[#This Row],[src_pub_frequency]],strlu_src_pub_frequency,2,FALSE)</f>
        <v>0.9</v>
      </c>
      <c r="AO334" s="25">
        <f>VLOOKUP(tblMeasure[[#This Row],[src_pub_lag_months]],strlu_src_pub_lag_months,2,FALSE)</f>
        <v>0</v>
      </c>
      <c r="AP334" s="25">
        <f>VLOOKUP(tblMeasure[[#This Row],[src_statistic_class]],strlu_src_statistic_class,2,FALSE)</f>
        <v>0</v>
      </c>
      <c r="AQ334" s="25">
        <f>IF(tblMeasure[[#This Row],[src_methodology_url]]="TBD",0,1)</f>
        <v>0</v>
      </c>
      <c r="AR334" s="25">
        <f>IF(tblMeasure[[#This Row],[src_quality_url]]="TBD",0,1)</f>
        <v>0</v>
      </c>
      <c r="AS334" s="85" cm="1">
        <f t="array" ref="AS334">SUMPRODUCT(TRANSPOSE(tblMeasure[[#This Row],[str_msr_population_or_survey]:[str_src_quality_url]]),str_weights)/str_weights_total</f>
        <v>0.67692307692307696</v>
      </c>
    </row>
    <row r="335" spans="1:45" hidden="1" x14ac:dyDescent="0.15">
      <c r="A335" s="30">
        <v>319</v>
      </c>
      <c r="B335" s="15">
        <f>COUNTIF(requirement_measure_map!$D$3:$D$1514,measure!A335)</f>
        <v>5</v>
      </c>
      <c r="C335" s="30" t="s">
        <v>857</v>
      </c>
      <c r="D335" s="15" t="s">
        <v>1153</v>
      </c>
      <c r="E335" s="15" t="s">
        <v>1158</v>
      </c>
      <c r="F335" s="15" t="s">
        <v>1159</v>
      </c>
      <c r="G335" s="29" t="s">
        <v>1156</v>
      </c>
      <c r="H335" s="15"/>
      <c r="I335" s="15" t="s">
        <v>214</v>
      </c>
      <c r="J335" s="15" t="s">
        <v>215</v>
      </c>
      <c r="K335" s="15" t="s">
        <v>1157</v>
      </c>
      <c r="L335" s="15" t="s">
        <v>217</v>
      </c>
      <c r="M335" s="15" t="s">
        <v>219</v>
      </c>
      <c r="N335" s="15" t="s">
        <v>219</v>
      </c>
      <c r="O335" s="15" t="s">
        <v>219</v>
      </c>
      <c r="P335" s="15" t="s">
        <v>219</v>
      </c>
      <c r="Q335" s="15" t="s">
        <v>219</v>
      </c>
      <c r="R335" s="15" t="s">
        <v>219</v>
      </c>
      <c r="S335" s="15" t="s">
        <v>220</v>
      </c>
      <c r="T335" s="15" t="s">
        <v>219</v>
      </c>
      <c r="U335" s="15" t="s">
        <v>219</v>
      </c>
      <c r="V335" s="15" t="s">
        <v>219</v>
      </c>
      <c r="W335" s="15">
        <v>21</v>
      </c>
      <c r="X335" s="15" t="str">
        <f>_xlfn.XLOOKUP(tblMeasure[[#This Row],[id_src]],tblSource[id_src],tblSource[org])</f>
        <v>DWP</v>
      </c>
      <c r="Y335" s="15" t="str">
        <f>_xlfn.XLOOKUP(tblMeasure[[#This Row],[id_src]],tblSource[id_src],tblSource[source])</f>
        <v>Stat-Xplore</v>
      </c>
      <c r="Z335" s="15" t="str">
        <f>_xlfn.XLOOKUP(tblMeasure[[#This Row],[id_src]],tblSource[id_src],tblSource[url_source])</f>
        <v>https://www.gov.uk/government/organisations/department-for-work-pensions/about/statistics</v>
      </c>
      <c r="AA335" s="15">
        <f>_xlfn.XLOOKUP(tblMeasure[[#This Row],[id_src]],tblSource[id_src],tblSource[year_first_published])</f>
        <v>2002</v>
      </c>
      <c r="AB335" s="15">
        <f>_xlfn.XLOOKUP(tblMeasure[[#This Row],[id_src]],tblSource[id_src],tblSource[year_last_published])</f>
        <v>2019</v>
      </c>
      <c r="AC335" s="15">
        <f>_xlfn.XLOOKUP(tblMeasure[[#This Row],[id_src]],tblSource[id_src],tblSource[discontinuity])</f>
        <v>0</v>
      </c>
      <c r="AD335" s="15" t="str">
        <f>_xlfn.XLOOKUP(tblMeasure[[#This Row],[id_src]],tblSource[id_src],tblSource[publication_frequency])</f>
        <v>Quarterly</v>
      </c>
      <c r="AE335" s="15" t="str">
        <f>_xlfn.XLOOKUP(tblMeasure[[#This Row],[id_src]],tblSource[id_src],tblSource[publication_lag_months])</f>
        <v>TBD</v>
      </c>
      <c r="AF335" s="25" t="str">
        <f>_xlfn.XLOOKUP(tblMeasure[[#This Row],[id_src]],tblSource[id_src],tblSource[data_providers])</f>
        <v>DWP</v>
      </c>
      <c r="AG335" s="25" t="str">
        <f>_xlfn.XLOOKUP(tblMeasure[[#This Row],[id_src]],tblSource[id_src],tblSource[statistic_class])</f>
        <v>TBD</v>
      </c>
      <c r="AH335" s="25" t="str">
        <f>_xlfn.XLOOKUP(tblMeasure[[#This Row],[id_src]],tblSource[id_src],tblSource[methodology_link])</f>
        <v>TBD</v>
      </c>
      <c r="AI335" s="25" t="str">
        <f>_xlfn.XLOOKUP(tblMeasure[[#This Row],[id_src]],tblSource[id_src],tblSource[quality_issues])</f>
        <v>TBD</v>
      </c>
      <c r="AJ335" s="25">
        <f>VLOOKUP(tblMeasure[[#This Row],[msr_population_or_survey]],strlu_msr_population_or_survey,2,FALSE)</f>
        <v>1</v>
      </c>
      <c r="AK335" s="25">
        <f>VLOOKUP(tblMeasure[[#This Row],[msr_min_geo_resolution]],strlu_msr_min_geo_resolution,2,FALSE)</f>
        <v>1</v>
      </c>
      <c r="AL335" s="25">
        <f>(MAX(tblMeasure[[#This Row],[src_year_last_published]]-2010+1,0)+MIN(2010-tblMeasure[[#This Row],[src_year_first_published]],0)-MAX(tblMeasure[[#This Row],[src_year_last_published]]-2019,0))/10</f>
        <v>1</v>
      </c>
      <c r="AM335" s="25">
        <f>IF(OR(tblMeasure[[#This Row],[src_discontinuity]]="None",tblMeasure[[#This Row],[src_discontinuity]]=0),1,0)</f>
        <v>1</v>
      </c>
      <c r="AN335" s="25">
        <f>VLOOKUP(tblMeasure[[#This Row],[src_pub_frequency]],strlu_src_pub_frequency,2,FALSE)</f>
        <v>0.9</v>
      </c>
      <c r="AO335" s="25">
        <f>VLOOKUP(tblMeasure[[#This Row],[src_pub_lag_months]],strlu_src_pub_lag_months,2,FALSE)</f>
        <v>0</v>
      </c>
      <c r="AP335" s="25">
        <f>VLOOKUP(tblMeasure[[#This Row],[src_statistic_class]],strlu_src_statistic_class,2,FALSE)</f>
        <v>0</v>
      </c>
      <c r="AQ335" s="25">
        <f>IF(tblMeasure[[#This Row],[src_methodology_url]]="TBD",0,1)</f>
        <v>0</v>
      </c>
      <c r="AR335" s="25">
        <f>IF(tblMeasure[[#This Row],[src_quality_url]]="TBD",0,1)</f>
        <v>0</v>
      </c>
      <c r="AS335" s="85" cm="1">
        <f t="array" ref="AS335">SUMPRODUCT(TRANSPOSE(tblMeasure[[#This Row],[str_msr_population_or_survey]:[str_src_quality_url]]),str_weights)/str_weights_total</f>
        <v>0.67692307692307696</v>
      </c>
    </row>
    <row r="336" spans="1:45" hidden="1" x14ac:dyDescent="0.15">
      <c r="A336" s="30">
        <v>320</v>
      </c>
      <c r="B336" s="15">
        <f>COUNTIF(requirement_measure_map!$D$3:$D$1514,measure!A336)</f>
        <v>5</v>
      </c>
      <c r="C336" s="30" t="s">
        <v>857</v>
      </c>
      <c r="D336" s="15" t="s">
        <v>1160</v>
      </c>
      <c r="E336" s="15" t="s">
        <v>1154</v>
      </c>
      <c r="F336" s="15" t="s">
        <v>1155</v>
      </c>
      <c r="G336" s="29" t="s">
        <v>1156</v>
      </c>
      <c r="H336" s="15"/>
      <c r="I336" s="15" t="s">
        <v>214</v>
      </c>
      <c r="J336" s="15" t="s">
        <v>215</v>
      </c>
      <c r="K336" s="15" t="s">
        <v>1161</v>
      </c>
      <c r="L336" s="15" t="s">
        <v>217</v>
      </c>
      <c r="M336" s="15" t="s">
        <v>1162</v>
      </c>
      <c r="N336" s="15" t="s">
        <v>220</v>
      </c>
      <c r="O336" s="15" t="s">
        <v>219</v>
      </c>
      <c r="P336" s="15" t="s">
        <v>219</v>
      </c>
      <c r="Q336" s="15" t="s">
        <v>219</v>
      </c>
      <c r="R336" s="15" t="s">
        <v>219</v>
      </c>
      <c r="S336" s="15" t="s">
        <v>219</v>
      </c>
      <c r="T336" s="15" t="s">
        <v>219</v>
      </c>
      <c r="U336" s="15" t="s">
        <v>219</v>
      </c>
      <c r="V336" s="15" t="s">
        <v>219</v>
      </c>
      <c r="W336" s="15">
        <v>21</v>
      </c>
      <c r="X336" s="15" t="str">
        <f>_xlfn.XLOOKUP(tblMeasure[[#This Row],[id_src]],tblSource[id_src],tblSource[org])</f>
        <v>DWP</v>
      </c>
      <c r="Y336" s="15" t="str">
        <f>_xlfn.XLOOKUP(tblMeasure[[#This Row],[id_src]],tblSource[id_src],tblSource[source])</f>
        <v>Stat-Xplore</v>
      </c>
      <c r="Z336" s="15" t="str">
        <f>_xlfn.XLOOKUP(tblMeasure[[#This Row],[id_src]],tblSource[id_src],tblSource[url_source])</f>
        <v>https://www.gov.uk/government/organisations/department-for-work-pensions/about/statistics</v>
      </c>
      <c r="AA336" s="15">
        <f>_xlfn.XLOOKUP(tblMeasure[[#This Row],[id_src]],tblSource[id_src],tblSource[year_first_published])</f>
        <v>2002</v>
      </c>
      <c r="AB336" s="15">
        <f>_xlfn.XLOOKUP(tblMeasure[[#This Row],[id_src]],tblSource[id_src],tblSource[year_last_published])</f>
        <v>2019</v>
      </c>
      <c r="AC336" s="15">
        <f>_xlfn.XLOOKUP(tblMeasure[[#This Row],[id_src]],tblSource[id_src],tblSource[discontinuity])</f>
        <v>0</v>
      </c>
      <c r="AD336" s="15" t="str">
        <f>_xlfn.XLOOKUP(tblMeasure[[#This Row],[id_src]],tblSource[id_src],tblSource[publication_frequency])</f>
        <v>Quarterly</v>
      </c>
      <c r="AE336" s="15" t="str">
        <f>_xlfn.XLOOKUP(tblMeasure[[#This Row],[id_src]],tblSource[id_src],tblSource[publication_lag_months])</f>
        <v>TBD</v>
      </c>
      <c r="AF336" s="25" t="str">
        <f>_xlfn.XLOOKUP(tblMeasure[[#This Row],[id_src]],tblSource[id_src],tblSource[data_providers])</f>
        <v>DWP</v>
      </c>
      <c r="AG336" s="25" t="str">
        <f>_xlfn.XLOOKUP(tblMeasure[[#This Row],[id_src]],tblSource[id_src],tblSource[statistic_class])</f>
        <v>TBD</v>
      </c>
      <c r="AH336" s="25" t="str">
        <f>_xlfn.XLOOKUP(tblMeasure[[#This Row],[id_src]],tblSource[id_src],tblSource[methodology_link])</f>
        <v>TBD</v>
      </c>
      <c r="AI336" s="25" t="str">
        <f>_xlfn.XLOOKUP(tblMeasure[[#This Row],[id_src]],tblSource[id_src],tblSource[quality_issues])</f>
        <v>TBD</v>
      </c>
      <c r="AJ336" s="25">
        <f>VLOOKUP(tblMeasure[[#This Row],[msr_population_or_survey]],strlu_msr_population_or_survey,2,FALSE)</f>
        <v>1</v>
      </c>
      <c r="AK336" s="25">
        <f>VLOOKUP(tblMeasure[[#This Row],[msr_min_geo_resolution]],strlu_msr_min_geo_resolution,2,FALSE)</f>
        <v>1</v>
      </c>
      <c r="AL336" s="25">
        <f>(MAX(tblMeasure[[#This Row],[src_year_last_published]]-2010+1,0)+MIN(2010-tblMeasure[[#This Row],[src_year_first_published]],0)-MAX(tblMeasure[[#This Row],[src_year_last_published]]-2019,0))/10</f>
        <v>1</v>
      </c>
      <c r="AM336" s="25">
        <f>IF(OR(tblMeasure[[#This Row],[src_discontinuity]]="None",tblMeasure[[#This Row],[src_discontinuity]]=0),1,0)</f>
        <v>1</v>
      </c>
      <c r="AN336" s="25">
        <f>VLOOKUP(tblMeasure[[#This Row],[src_pub_frequency]],strlu_src_pub_frequency,2,FALSE)</f>
        <v>0.9</v>
      </c>
      <c r="AO336" s="25">
        <f>VLOOKUP(tblMeasure[[#This Row],[src_pub_lag_months]],strlu_src_pub_lag_months,2,FALSE)</f>
        <v>0</v>
      </c>
      <c r="AP336" s="25">
        <f>VLOOKUP(tblMeasure[[#This Row],[src_statistic_class]],strlu_src_statistic_class,2,FALSE)</f>
        <v>0</v>
      </c>
      <c r="AQ336" s="25">
        <f>IF(tblMeasure[[#This Row],[src_methodology_url]]="TBD",0,1)</f>
        <v>0</v>
      </c>
      <c r="AR336" s="25">
        <f>IF(tblMeasure[[#This Row],[src_quality_url]]="TBD",0,1)</f>
        <v>0</v>
      </c>
      <c r="AS336" s="85" cm="1">
        <f t="array" ref="AS336">SUMPRODUCT(TRANSPOSE(tblMeasure[[#This Row],[str_msr_population_or_survey]:[str_src_quality_url]]),str_weights)/str_weights_total</f>
        <v>0.67692307692307696</v>
      </c>
    </row>
    <row r="337" spans="1:45" hidden="1" x14ac:dyDescent="0.15">
      <c r="A337" s="30">
        <v>321</v>
      </c>
      <c r="B337" s="15">
        <f>COUNTIF(requirement_measure_map!$D$3:$D$1514,measure!A337)</f>
        <v>5</v>
      </c>
      <c r="C337" s="30" t="s">
        <v>857</v>
      </c>
      <c r="D337" s="15" t="s">
        <v>1160</v>
      </c>
      <c r="E337" s="15" t="s">
        <v>1158</v>
      </c>
      <c r="F337" s="15" t="s">
        <v>1159</v>
      </c>
      <c r="G337" s="29" t="s">
        <v>1156</v>
      </c>
      <c r="H337" s="15"/>
      <c r="I337" s="15" t="s">
        <v>214</v>
      </c>
      <c r="J337" s="15" t="s">
        <v>215</v>
      </c>
      <c r="K337" s="15" t="s">
        <v>1161</v>
      </c>
      <c r="L337" s="15" t="s">
        <v>217</v>
      </c>
      <c r="M337" s="15" t="s">
        <v>1162</v>
      </c>
      <c r="N337" s="15" t="s">
        <v>220</v>
      </c>
      <c r="O337" s="15" t="s">
        <v>219</v>
      </c>
      <c r="P337" s="15" t="s">
        <v>219</v>
      </c>
      <c r="Q337" s="15" t="s">
        <v>219</v>
      </c>
      <c r="R337" s="15" t="s">
        <v>219</v>
      </c>
      <c r="S337" s="15" t="s">
        <v>219</v>
      </c>
      <c r="T337" s="15" t="s">
        <v>219</v>
      </c>
      <c r="U337" s="15" t="s">
        <v>219</v>
      </c>
      <c r="V337" s="15" t="s">
        <v>219</v>
      </c>
      <c r="W337" s="15">
        <v>21</v>
      </c>
      <c r="X337" s="15" t="str">
        <f>_xlfn.XLOOKUP(tblMeasure[[#This Row],[id_src]],tblSource[id_src],tblSource[org])</f>
        <v>DWP</v>
      </c>
      <c r="Y337" s="15" t="str">
        <f>_xlfn.XLOOKUP(tblMeasure[[#This Row],[id_src]],tblSource[id_src],tblSource[source])</f>
        <v>Stat-Xplore</v>
      </c>
      <c r="Z337" s="15" t="str">
        <f>_xlfn.XLOOKUP(tblMeasure[[#This Row],[id_src]],tblSource[id_src],tblSource[url_source])</f>
        <v>https://www.gov.uk/government/organisations/department-for-work-pensions/about/statistics</v>
      </c>
      <c r="AA337" s="15">
        <f>_xlfn.XLOOKUP(tblMeasure[[#This Row],[id_src]],tblSource[id_src],tblSource[year_first_published])</f>
        <v>2002</v>
      </c>
      <c r="AB337" s="15">
        <f>_xlfn.XLOOKUP(tblMeasure[[#This Row],[id_src]],tblSource[id_src],tblSource[year_last_published])</f>
        <v>2019</v>
      </c>
      <c r="AC337" s="15">
        <f>_xlfn.XLOOKUP(tblMeasure[[#This Row],[id_src]],tblSource[id_src],tblSource[discontinuity])</f>
        <v>0</v>
      </c>
      <c r="AD337" s="15" t="str">
        <f>_xlfn.XLOOKUP(tblMeasure[[#This Row],[id_src]],tblSource[id_src],tblSource[publication_frequency])</f>
        <v>Quarterly</v>
      </c>
      <c r="AE337" s="15" t="str">
        <f>_xlfn.XLOOKUP(tblMeasure[[#This Row],[id_src]],tblSource[id_src],tblSource[publication_lag_months])</f>
        <v>TBD</v>
      </c>
      <c r="AF337" s="25" t="str">
        <f>_xlfn.XLOOKUP(tblMeasure[[#This Row],[id_src]],tblSource[id_src],tblSource[data_providers])</f>
        <v>DWP</v>
      </c>
      <c r="AG337" s="25" t="str">
        <f>_xlfn.XLOOKUP(tblMeasure[[#This Row],[id_src]],tblSource[id_src],tblSource[statistic_class])</f>
        <v>TBD</v>
      </c>
      <c r="AH337" s="25" t="str">
        <f>_xlfn.XLOOKUP(tblMeasure[[#This Row],[id_src]],tblSource[id_src],tblSource[methodology_link])</f>
        <v>TBD</v>
      </c>
      <c r="AI337" s="25" t="str">
        <f>_xlfn.XLOOKUP(tblMeasure[[#This Row],[id_src]],tblSource[id_src],tblSource[quality_issues])</f>
        <v>TBD</v>
      </c>
      <c r="AJ337" s="25">
        <f>VLOOKUP(tblMeasure[[#This Row],[msr_population_or_survey]],strlu_msr_population_or_survey,2,FALSE)</f>
        <v>1</v>
      </c>
      <c r="AK337" s="25">
        <f>VLOOKUP(tblMeasure[[#This Row],[msr_min_geo_resolution]],strlu_msr_min_geo_resolution,2,FALSE)</f>
        <v>1</v>
      </c>
      <c r="AL337" s="25">
        <f>(MAX(tblMeasure[[#This Row],[src_year_last_published]]-2010+1,0)+MIN(2010-tblMeasure[[#This Row],[src_year_first_published]],0)-MAX(tblMeasure[[#This Row],[src_year_last_published]]-2019,0))/10</f>
        <v>1</v>
      </c>
      <c r="AM337" s="25">
        <f>IF(OR(tblMeasure[[#This Row],[src_discontinuity]]="None",tblMeasure[[#This Row],[src_discontinuity]]=0),1,0)</f>
        <v>1</v>
      </c>
      <c r="AN337" s="25">
        <f>VLOOKUP(tblMeasure[[#This Row],[src_pub_frequency]],strlu_src_pub_frequency,2,FALSE)</f>
        <v>0.9</v>
      </c>
      <c r="AO337" s="25">
        <f>VLOOKUP(tblMeasure[[#This Row],[src_pub_lag_months]],strlu_src_pub_lag_months,2,FALSE)</f>
        <v>0</v>
      </c>
      <c r="AP337" s="25">
        <f>VLOOKUP(tblMeasure[[#This Row],[src_statistic_class]],strlu_src_statistic_class,2,FALSE)</f>
        <v>0</v>
      </c>
      <c r="AQ337" s="25">
        <f>IF(tblMeasure[[#This Row],[src_methodology_url]]="TBD",0,1)</f>
        <v>0</v>
      </c>
      <c r="AR337" s="25">
        <f>IF(tblMeasure[[#This Row],[src_quality_url]]="TBD",0,1)</f>
        <v>0</v>
      </c>
      <c r="AS337" s="85" cm="1">
        <f t="array" ref="AS337">SUMPRODUCT(TRANSPOSE(tblMeasure[[#This Row],[str_msr_population_or_survey]:[str_src_quality_url]]),str_weights)/str_weights_total</f>
        <v>0.67692307692307696</v>
      </c>
    </row>
    <row r="338" spans="1:45" hidden="1" x14ac:dyDescent="0.15">
      <c r="A338" s="30">
        <v>322</v>
      </c>
      <c r="B338" s="15">
        <f>COUNTIF(requirement_measure_map!$D$3:$D$1514,measure!A338)</f>
        <v>5</v>
      </c>
      <c r="C338" s="30" t="s">
        <v>857</v>
      </c>
      <c r="D338" s="15" t="s">
        <v>1163</v>
      </c>
      <c r="E338" s="15" t="s">
        <v>1158</v>
      </c>
      <c r="F338" s="15" t="s">
        <v>1164</v>
      </c>
      <c r="G338" s="29" t="s">
        <v>1156</v>
      </c>
      <c r="H338" s="15"/>
      <c r="I338" s="15" t="s">
        <v>214</v>
      </c>
      <c r="J338" s="15" t="s">
        <v>215</v>
      </c>
      <c r="K338" s="15" t="s">
        <v>1165</v>
      </c>
      <c r="L338" s="15" t="s">
        <v>217</v>
      </c>
      <c r="M338" s="15" t="s">
        <v>252</v>
      </c>
      <c r="N338" s="15" t="s">
        <v>220</v>
      </c>
      <c r="O338" s="15" t="s">
        <v>219</v>
      </c>
      <c r="P338" s="15" t="s">
        <v>219</v>
      </c>
      <c r="Q338" s="15" t="s">
        <v>219</v>
      </c>
      <c r="R338" s="15" t="s">
        <v>219</v>
      </c>
      <c r="S338" s="15" t="s">
        <v>219</v>
      </c>
      <c r="T338" s="15" t="s">
        <v>219</v>
      </c>
      <c r="U338" s="15" t="s">
        <v>219</v>
      </c>
      <c r="V338" s="15" t="s">
        <v>219</v>
      </c>
      <c r="W338" s="15">
        <v>21</v>
      </c>
      <c r="X338" s="15" t="str">
        <f>_xlfn.XLOOKUP(tblMeasure[[#This Row],[id_src]],tblSource[id_src],tblSource[org])</f>
        <v>DWP</v>
      </c>
      <c r="Y338" s="15" t="str">
        <f>_xlfn.XLOOKUP(tblMeasure[[#This Row],[id_src]],tblSource[id_src],tblSource[source])</f>
        <v>Stat-Xplore</v>
      </c>
      <c r="Z338" s="15" t="str">
        <f>_xlfn.XLOOKUP(tblMeasure[[#This Row],[id_src]],tblSource[id_src],tblSource[url_source])</f>
        <v>https://www.gov.uk/government/organisations/department-for-work-pensions/about/statistics</v>
      </c>
      <c r="AA338" s="15">
        <f>_xlfn.XLOOKUP(tblMeasure[[#This Row],[id_src]],tblSource[id_src],tblSource[year_first_published])</f>
        <v>2002</v>
      </c>
      <c r="AB338" s="15">
        <f>_xlfn.XLOOKUP(tblMeasure[[#This Row],[id_src]],tblSource[id_src],tblSource[year_last_published])</f>
        <v>2019</v>
      </c>
      <c r="AC338" s="15">
        <f>_xlfn.XLOOKUP(tblMeasure[[#This Row],[id_src]],tblSource[id_src],tblSource[discontinuity])</f>
        <v>0</v>
      </c>
      <c r="AD338" s="15" t="str">
        <f>_xlfn.XLOOKUP(tblMeasure[[#This Row],[id_src]],tblSource[id_src],tblSource[publication_frequency])</f>
        <v>Quarterly</v>
      </c>
      <c r="AE338" s="15" t="str">
        <f>_xlfn.XLOOKUP(tblMeasure[[#This Row],[id_src]],tblSource[id_src],tblSource[publication_lag_months])</f>
        <v>TBD</v>
      </c>
      <c r="AF338" s="25" t="str">
        <f>_xlfn.XLOOKUP(tblMeasure[[#This Row],[id_src]],tblSource[id_src],tblSource[data_providers])</f>
        <v>DWP</v>
      </c>
      <c r="AG338" s="25" t="str">
        <f>_xlfn.XLOOKUP(tblMeasure[[#This Row],[id_src]],tblSource[id_src],tblSource[statistic_class])</f>
        <v>TBD</v>
      </c>
      <c r="AH338" s="25" t="str">
        <f>_xlfn.XLOOKUP(tblMeasure[[#This Row],[id_src]],tblSource[id_src],tblSource[methodology_link])</f>
        <v>TBD</v>
      </c>
      <c r="AI338" s="25" t="str">
        <f>_xlfn.XLOOKUP(tblMeasure[[#This Row],[id_src]],tblSource[id_src],tblSource[quality_issues])</f>
        <v>TBD</v>
      </c>
      <c r="AJ338" s="25">
        <f>VLOOKUP(tblMeasure[[#This Row],[msr_population_or_survey]],strlu_msr_population_or_survey,2,FALSE)</f>
        <v>1</v>
      </c>
      <c r="AK338" s="25">
        <f>VLOOKUP(tblMeasure[[#This Row],[msr_min_geo_resolution]],strlu_msr_min_geo_resolution,2,FALSE)</f>
        <v>1</v>
      </c>
      <c r="AL338" s="25">
        <f>(MAX(tblMeasure[[#This Row],[src_year_last_published]]-2010+1,0)+MIN(2010-tblMeasure[[#This Row],[src_year_first_published]],0)-MAX(tblMeasure[[#This Row],[src_year_last_published]]-2019,0))/10</f>
        <v>1</v>
      </c>
      <c r="AM338" s="25">
        <f>IF(OR(tblMeasure[[#This Row],[src_discontinuity]]="None",tblMeasure[[#This Row],[src_discontinuity]]=0),1,0)</f>
        <v>1</v>
      </c>
      <c r="AN338" s="25">
        <f>VLOOKUP(tblMeasure[[#This Row],[src_pub_frequency]],strlu_src_pub_frequency,2,FALSE)</f>
        <v>0.9</v>
      </c>
      <c r="AO338" s="25">
        <f>VLOOKUP(tblMeasure[[#This Row],[src_pub_lag_months]],strlu_src_pub_lag_months,2,FALSE)</f>
        <v>0</v>
      </c>
      <c r="AP338" s="25">
        <f>VLOOKUP(tblMeasure[[#This Row],[src_statistic_class]],strlu_src_statistic_class,2,FALSE)</f>
        <v>0</v>
      </c>
      <c r="AQ338" s="25">
        <f>IF(tblMeasure[[#This Row],[src_methodology_url]]="TBD",0,1)</f>
        <v>0</v>
      </c>
      <c r="AR338" s="25">
        <f>IF(tblMeasure[[#This Row],[src_quality_url]]="TBD",0,1)</f>
        <v>0</v>
      </c>
      <c r="AS338" s="85" cm="1">
        <f t="array" ref="AS338">SUMPRODUCT(TRANSPOSE(tblMeasure[[#This Row],[str_msr_population_or_survey]:[str_src_quality_url]]),str_weights)/str_weights_total</f>
        <v>0.67692307692307696</v>
      </c>
    </row>
    <row r="339" spans="1:45" hidden="1" x14ac:dyDescent="0.15">
      <c r="A339" s="30">
        <v>323</v>
      </c>
      <c r="B339" s="15">
        <f>COUNTIF(requirement_measure_map!$D$3:$D$1514,measure!A339)</f>
        <v>4</v>
      </c>
      <c r="C339" s="30" t="s">
        <v>857</v>
      </c>
      <c r="D339" s="15" t="s">
        <v>1163</v>
      </c>
      <c r="E339" s="15" t="s">
        <v>1166</v>
      </c>
      <c r="F339" s="15" t="s">
        <v>1167</v>
      </c>
      <c r="G339" s="29" t="s">
        <v>1156</v>
      </c>
      <c r="H339" s="15"/>
      <c r="I339" s="15" t="s">
        <v>214</v>
      </c>
      <c r="J339" s="15" t="s">
        <v>215</v>
      </c>
      <c r="K339" s="15" t="s">
        <v>1168</v>
      </c>
      <c r="L339" s="15" t="s">
        <v>217</v>
      </c>
      <c r="M339" s="15" t="s">
        <v>219</v>
      </c>
      <c r="N339" s="15" t="s">
        <v>220</v>
      </c>
      <c r="O339" s="15" t="s">
        <v>219</v>
      </c>
      <c r="P339" s="15" t="s">
        <v>219</v>
      </c>
      <c r="Q339" s="15" t="s">
        <v>219</v>
      </c>
      <c r="R339" s="15" t="s">
        <v>219</v>
      </c>
      <c r="S339" s="15" t="s">
        <v>219</v>
      </c>
      <c r="T339" s="15" t="s">
        <v>219</v>
      </c>
      <c r="U339" s="15" t="s">
        <v>219</v>
      </c>
      <c r="V339" s="15" t="s">
        <v>219</v>
      </c>
      <c r="W339" s="15">
        <v>21</v>
      </c>
      <c r="X339" s="15" t="str">
        <f>_xlfn.XLOOKUP(tblMeasure[[#This Row],[id_src]],tblSource[id_src],tblSource[org])</f>
        <v>DWP</v>
      </c>
      <c r="Y339" s="15" t="str">
        <f>_xlfn.XLOOKUP(tblMeasure[[#This Row],[id_src]],tblSource[id_src],tblSource[source])</f>
        <v>Stat-Xplore</v>
      </c>
      <c r="Z339" s="15" t="str">
        <f>_xlfn.XLOOKUP(tblMeasure[[#This Row],[id_src]],tblSource[id_src],tblSource[url_source])</f>
        <v>https://www.gov.uk/government/organisations/department-for-work-pensions/about/statistics</v>
      </c>
      <c r="AA339" s="15">
        <f>_xlfn.XLOOKUP(tblMeasure[[#This Row],[id_src]],tblSource[id_src],tblSource[year_first_published])</f>
        <v>2002</v>
      </c>
      <c r="AB339" s="15">
        <f>_xlfn.XLOOKUP(tblMeasure[[#This Row],[id_src]],tblSource[id_src],tblSource[year_last_published])</f>
        <v>2019</v>
      </c>
      <c r="AC339" s="15">
        <f>_xlfn.XLOOKUP(tblMeasure[[#This Row],[id_src]],tblSource[id_src],tblSource[discontinuity])</f>
        <v>0</v>
      </c>
      <c r="AD339" s="15" t="str">
        <f>_xlfn.XLOOKUP(tblMeasure[[#This Row],[id_src]],tblSource[id_src],tblSource[publication_frequency])</f>
        <v>Quarterly</v>
      </c>
      <c r="AE339" s="15" t="str">
        <f>_xlfn.XLOOKUP(tblMeasure[[#This Row],[id_src]],tblSource[id_src],tblSource[publication_lag_months])</f>
        <v>TBD</v>
      </c>
      <c r="AF339" s="25" t="str">
        <f>_xlfn.XLOOKUP(tblMeasure[[#This Row],[id_src]],tblSource[id_src],tblSource[data_providers])</f>
        <v>DWP</v>
      </c>
      <c r="AG339" s="25" t="str">
        <f>_xlfn.XLOOKUP(tblMeasure[[#This Row],[id_src]],tblSource[id_src],tblSource[statistic_class])</f>
        <v>TBD</v>
      </c>
      <c r="AH339" s="25" t="str">
        <f>_xlfn.XLOOKUP(tblMeasure[[#This Row],[id_src]],tblSource[id_src],tblSource[methodology_link])</f>
        <v>TBD</v>
      </c>
      <c r="AI339" s="25" t="str">
        <f>_xlfn.XLOOKUP(tblMeasure[[#This Row],[id_src]],tblSource[id_src],tblSource[quality_issues])</f>
        <v>TBD</v>
      </c>
      <c r="AJ339" s="25">
        <f>VLOOKUP(tblMeasure[[#This Row],[msr_population_or_survey]],strlu_msr_population_or_survey,2,FALSE)</f>
        <v>1</v>
      </c>
      <c r="AK339" s="25">
        <f>VLOOKUP(tblMeasure[[#This Row],[msr_min_geo_resolution]],strlu_msr_min_geo_resolution,2,FALSE)</f>
        <v>1</v>
      </c>
      <c r="AL339" s="25">
        <f>(MAX(tblMeasure[[#This Row],[src_year_last_published]]-2010+1,0)+MIN(2010-tblMeasure[[#This Row],[src_year_first_published]],0)-MAX(tblMeasure[[#This Row],[src_year_last_published]]-2019,0))/10</f>
        <v>1</v>
      </c>
      <c r="AM339" s="25">
        <f>IF(OR(tblMeasure[[#This Row],[src_discontinuity]]="None",tblMeasure[[#This Row],[src_discontinuity]]=0),1,0)</f>
        <v>1</v>
      </c>
      <c r="AN339" s="25">
        <f>VLOOKUP(tblMeasure[[#This Row],[src_pub_frequency]],strlu_src_pub_frequency,2,FALSE)</f>
        <v>0.9</v>
      </c>
      <c r="AO339" s="25">
        <f>VLOOKUP(tblMeasure[[#This Row],[src_pub_lag_months]],strlu_src_pub_lag_months,2,FALSE)</f>
        <v>0</v>
      </c>
      <c r="AP339" s="25">
        <f>VLOOKUP(tblMeasure[[#This Row],[src_statistic_class]],strlu_src_statistic_class,2,FALSE)</f>
        <v>0</v>
      </c>
      <c r="AQ339" s="25">
        <f>IF(tblMeasure[[#This Row],[src_methodology_url]]="TBD",0,1)</f>
        <v>0</v>
      </c>
      <c r="AR339" s="25">
        <f>IF(tblMeasure[[#This Row],[src_quality_url]]="TBD",0,1)</f>
        <v>0</v>
      </c>
      <c r="AS339" s="85" cm="1">
        <f t="array" ref="AS339">SUMPRODUCT(TRANSPOSE(tblMeasure[[#This Row],[str_msr_population_or_survey]:[str_src_quality_url]]),str_weights)/str_weights_total</f>
        <v>0.67692307692307696</v>
      </c>
    </row>
    <row r="340" spans="1:45" hidden="1" x14ac:dyDescent="0.15">
      <c r="A340" s="30">
        <v>324</v>
      </c>
      <c r="B340" s="15">
        <f>COUNTIF(requirement_measure_map!$D$3:$D$1514,measure!A340)</f>
        <v>1</v>
      </c>
      <c r="C340" s="30" t="s">
        <v>857</v>
      </c>
      <c r="D340" s="15" t="s">
        <v>1169</v>
      </c>
      <c r="E340" s="15" t="s">
        <v>1170</v>
      </c>
      <c r="F340" s="15" t="s">
        <v>1171</v>
      </c>
      <c r="G340" s="29" t="s">
        <v>1172</v>
      </c>
      <c r="H340" s="15"/>
      <c r="I340" s="15" t="s">
        <v>214</v>
      </c>
      <c r="J340" s="15" t="s">
        <v>215</v>
      </c>
      <c r="K340" s="15" t="s">
        <v>1173</v>
      </c>
      <c r="L340" s="15" t="s">
        <v>233</v>
      </c>
      <c r="M340" s="15" t="s">
        <v>219</v>
      </c>
      <c r="N340" s="15" t="s">
        <v>219</v>
      </c>
      <c r="O340" s="15" t="s">
        <v>219</v>
      </c>
      <c r="P340" s="15" t="s">
        <v>219</v>
      </c>
      <c r="Q340" s="15" t="s">
        <v>219</v>
      </c>
      <c r="R340" s="15" t="s">
        <v>219</v>
      </c>
      <c r="S340" s="15" t="s">
        <v>219</v>
      </c>
      <c r="T340" s="15" t="s">
        <v>219</v>
      </c>
      <c r="U340" s="15" t="s">
        <v>219</v>
      </c>
      <c r="V340" s="15" t="s">
        <v>219</v>
      </c>
      <c r="W340" s="15">
        <v>22</v>
      </c>
      <c r="X340" s="15" t="str">
        <f>_xlfn.XLOOKUP(tblMeasure[[#This Row],[id_src]],tblSource[id_src],tblSource[org])</f>
        <v>GP Contract</v>
      </c>
      <c r="Y340" s="15" t="str">
        <f>_xlfn.XLOOKUP(tblMeasure[[#This Row],[id_src]],tblSource[id_src],tblSource[source])</f>
        <v>Quality and Outcomes Framework (QOF) database</v>
      </c>
      <c r="Z340" s="15" t="str">
        <f>_xlfn.XLOOKUP(tblMeasure[[#This Row],[id_src]],tblSource[id_src],tblSource[url_source])</f>
        <v>https://www.gpcontract.co.uk/browse/ENG/19</v>
      </c>
      <c r="AA340" s="15">
        <f>_xlfn.XLOOKUP(tblMeasure[[#This Row],[id_src]],tblSource[id_src],tblSource[year_first_published])</f>
        <v>2005</v>
      </c>
      <c r="AB340" s="15">
        <f>_xlfn.XLOOKUP(tblMeasure[[#This Row],[id_src]],tblSource[id_src],tblSource[year_last_published])</f>
        <v>2019</v>
      </c>
      <c r="AC340" s="15">
        <f>_xlfn.XLOOKUP(tblMeasure[[#This Row],[id_src]],tblSource[id_src],tblSource[discontinuity])</f>
        <v>0</v>
      </c>
      <c r="AD340" s="15" t="str">
        <f>_xlfn.XLOOKUP(tblMeasure[[#This Row],[id_src]],tblSource[id_src],tblSource[publication_frequency])</f>
        <v>Annual</v>
      </c>
      <c r="AE340" s="15" t="str">
        <f>_xlfn.XLOOKUP(tblMeasure[[#This Row],[id_src]],tblSource[id_src],tblSource[publication_lag_months])</f>
        <v>TBD</v>
      </c>
      <c r="AF340" s="25" t="str">
        <f>_xlfn.XLOOKUP(tblMeasure[[#This Row],[id_src]],tblSource[id_src],tblSource[data_providers])</f>
        <v>GP</v>
      </c>
      <c r="AG340" s="25" t="str">
        <f>_xlfn.XLOOKUP(tblMeasure[[#This Row],[id_src]],tblSource[id_src],tblSource[statistic_class])</f>
        <v>TBD</v>
      </c>
      <c r="AH340" s="25" t="str">
        <f>_xlfn.XLOOKUP(tblMeasure[[#This Row],[id_src]],tblSource[id_src],tblSource[methodology_link])</f>
        <v>TBD</v>
      </c>
      <c r="AI340" s="25" t="str">
        <f>_xlfn.XLOOKUP(tblMeasure[[#This Row],[id_src]],tblSource[id_src],tblSource[quality_issues])</f>
        <v>TBD</v>
      </c>
      <c r="AJ340" s="25">
        <f>VLOOKUP(tblMeasure[[#This Row],[msr_population_or_survey]],strlu_msr_population_or_survey,2,FALSE)</f>
        <v>1</v>
      </c>
      <c r="AK340" s="25">
        <f>VLOOKUP(tblMeasure[[#This Row],[msr_min_geo_resolution]],strlu_msr_min_geo_resolution,2,FALSE)</f>
        <v>0</v>
      </c>
      <c r="AL340" s="25">
        <f>(MAX(tblMeasure[[#This Row],[src_year_last_published]]-2010+1,0)+MIN(2010-tblMeasure[[#This Row],[src_year_first_published]],0)-MAX(tblMeasure[[#This Row],[src_year_last_published]]-2019,0))/10</f>
        <v>1</v>
      </c>
      <c r="AM340" s="25">
        <f>IF(OR(tblMeasure[[#This Row],[src_discontinuity]]="None",tblMeasure[[#This Row],[src_discontinuity]]=0),1,0)</f>
        <v>1</v>
      </c>
      <c r="AN340" s="25">
        <f>VLOOKUP(tblMeasure[[#This Row],[src_pub_frequency]],strlu_src_pub_frequency,2,FALSE)</f>
        <v>0.8</v>
      </c>
      <c r="AO340" s="25">
        <f>VLOOKUP(tblMeasure[[#This Row],[src_pub_lag_months]],strlu_src_pub_lag_months,2,FALSE)</f>
        <v>0</v>
      </c>
      <c r="AP340" s="25">
        <f>VLOOKUP(tblMeasure[[#This Row],[src_statistic_class]],strlu_src_statistic_class,2,FALSE)</f>
        <v>0</v>
      </c>
      <c r="AQ340" s="25">
        <f>IF(tblMeasure[[#This Row],[src_methodology_url]]="TBD",0,1)</f>
        <v>0</v>
      </c>
      <c r="AR340" s="25">
        <f>IF(tblMeasure[[#This Row],[src_quality_url]]="TBD",0,1)</f>
        <v>0</v>
      </c>
      <c r="AS340" s="85" cm="1">
        <f t="array" ref="AS340">SUMPRODUCT(TRANSPOSE(tblMeasure[[#This Row],[str_msr_population_or_survey]:[str_src_quality_url]]),str_weights)/str_weights_total</f>
        <v>0.50769230769230766</v>
      </c>
    </row>
    <row r="341" spans="1:45" hidden="1" x14ac:dyDescent="0.15">
      <c r="A341" s="30">
        <v>325</v>
      </c>
      <c r="B341" s="15">
        <f>COUNTIF(requirement_measure_map!$D$3:$D$1514,measure!A341)</f>
        <v>1</v>
      </c>
      <c r="C341" s="30" t="s">
        <v>857</v>
      </c>
      <c r="D341" s="15" t="s">
        <v>1169</v>
      </c>
      <c r="E341" s="15" t="s">
        <v>1174</v>
      </c>
      <c r="F341" s="15" t="s">
        <v>1175</v>
      </c>
      <c r="G341" s="29" t="s">
        <v>1176</v>
      </c>
      <c r="H341" s="15"/>
      <c r="I341" s="15" t="s">
        <v>214</v>
      </c>
      <c r="J341" s="15" t="s">
        <v>215</v>
      </c>
      <c r="K341" s="15" t="s">
        <v>1177</v>
      </c>
      <c r="L341" s="15" t="s">
        <v>233</v>
      </c>
      <c r="M341" s="15" t="s">
        <v>219</v>
      </c>
      <c r="N341" s="15" t="s">
        <v>219</v>
      </c>
      <c r="O341" s="15" t="s">
        <v>219</v>
      </c>
      <c r="P341" s="15" t="s">
        <v>219</v>
      </c>
      <c r="Q341" s="15" t="s">
        <v>219</v>
      </c>
      <c r="R341" s="15" t="s">
        <v>219</v>
      </c>
      <c r="S341" s="15" t="s">
        <v>219</v>
      </c>
      <c r="T341" s="15" t="s">
        <v>219</v>
      </c>
      <c r="U341" s="15" t="s">
        <v>219</v>
      </c>
      <c r="V341" s="15" t="s">
        <v>219</v>
      </c>
      <c r="W341" s="15">
        <v>22</v>
      </c>
      <c r="X341" s="15" t="str">
        <f>_xlfn.XLOOKUP(tblMeasure[[#This Row],[id_src]],tblSource[id_src],tblSource[org])</f>
        <v>GP Contract</v>
      </c>
      <c r="Y341" s="15" t="str">
        <f>_xlfn.XLOOKUP(tblMeasure[[#This Row],[id_src]],tblSource[id_src],tblSource[source])</f>
        <v>Quality and Outcomes Framework (QOF) database</v>
      </c>
      <c r="Z341" s="15" t="str">
        <f>_xlfn.XLOOKUP(tblMeasure[[#This Row],[id_src]],tblSource[id_src],tblSource[url_source])</f>
        <v>https://www.gpcontract.co.uk/browse/ENG/19</v>
      </c>
      <c r="AA341" s="15">
        <f>_xlfn.XLOOKUP(tblMeasure[[#This Row],[id_src]],tblSource[id_src],tblSource[year_first_published])</f>
        <v>2005</v>
      </c>
      <c r="AB341" s="15">
        <f>_xlfn.XLOOKUP(tblMeasure[[#This Row],[id_src]],tblSource[id_src],tblSource[year_last_published])</f>
        <v>2019</v>
      </c>
      <c r="AC341" s="15">
        <f>_xlfn.XLOOKUP(tblMeasure[[#This Row],[id_src]],tblSource[id_src],tblSource[discontinuity])</f>
        <v>0</v>
      </c>
      <c r="AD341" s="15" t="str">
        <f>_xlfn.XLOOKUP(tblMeasure[[#This Row],[id_src]],tblSource[id_src],tblSource[publication_frequency])</f>
        <v>Annual</v>
      </c>
      <c r="AE341" s="15" t="str">
        <f>_xlfn.XLOOKUP(tblMeasure[[#This Row],[id_src]],tblSource[id_src],tblSource[publication_lag_months])</f>
        <v>TBD</v>
      </c>
      <c r="AF341" s="25" t="str">
        <f>_xlfn.XLOOKUP(tblMeasure[[#This Row],[id_src]],tblSource[id_src],tblSource[data_providers])</f>
        <v>GP</v>
      </c>
      <c r="AG341" s="25" t="str">
        <f>_xlfn.XLOOKUP(tblMeasure[[#This Row],[id_src]],tblSource[id_src],tblSource[statistic_class])</f>
        <v>TBD</v>
      </c>
      <c r="AH341" s="25" t="str">
        <f>_xlfn.XLOOKUP(tblMeasure[[#This Row],[id_src]],tblSource[id_src],tblSource[methodology_link])</f>
        <v>TBD</v>
      </c>
      <c r="AI341" s="25" t="str">
        <f>_xlfn.XLOOKUP(tblMeasure[[#This Row],[id_src]],tblSource[id_src],tblSource[quality_issues])</f>
        <v>TBD</v>
      </c>
      <c r="AJ341" s="25">
        <f>VLOOKUP(tblMeasure[[#This Row],[msr_population_or_survey]],strlu_msr_population_or_survey,2,FALSE)</f>
        <v>1</v>
      </c>
      <c r="AK341" s="25">
        <f>VLOOKUP(tblMeasure[[#This Row],[msr_min_geo_resolution]],strlu_msr_min_geo_resolution,2,FALSE)</f>
        <v>0</v>
      </c>
      <c r="AL341" s="25">
        <f>(MAX(tblMeasure[[#This Row],[src_year_last_published]]-2010+1,0)+MIN(2010-tblMeasure[[#This Row],[src_year_first_published]],0)-MAX(tblMeasure[[#This Row],[src_year_last_published]]-2019,0))/10</f>
        <v>1</v>
      </c>
      <c r="AM341" s="25">
        <f>IF(OR(tblMeasure[[#This Row],[src_discontinuity]]="None",tblMeasure[[#This Row],[src_discontinuity]]=0),1,0)</f>
        <v>1</v>
      </c>
      <c r="AN341" s="25">
        <f>VLOOKUP(tblMeasure[[#This Row],[src_pub_frequency]],strlu_src_pub_frequency,2,FALSE)</f>
        <v>0.8</v>
      </c>
      <c r="AO341" s="25">
        <f>VLOOKUP(tblMeasure[[#This Row],[src_pub_lag_months]],strlu_src_pub_lag_months,2,FALSE)</f>
        <v>0</v>
      </c>
      <c r="AP341" s="25">
        <f>VLOOKUP(tblMeasure[[#This Row],[src_statistic_class]],strlu_src_statistic_class,2,FALSE)</f>
        <v>0</v>
      </c>
      <c r="AQ341" s="25">
        <f>IF(tblMeasure[[#This Row],[src_methodology_url]]="TBD",0,1)</f>
        <v>0</v>
      </c>
      <c r="AR341" s="25">
        <f>IF(tblMeasure[[#This Row],[src_quality_url]]="TBD",0,1)</f>
        <v>0</v>
      </c>
      <c r="AS341" s="85" cm="1">
        <f t="array" ref="AS341">SUMPRODUCT(TRANSPOSE(tblMeasure[[#This Row],[str_msr_population_or_survey]:[str_src_quality_url]]),str_weights)/str_weights_total</f>
        <v>0.50769230769230766</v>
      </c>
    </row>
    <row r="342" spans="1:45" hidden="1" x14ac:dyDescent="0.15">
      <c r="A342" s="30">
        <v>326</v>
      </c>
      <c r="B342" s="15">
        <f>COUNTIF(requirement_measure_map!$D$3:$D$1514,measure!A342)</f>
        <v>3</v>
      </c>
      <c r="C342" s="30" t="s">
        <v>857</v>
      </c>
      <c r="D342" s="15" t="s">
        <v>1178</v>
      </c>
      <c r="E342" s="15" t="s">
        <v>579</v>
      </c>
      <c r="F342" s="15" t="s">
        <v>1179</v>
      </c>
      <c r="G342" s="29" t="s">
        <v>1180</v>
      </c>
      <c r="H342" s="15"/>
      <c r="I342" s="15" t="s">
        <v>214</v>
      </c>
      <c r="J342" s="15" t="s">
        <v>215</v>
      </c>
      <c r="K342" s="15" t="s">
        <v>1181</v>
      </c>
      <c r="L342" s="15" t="s">
        <v>233</v>
      </c>
      <c r="M342" s="15" t="s">
        <v>219</v>
      </c>
      <c r="N342" s="15" t="s">
        <v>219</v>
      </c>
      <c r="O342" s="15" t="s">
        <v>219</v>
      </c>
      <c r="P342" s="15" t="s">
        <v>219</v>
      </c>
      <c r="Q342" s="15" t="s">
        <v>218</v>
      </c>
      <c r="R342" s="15" t="s">
        <v>219</v>
      </c>
      <c r="S342" s="15" t="s">
        <v>219</v>
      </c>
      <c r="T342" s="15" t="s">
        <v>219</v>
      </c>
      <c r="U342" s="15" t="s">
        <v>219</v>
      </c>
      <c r="V342" s="15" t="s">
        <v>219</v>
      </c>
      <c r="W342" s="15">
        <v>23</v>
      </c>
      <c r="X342" s="15" t="str">
        <f>_xlfn.XLOOKUP(tblMeasure[[#This Row],[id_src]],tblSource[id_src],tblSource[org])</f>
        <v>Ministry of Housing, Communities &amp; Local Government</v>
      </c>
      <c r="Y342" s="15" t="str">
        <f>_xlfn.XLOOKUP(tblMeasure[[#This Row],[id_src]],tblSource[id_src],tblSource[source])</f>
        <v>Disabled Facilities Grant and other adaptations: external review</v>
      </c>
      <c r="Z342" s="15" t="str">
        <f>_xlfn.XLOOKUP(tblMeasure[[#This Row],[id_src]],tblSource[id_src],tblSource[url_source])</f>
        <v>https://www.gov.uk/government/publications/disabled-facilities-grant-and-other-adaptations-external-review</v>
      </c>
      <c r="AA342" s="15">
        <f>_xlfn.XLOOKUP(tblMeasure[[#This Row],[id_src]],tblSource[id_src],tblSource[year_first_published])</f>
        <v>2018</v>
      </c>
      <c r="AB342" s="15">
        <f>_xlfn.XLOOKUP(tblMeasure[[#This Row],[id_src]],tblSource[id_src],tblSource[year_last_published])</f>
        <v>2018</v>
      </c>
      <c r="AC342" s="15">
        <f>_xlfn.XLOOKUP(tblMeasure[[#This Row],[id_src]],tblSource[id_src],tblSource[discontinuity])</f>
        <v>0</v>
      </c>
      <c r="AD342" s="15" t="str">
        <f>_xlfn.XLOOKUP(tblMeasure[[#This Row],[id_src]],tblSource[id_src],tblSource[publication_frequency])</f>
        <v>One-off</v>
      </c>
      <c r="AE342" s="15" t="str">
        <f>_xlfn.XLOOKUP(tblMeasure[[#This Row],[id_src]],tblSource[id_src],tblSource[publication_lag_months])</f>
        <v>N/A</v>
      </c>
      <c r="AF342" s="25" t="str">
        <f>_xlfn.XLOOKUP(tblMeasure[[#This Row],[id_src]],tblSource[id_src],tblSource[data_providers])</f>
        <v>University of the West of England</v>
      </c>
      <c r="AG342" s="25" t="str">
        <f>_xlfn.XLOOKUP(tblMeasure[[#This Row],[id_src]],tblSource[id_src],tblSource[statistic_class])</f>
        <v>TBD</v>
      </c>
      <c r="AH342" s="25" t="str">
        <f>_xlfn.XLOOKUP(tblMeasure[[#This Row],[id_src]],tblSource[id_src],tblSource[methodology_link])</f>
        <v>TBD</v>
      </c>
      <c r="AI342" s="25" t="str">
        <f>_xlfn.XLOOKUP(tblMeasure[[#This Row],[id_src]],tblSource[id_src],tblSource[quality_issues])</f>
        <v>TBD</v>
      </c>
      <c r="AJ342" s="25">
        <f>VLOOKUP(tblMeasure[[#This Row],[msr_population_or_survey]],strlu_msr_population_or_survey,2,FALSE)</f>
        <v>1</v>
      </c>
      <c r="AK342" s="25">
        <f>VLOOKUP(tblMeasure[[#This Row],[msr_min_geo_resolution]],strlu_msr_min_geo_resolution,2,FALSE)</f>
        <v>0</v>
      </c>
      <c r="AL342" s="25">
        <f>(MAX(tblMeasure[[#This Row],[src_year_last_published]]-2010+1,0)+MIN(2010-tblMeasure[[#This Row],[src_year_first_published]],0)-MAX(tblMeasure[[#This Row],[src_year_last_published]]-2019,0))/10</f>
        <v>0.1</v>
      </c>
      <c r="AM342" s="25">
        <f>IF(OR(tblMeasure[[#This Row],[src_discontinuity]]="None",tblMeasure[[#This Row],[src_discontinuity]]=0),1,0)</f>
        <v>1</v>
      </c>
      <c r="AN342" s="25">
        <f>VLOOKUP(tblMeasure[[#This Row],[src_pub_frequency]],strlu_src_pub_frequency,2,FALSE)</f>
        <v>0</v>
      </c>
      <c r="AO342" s="25">
        <f>VLOOKUP(tblMeasure[[#This Row],[src_pub_lag_months]],strlu_src_pub_lag_months,2,FALSE)</f>
        <v>0</v>
      </c>
      <c r="AP342" s="25">
        <f>VLOOKUP(tblMeasure[[#This Row],[src_statistic_class]],strlu_src_statistic_class,2,FALSE)</f>
        <v>0</v>
      </c>
      <c r="AQ342" s="25">
        <f>IF(tblMeasure[[#This Row],[src_methodology_url]]="TBD",0,1)</f>
        <v>0</v>
      </c>
      <c r="AR342" s="25">
        <f>IF(tblMeasure[[#This Row],[src_quality_url]]="TBD",0,1)</f>
        <v>0</v>
      </c>
      <c r="AS342" s="85" cm="1">
        <f t="array" ref="AS342">SUMPRODUCT(TRANSPOSE(tblMeasure[[#This Row],[str_msr_population_or_survey]:[str_src_quality_url]]),str_weights)/str_weights_total</f>
        <v>0.24615384615384617</v>
      </c>
    </row>
    <row r="343" spans="1:45" hidden="1" x14ac:dyDescent="0.15">
      <c r="A343" s="30">
        <v>327</v>
      </c>
      <c r="B343" s="15">
        <f>COUNTIF(requirement_measure_map!$D$3:$D$1514,measure!A343)</f>
        <v>7</v>
      </c>
      <c r="C343" s="30" t="s">
        <v>857</v>
      </c>
      <c r="D343" s="15" t="s">
        <v>1182</v>
      </c>
      <c r="E343" s="15" t="s">
        <v>1183</v>
      </c>
      <c r="F343" s="15" t="s">
        <v>1184</v>
      </c>
      <c r="G343" s="29" t="s">
        <v>1185</v>
      </c>
      <c r="H343" s="15"/>
      <c r="I343" s="15" t="s">
        <v>214</v>
      </c>
      <c r="J343" s="15" t="s">
        <v>215</v>
      </c>
      <c r="K343" s="15" t="s">
        <v>1186</v>
      </c>
      <c r="L343" s="15" t="s">
        <v>217</v>
      </c>
      <c r="M343" s="15" t="s">
        <v>220</v>
      </c>
      <c r="N343" s="15" t="s">
        <v>219</v>
      </c>
      <c r="O343" s="15" t="s">
        <v>219</v>
      </c>
      <c r="P343" s="15" t="s">
        <v>219</v>
      </c>
      <c r="Q343" s="15" t="s">
        <v>220</v>
      </c>
      <c r="R343" s="15" t="s">
        <v>220</v>
      </c>
      <c r="S343" s="15" t="s">
        <v>219</v>
      </c>
      <c r="T343" s="15" t="s">
        <v>219</v>
      </c>
      <c r="U343" s="15" t="s">
        <v>218</v>
      </c>
      <c r="V343" s="15" t="s">
        <v>219</v>
      </c>
      <c r="W343" s="15">
        <v>24</v>
      </c>
      <c r="X343" s="15" t="str">
        <f>_xlfn.XLOOKUP(tblMeasure[[#This Row],[id_src]],tblSource[id_src],tblSource[org])</f>
        <v>Ministry of Housing, Communities &amp; Local Government</v>
      </c>
      <c r="Y343" s="15" t="str">
        <f>_xlfn.XLOOKUP(tblMeasure[[#This Row],[id_src]],tblSource[id_src],tblSource[source])</f>
        <v>Improved Better Care Fund</v>
      </c>
      <c r="Z343" s="15" t="str">
        <f>_xlfn.XLOOKUP(tblMeasure[[#This Row],[id_src]],tblSource[id_src],tblSource[url_source])</f>
        <v>https://www.gov.uk/government/publications/improved-better-care-fund-2018-19-quarterly-and-year-end-reporting</v>
      </c>
      <c r="AA343" s="15">
        <f>_xlfn.XLOOKUP(tblMeasure[[#This Row],[id_src]],tblSource[id_src],tblSource[year_first_published])</f>
        <v>2015</v>
      </c>
      <c r="AB343" s="15">
        <f>_xlfn.XLOOKUP(tblMeasure[[#This Row],[id_src]],tblSource[id_src],tblSource[year_last_published])</f>
        <v>2020</v>
      </c>
      <c r="AC343" s="15">
        <f>_xlfn.XLOOKUP(tblMeasure[[#This Row],[id_src]],tblSource[id_src],tblSource[discontinuity])</f>
        <v>0</v>
      </c>
      <c r="AD343" s="15" t="str">
        <f>_xlfn.XLOOKUP(tblMeasure[[#This Row],[id_src]],tblSource[id_src],tblSource[publication_frequency])</f>
        <v>Quarterly</v>
      </c>
      <c r="AE343" s="15" t="str">
        <f>_xlfn.XLOOKUP(tblMeasure[[#This Row],[id_src]],tblSource[id_src],tblSource[publication_lag_months])</f>
        <v>TBD</v>
      </c>
      <c r="AF343" s="25" t="str">
        <f>_xlfn.XLOOKUP(tblMeasure[[#This Row],[id_src]],tblSource[id_src],tblSource[data_providers])</f>
        <v>Ministry of Housing, Communities &amp; Local Government</v>
      </c>
      <c r="AG343" s="25" t="str">
        <f>_xlfn.XLOOKUP(tblMeasure[[#This Row],[id_src]],tblSource[id_src],tblSource[statistic_class])</f>
        <v>Management Information</v>
      </c>
      <c r="AH343" s="25" t="str">
        <f>_xlfn.XLOOKUP(tblMeasure[[#This Row],[id_src]],tblSource[id_src],tblSource[methodology_link])</f>
        <v>https://assets.publishing.service.gov.uk/government/uploads/system/uploads/attachment_data/file/836598/iBCF_End_of_year_report_1819.pdf</v>
      </c>
      <c r="AI343" s="25" t="str">
        <f>_xlfn.XLOOKUP(tblMeasure[[#This Row],[id_src]],tblSource[id_src],tblSource[quality_issues])</f>
        <v>https://assets.publishing.service.gov.uk/government/uploads/system/uploads/attachment_data/file/836598/iBCF_End_of_year_report_1819.pdf</v>
      </c>
      <c r="AJ343" s="25">
        <f>VLOOKUP(tblMeasure[[#This Row],[msr_population_or_survey]],strlu_msr_population_or_survey,2,FALSE)</f>
        <v>1</v>
      </c>
      <c r="AK343" s="25">
        <f>VLOOKUP(tblMeasure[[#This Row],[msr_min_geo_resolution]],strlu_msr_min_geo_resolution,2,FALSE)</f>
        <v>1</v>
      </c>
      <c r="AL343" s="25">
        <f>(MAX(tblMeasure[[#This Row],[src_year_last_published]]-2010+1,0)+MIN(2010-tblMeasure[[#This Row],[src_year_first_published]],0)-MAX(tblMeasure[[#This Row],[src_year_last_published]]-2019,0))/10</f>
        <v>0.5</v>
      </c>
      <c r="AM343" s="25">
        <f>IF(OR(tblMeasure[[#This Row],[src_discontinuity]]="None",tblMeasure[[#This Row],[src_discontinuity]]=0),1,0)</f>
        <v>1</v>
      </c>
      <c r="AN343" s="25">
        <f>VLOOKUP(tblMeasure[[#This Row],[src_pub_frequency]],strlu_src_pub_frequency,2,FALSE)</f>
        <v>0.9</v>
      </c>
      <c r="AO343" s="25">
        <f>VLOOKUP(tblMeasure[[#This Row],[src_pub_lag_months]],strlu_src_pub_lag_months,2,FALSE)</f>
        <v>0</v>
      </c>
      <c r="AP343" s="25">
        <f>VLOOKUP(tblMeasure[[#This Row],[src_statistic_class]],strlu_src_statistic_class,2,FALSE)</f>
        <v>0.8</v>
      </c>
      <c r="AQ343" s="25">
        <f>IF(tblMeasure[[#This Row],[src_methodology_url]]="TBD",0,1)</f>
        <v>1</v>
      </c>
      <c r="AR343" s="25">
        <f>IF(tblMeasure[[#This Row],[src_quality_url]]="TBD",0,1)</f>
        <v>1</v>
      </c>
      <c r="AS343" s="85" cm="1">
        <f t="array" ref="AS343">SUMPRODUCT(TRANSPOSE(tblMeasure[[#This Row],[str_msr_population_or_survey]:[str_src_quality_url]]),str_weights)/str_weights_total</f>
        <v>0.8</v>
      </c>
    </row>
    <row r="344" spans="1:45" hidden="1" x14ac:dyDescent="0.15">
      <c r="A344" s="30">
        <v>328</v>
      </c>
      <c r="B344" s="15">
        <f>COUNTIF(requirement_measure_map!$D$3:$D$1514,measure!A344)</f>
        <v>4</v>
      </c>
      <c r="C344" s="30" t="s">
        <v>857</v>
      </c>
      <c r="D344" s="15" t="s">
        <v>1187</v>
      </c>
      <c r="E344" s="15">
        <v>332</v>
      </c>
      <c r="F344" s="15" t="s">
        <v>1188</v>
      </c>
      <c r="G344" s="29" t="s">
        <v>1189</v>
      </c>
      <c r="H344" s="15"/>
      <c r="I344" s="15" t="s">
        <v>214</v>
      </c>
      <c r="J344" s="15" t="s">
        <v>215</v>
      </c>
      <c r="K344" s="15" t="s">
        <v>232</v>
      </c>
      <c r="L344" s="15" t="s">
        <v>217</v>
      </c>
      <c r="M344" s="15" t="s">
        <v>220</v>
      </c>
      <c r="N344" s="15" t="s">
        <v>219</v>
      </c>
      <c r="O344" s="15" t="s">
        <v>219</v>
      </c>
      <c r="P344" s="15" t="s">
        <v>220</v>
      </c>
      <c r="Q344" s="15" t="s">
        <v>220</v>
      </c>
      <c r="R344" s="15" t="s">
        <v>219</v>
      </c>
      <c r="S344" s="15" t="s">
        <v>219</v>
      </c>
      <c r="T344" s="15" t="s">
        <v>219</v>
      </c>
      <c r="U344" s="15" t="s">
        <v>219</v>
      </c>
      <c r="V344" s="15" t="s">
        <v>219</v>
      </c>
      <c r="W344" s="15">
        <v>25</v>
      </c>
      <c r="X344" s="15" t="str">
        <f>_xlfn.XLOOKUP(tblMeasure[[#This Row],[id_src]],tblSource[id_src],tblSource[org])</f>
        <v>Ministry of Housing, Communities &amp; Local Government</v>
      </c>
      <c r="Y344" s="15" t="str">
        <f>_xlfn.XLOOKUP(tblMeasure[[#This Row],[id_src]],tblSource[id_src],tblSource[source])</f>
        <v>LA revenue expenditure and financing</v>
      </c>
      <c r="Z344" s="15" t="str">
        <f>_xlfn.XLOOKUP(tblMeasure[[#This Row],[id_src]],tblSource[id_src],tblSource[url_source])</f>
        <v>https://www.gov.uk/government/collections/local-authority-revenue-expenditure-and-financing</v>
      </c>
      <c r="AA344" s="15">
        <f>_xlfn.XLOOKUP(tblMeasure[[#This Row],[id_src]],tblSource[id_src],tblSource[year_first_published])</f>
        <v>2008</v>
      </c>
      <c r="AB344" s="15">
        <f>_xlfn.XLOOKUP(tblMeasure[[#This Row],[id_src]],tblSource[id_src],tblSource[year_last_published])</f>
        <v>2019</v>
      </c>
      <c r="AC344" s="15">
        <f>_xlfn.XLOOKUP(tblMeasure[[#This Row],[id_src]],tblSource[id_src],tblSource[discontinuity])</f>
        <v>0</v>
      </c>
      <c r="AD344" s="15" t="str">
        <f>_xlfn.XLOOKUP(tblMeasure[[#This Row],[id_src]],tblSource[id_src],tblSource[publication_frequency])</f>
        <v>Annual</v>
      </c>
      <c r="AE344" s="15" t="str">
        <f>_xlfn.XLOOKUP(tblMeasure[[#This Row],[id_src]],tblSource[id_src],tblSource[publication_lag_months])</f>
        <v>TBD</v>
      </c>
      <c r="AF344" s="25" t="str">
        <f>_xlfn.XLOOKUP(tblMeasure[[#This Row],[id_src]],tblSource[id_src],tblSource[data_providers])</f>
        <v>Ministry of Housing, Communities &amp; Local Government</v>
      </c>
      <c r="AG344" s="25" t="str">
        <f>_xlfn.XLOOKUP(tblMeasure[[#This Row],[id_src]],tblSource[id_src],tblSource[statistic_class])</f>
        <v>National</v>
      </c>
      <c r="AH344" s="25" t="str">
        <f>_xlfn.XLOOKUP(tblMeasure[[#This Row],[id_src]],tblSource[id_src],tblSource[methodology_link])</f>
        <v>https://assets.publishing.service.gov.uk/government/uploads/system/uploads/attachment_data/file/812505/Local_Authority_Revenue_Expenditure_and_Financing_2019-20_Budget__England.pdf</v>
      </c>
      <c r="AI344" s="25" t="str">
        <f>_xlfn.XLOOKUP(tblMeasure[[#This Row],[id_src]],tblSource[id_src],tblSource[quality_issues])</f>
        <v>https://assets.publishing.service.gov.uk/government/uploads/system/uploads/attachment_data/file/812505/Local_Authority_Revenue_Expenditure_and_Financing_2019-20_Budget__England.pdf</v>
      </c>
      <c r="AJ344" s="25">
        <f>VLOOKUP(tblMeasure[[#This Row],[msr_population_or_survey]],strlu_msr_population_or_survey,2,FALSE)</f>
        <v>1</v>
      </c>
      <c r="AK344" s="25">
        <f>VLOOKUP(tblMeasure[[#This Row],[msr_min_geo_resolution]],strlu_msr_min_geo_resolution,2,FALSE)</f>
        <v>1</v>
      </c>
      <c r="AL344" s="25">
        <f>(MAX(tblMeasure[[#This Row],[src_year_last_published]]-2010+1,0)+MIN(2010-tblMeasure[[#This Row],[src_year_first_published]],0)-MAX(tblMeasure[[#This Row],[src_year_last_published]]-2019,0))/10</f>
        <v>1</v>
      </c>
      <c r="AM344" s="25">
        <f>IF(OR(tblMeasure[[#This Row],[src_discontinuity]]="None",tblMeasure[[#This Row],[src_discontinuity]]=0),1,0)</f>
        <v>1</v>
      </c>
      <c r="AN344" s="25">
        <f>VLOOKUP(tblMeasure[[#This Row],[src_pub_frequency]],strlu_src_pub_frequency,2,FALSE)</f>
        <v>0.8</v>
      </c>
      <c r="AO344" s="25">
        <f>VLOOKUP(tblMeasure[[#This Row],[src_pub_lag_months]],strlu_src_pub_lag_months,2,FALSE)</f>
        <v>0</v>
      </c>
      <c r="AP344" s="25">
        <f>VLOOKUP(tblMeasure[[#This Row],[src_statistic_class]],strlu_src_statistic_class,2,FALSE)</f>
        <v>1</v>
      </c>
      <c r="AQ344" s="25">
        <f>IF(tblMeasure[[#This Row],[src_methodology_url]]="TBD",0,1)</f>
        <v>1</v>
      </c>
      <c r="AR344" s="25">
        <f>IF(tblMeasure[[#This Row],[src_quality_url]]="TBD",0,1)</f>
        <v>1</v>
      </c>
      <c r="AS344" s="85" cm="1">
        <f t="array" ref="AS344">SUMPRODUCT(TRANSPOSE(tblMeasure[[#This Row],[str_msr_population_or_survey]:[str_src_quality_url]]),str_weights)/str_weights_total</f>
        <v>0.89230769230769225</v>
      </c>
    </row>
    <row r="345" spans="1:45" hidden="1" x14ac:dyDescent="0.15">
      <c r="A345" s="30">
        <v>329</v>
      </c>
      <c r="B345" s="15">
        <f>COUNTIF(requirement_measure_map!$D$3:$D$1514,measure!A345)</f>
        <v>4</v>
      </c>
      <c r="C345" s="30" t="s">
        <v>857</v>
      </c>
      <c r="D345" s="15" t="s">
        <v>1187</v>
      </c>
      <c r="E345" s="15">
        <v>333</v>
      </c>
      <c r="F345" s="15" t="s">
        <v>1190</v>
      </c>
      <c r="G345" s="29" t="s">
        <v>1189</v>
      </c>
      <c r="H345" s="15"/>
      <c r="I345" s="15" t="s">
        <v>214</v>
      </c>
      <c r="J345" s="15" t="s">
        <v>215</v>
      </c>
      <c r="K345" s="15" t="s">
        <v>232</v>
      </c>
      <c r="L345" s="15" t="s">
        <v>217</v>
      </c>
      <c r="M345" s="15" t="s">
        <v>220</v>
      </c>
      <c r="N345" s="15" t="s">
        <v>219</v>
      </c>
      <c r="O345" s="15" t="s">
        <v>219</v>
      </c>
      <c r="P345" s="15" t="s">
        <v>220</v>
      </c>
      <c r="Q345" s="15" t="s">
        <v>220</v>
      </c>
      <c r="R345" s="15" t="s">
        <v>219</v>
      </c>
      <c r="S345" s="15" t="s">
        <v>219</v>
      </c>
      <c r="T345" s="15" t="s">
        <v>219</v>
      </c>
      <c r="U345" s="15" t="s">
        <v>219</v>
      </c>
      <c r="V345" s="15" t="s">
        <v>219</v>
      </c>
      <c r="W345" s="15">
        <v>25</v>
      </c>
      <c r="X345" s="15" t="str">
        <f>_xlfn.XLOOKUP(tblMeasure[[#This Row],[id_src]],tblSource[id_src],tblSource[org])</f>
        <v>Ministry of Housing, Communities &amp; Local Government</v>
      </c>
      <c r="Y345" s="15" t="str">
        <f>_xlfn.XLOOKUP(tblMeasure[[#This Row],[id_src]],tblSource[id_src],tblSource[source])</f>
        <v>LA revenue expenditure and financing</v>
      </c>
      <c r="Z345" s="15" t="str">
        <f>_xlfn.XLOOKUP(tblMeasure[[#This Row],[id_src]],tblSource[id_src],tblSource[url_source])</f>
        <v>https://www.gov.uk/government/collections/local-authority-revenue-expenditure-and-financing</v>
      </c>
      <c r="AA345" s="15">
        <f>_xlfn.XLOOKUP(tblMeasure[[#This Row],[id_src]],tblSource[id_src],tblSource[year_first_published])</f>
        <v>2008</v>
      </c>
      <c r="AB345" s="15">
        <f>_xlfn.XLOOKUP(tblMeasure[[#This Row],[id_src]],tblSource[id_src],tblSource[year_last_published])</f>
        <v>2019</v>
      </c>
      <c r="AC345" s="15">
        <f>_xlfn.XLOOKUP(tblMeasure[[#This Row],[id_src]],tblSource[id_src],tblSource[discontinuity])</f>
        <v>0</v>
      </c>
      <c r="AD345" s="15" t="str">
        <f>_xlfn.XLOOKUP(tblMeasure[[#This Row],[id_src]],tblSource[id_src],tblSource[publication_frequency])</f>
        <v>Annual</v>
      </c>
      <c r="AE345" s="15" t="str">
        <f>_xlfn.XLOOKUP(tblMeasure[[#This Row],[id_src]],tblSource[id_src],tblSource[publication_lag_months])</f>
        <v>TBD</v>
      </c>
      <c r="AF345" s="25" t="str">
        <f>_xlfn.XLOOKUP(tblMeasure[[#This Row],[id_src]],tblSource[id_src],tblSource[data_providers])</f>
        <v>Ministry of Housing, Communities &amp; Local Government</v>
      </c>
      <c r="AG345" s="25" t="str">
        <f>_xlfn.XLOOKUP(tblMeasure[[#This Row],[id_src]],tblSource[id_src],tblSource[statistic_class])</f>
        <v>National</v>
      </c>
      <c r="AH345" s="25" t="str">
        <f>_xlfn.XLOOKUP(tblMeasure[[#This Row],[id_src]],tblSource[id_src],tblSource[methodology_link])</f>
        <v>https://assets.publishing.service.gov.uk/government/uploads/system/uploads/attachment_data/file/812505/Local_Authority_Revenue_Expenditure_and_Financing_2019-20_Budget__England.pdf</v>
      </c>
      <c r="AI345" s="25" t="str">
        <f>_xlfn.XLOOKUP(tblMeasure[[#This Row],[id_src]],tblSource[id_src],tblSource[quality_issues])</f>
        <v>https://assets.publishing.service.gov.uk/government/uploads/system/uploads/attachment_data/file/812505/Local_Authority_Revenue_Expenditure_and_Financing_2019-20_Budget__England.pdf</v>
      </c>
      <c r="AJ345" s="25">
        <f>VLOOKUP(tblMeasure[[#This Row],[msr_population_or_survey]],strlu_msr_population_or_survey,2,FALSE)</f>
        <v>1</v>
      </c>
      <c r="AK345" s="25">
        <f>VLOOKUP(tblMeasure[[#This Row],[msr_min_geo_resolution]],strlu_msr_min_geo_resolution,2,FALSE)</f>
        <v>1</v>
      </c>
      <c r="AL345" s="25">
        <f>(MAX(tblMeasure[[#This Row],[src_year_last_published]]-2010+1,0)+MIN(2010-tblMeasure[[#This Row],[src_year_first_published]],0)-MAX(tblMeasure[[#This Row],[src_year_last_published]]-2019,0))/10</f>
        <v>1</v>
      </c>
      <c r="AM345" s="25">
        <f>IF(OR(tblMeasure[[#This Row],[src_discontinuity]]="None",tblMeasure[[#This Row],[src_discontinuity]]=0),1,0)</f>
        <v>1</v>
      </c>
      <c r="AN345" s="25">
        <f>VLOOKUP(tblMeasure[[#This Row],[src_pub_frequency]],strlu_src_pub_frequency,2,FALSE)</f>
        <v>0.8</v>
      </c>
      <c r="AO345" s="25">
        <f>VLOOKUP(tblMeasure[[#This Row],[src_pub_lag_months]],strlu_src_pub_lag_months,2,FALSE)</f>
        <v>0</v>
      </c>
      <c r="AP345" s="25">
        <f>VLOOKUP(tblMeasure[[#This Row],[src_statistic_class]],strlu_src_statistic_class,2,FALSE)</f>
        <v>1</v>
      </c>
      <c r="AQ345" s="25">
        <f>IF(tblMeasure[[#This Row],[src_methodology_url]]="TBD",0,1)</f>
        <v>1</v>
      </c>
      <c r="AR345" s="25">
        <f>IF(tblMeasure[[#This Row],[src_quality_url]]="TBD",0,1)</f>
        <v>1</v>
      </c>
      <c r="AS345" s="85" cm="1">
        <f t="array" ref="AS345">SUMPRODUCT(TRANSPOSE(tblMeasure[[#This Row],[str_msr_population_or_survey]:[str_src_quality_url]]),str_weights)/str_weights_total</f>
        <v>0.89230769230769225</v>
      </c>
    </row>
    <row r="346" spans="1:45" hidden="1" x14ac:dyDescent="0.15">
      <c r="A346" s="30">
        <v>330</v>
      </c>
      <c r="B346" s="15">
        <f>COUNTIF(requirement_measure_map!$D$3:$D$1514,measure!A346)</f>
        <v>4</v>
      </c>
      <c r="C346" s="30" t="s">
        <v>857</v>
      </c>
      <c r="D346" s="15" t="s">
        <v>1187</v>
      </c>
      <c r="E346" s="15">
        <v>334</v>
      </c>
      <c r="F346" s="15" t="s">
        <v>1191</v>
      </c>
      <c r="G346" s="29" t="s">
        <v>1189</v>
      </c>
      <c r="H346" s="15"/>
      <c r="I346" s="15" t="s">
        <v>214</v>
      </c>
      <c r="J346" s="15" t="s">
        <v>215</v>
      </c>
      <c r="K346" s="15" t="s">
        <v>232</v>
      </c>
      <c r="L346" s="15" t="s">
        <v>217</v>
      </c>
      <c r="M346" s="15" t="s">
        <v>220</v>
      </c>
      <c r="N346" s="15" t="s">
        <v>219</v>
      </c>
      <c r="O346" s="15" t="s">
        <v>219</v>
      </c>
      <c r="P346" s="15" t="s">
        <v>220</v>
      </c>
      <c r="Q346" s="15" t="s">
        <v>220</v>
      </c>
      <c r="R346" s="15" t="s">
        <v>219</v>
      </c>
      <c r="S346" s="15" t="s">
        <v>219</v>
      </c>
      <c r="T346" s="15" t="s">
        <v>219</v>
      </c>
      <c r="U346" s="15" t="s">
        <v>219</v>
      </c>
      <c r="V346" s="15" t="s">
        <v>219</v>
      </c>
      <c r="W346" s="15">
        <v>25</v>
      </c>
      <c r="X346" s="15" t="str">
        <f>_xlfn.XLOOKUP(tblMeasure[[#This Row],[id_src]],tblSource[id_src],tblSource[org])</f>
        <v>Ministry of Housing, Communities &amp; Local Government</v>
      </c>
      <c r="Y346" s="15" t="str">
        <f>_xlfn.XLOOKUP(tblMeasure[[#This Row],[id_src]],tblSource[id_src],tblSource[source])</f>
        <v>LA revenue expenditure and financing</v>
      </c>
      <c r="Z346" s="15" t="str">
        <f>_xlfn.XLOOKUP(tblMeasure[[#This Row],[id_src]],tblSource[id_src],tblSource[url_source])</f>
        <v>https://www.gov.uk/government/collections/local-authority-revenue-expenditure-and-financing</v>
      </c>
      <c r="AA346" s="15">
        <f>_xlfn.XLOOKUP(tblMeasure[[#This Row],[id_src]],tblSource[id_src],tblSource[year_first_published])</f>
        <v>2008</v>
      </c>
      <c r="AB346" s="15">
        <f>_xlfn.XLOOKUP(tblMeasure[[#This Row],[id_src]],tblSource[id_src],tblSource[year_last_published])</f>
        <v>2019</v>
      </c>
      <c r="AC346" s="15">
        <f>_xlfn.XLOOKUP(tblMeasure[[#This Row],[id_src]],tblSource[id_src],tblSource[discontinuity])</f>
        <v>0</v>
      </c>
      <c r="AD346" s="15" t="str">
        <f>_xlfn.XLOOKUP(tblMeasure[[#This Row],[id_src]],tblSource[id_src],tblSource[publication_frequency])</f>
        <v>Annual</v>
      </c>
      <c r="AE346" s="15" t="str">
        <f>_xlfn.XLOOKUP(tblMeasure[[#This Row],[id_src]],tblSource[id_src],tblSource[publication_lag_months])</f>
        <v>TBD</v>
      </c>
      <c r="AF346" s="25" t="str">
        <f>_xlfn.XLOOKUP(tblMeasure[[#This Row],[id_src]],tblSource[id_src],tblSource[data_providers])</f>
        <v>Ministry of Housing, Communities &amp; Local Government</v>
      </c>
      <c r="AG346" s="25" t="str">
        <f>_xlfn.XLOOKUP(tblMeasure[[#This Row],[id_src]],tblSource[id_src],tblSource[statistic_class])</f>
        <v>National</v>
      </c>
      <c r="AH346" s="25" t="str">
        <f>_xlfn.XLOOKUP(tblMeasure[[#This Row],[id_src]],tblSource[id_src],tblSource[methodology_link])</f>
        <v>https://assets.publishing.service.gov.uk/government/uploads/system/uploads/attachment_data/file/812505/Local_Authority_Revenue_Expenditure_and_Financing_2019-20_Budget__England.pdf</v>
      </c>
      <c r="AI346" s="25" t="str">
        <f>_xlfn.XLOOKUP(tblMeasure[[#This Row],[id_src]],tblSource[id_src],tblSource[quality_issues])</f>
        <v>https://assets.publishing.service.gov.uk/government/uploads/system/uploads/attachment_data/file/812505/Local_Authority_Revenue_Expenditure_and_Financing_2019-20_Budget__England.pdf</v>
      </c>
      <c r="AJ346" s="25">
        <f>VLOOKUP(tblMeasure[[#This Row],[msr_population_or_survey]],strlu_msr_population_or_survey,2,FALSE)</f>
        <v>1</v>
      </c>
      <c r="AK346" s="25">
        <f>VLOOKUP(tblMeasure[[#This Row],[msr_min_geo_resolution]],strlu_msr_min_geo_resolution,2,FALSE)</f>
        <v>1</v>
      </c>
      <c r="AL346" s="25">
        <f>(MAX(tblMeasure[[#This Row],[src_year_last_published]]-2010+1,0)+MIN(2010-tblMeasure[[#This Row],[src_year_first_published]],0)-MAX(tblMeasure[[#This Row],[src_year_last_published]]-2019,0))/10</f>
        <v>1</v>
      </c>
      <c r="AM346" s="25">
        <f>IF(OR(tblMeasure[[#This Row],[src_discontinuity]]="None",tblMeasure[[#This Row],[src_discontinuity]]=0),1,0)</f>
        <v>1</v>
      </c>
      <c r="AN346" s="25">
        <f>VLOOKUP(tblMeasure[[#This Row],[src_pub_frequency]],strlu_src_pub_frequency,2,FALSE)</f>
        <v>0.8</v>
      </c>
      <c r="AO346" s="25">
        <f>VLOOKUP(tblMeasure[[#This Row],[src_pub_lag_months]],strlu_src_pub_lag_months,2,FALSE)</f>
        <v>0</v>
      </c>
      <c r="AP346" s="25">
        <f>VLOOKUP(tblMeasure[[#This Row],[src_statistic_class]],strlu_src_statistic_class,2,FALSE)</f>
        <v>1</v>
      </c>
      <c r="AQ346" s="25">
        <f>IF(tblMeasure[[#This Row],[src_methodology_url]]="TBD",0,1)</f>
        <v>1</v>
      </c>
      <c r="AR346" s="25">
        <f>IF(tblMeasure[[#This Row],[src_quality_url]]="TBD",0,1)</f>
        <v>1</v>
      </c>
      <c r="AS346" s="85" cm="1">
        <f t="array" ref="AS346">SUMPRODUCT(TRANSPOSE(tblMeasure[[#This Row],[str_msr_population_or_survey]:[str_src_quality_url]]),str_weights)/str_weights_total</f>
        <v>0.89230769230769225</v>
      </c>
    </row>
    <row r="347" spans="1:45" hidden="1" x14ac:dyDescent="0.15">
      <c r="A347" s="30">
        <v>331</v>
      </c>
      <c r="B347" s="15">
        <f>COUNTIF(requirement_measure_map!$D$3:$D$1514,measure!A347)</f>
        <v>4</v>
      </c>
      <c r="C347" s="30" t="s">
        <v>857</v>
      </c>
      <c r="D347" s="15" t="s">
        <v>1187</v>
      </c>
      <c r="E347" s="15">
        <v>335</v>
      </c>
      <c r="F347" s="15" t="s">
        <v>1192</v>
      </c>
      <c r="G347" s="29" t="s">
        <v>1189</v>
      </c>
      <c r="H347" s="15"/>
      <c r="I347" s="15" t="s">
        <v>214</v>
      </c>
      <c r="J347" s="15" t="s">
        <v>215</v>
      </c>
      <c r="K347" s="15" t="s">
        <v>232</v>
      </c>
      <c r="L347" s="15" t="s">
        <v>217</v>
      </c>
      <c r="M347" s="15" t="s">
        <v>220</v>
      </c>
      <c r="N347" s="15" t="s">
        <v>219</v>
      </c>
      <c r="O347" s="15" t="s">
        <v>219</v>
      </c>
      <c r="P347" s="15" t="s">
        <v>220</v>
      </c>
      <c r="Q347" s="15" t="s">
        <v>220</v>
      </c>
      <c r="R347" s="15" t="s">
        <v>219</v>
      </c>
      <c r="S347" s="15" t="s">
        <v>219</v>
      </c>
      <c r="T347" s="15" t="s">
        <v>219</v>
      </c>
      <c r="U347" s="15" t="s">
        <v>219</v>
      </c>
      <c r="V347" s="15" t="s">
        <v>219</v>
      </c>
      <c r="W347" s="15">
        <v>25</v>
      </c>
      <c r="X347" s="15" t="str">
        <f>_xlfn.XLOOKUP(tblMeasure[[#This Row],[id_src]],tblSource[id_src],tblSource[org])</f>
        <v>Ministry of Housing, Communities &amp; Local Government</v>
      </c>
      <c r="Y347" s="15" t="str">
        <f>_xlfn.XLOOKUP(tblMeasure[[#This Row],[id_src]],tblSource[id_src],tblSource[source])</f>
        <v>LA revenue expenditure and financing</v>
      </c>
      <c r="Z347" s="15" t="str">
        <f>_xlfn.XLOOKUP(tblMeasure[[#This Row],[id_src]],tblSource[id_src],tblSource[url_source])</f>
        <v>https://www.gov.uk/government/collections/local-authority-revenue-expenditure-and-financing</v>
      </c>
      <c r="AA347" s="15">
        <f>_xlfn.XLOOKUP(tblMeasure[[#This Row],[id_src]],tblSource[id_src],tblSource[year_first_published])</f>
        <v>2008</v>
      </c>
      <c r="AB347" s="15">
        <f>_xlfn.XLOOKUP(tblMeasure[[#This Row],[id_src]],tblSource[id_src],tblSource[year_last_published])</f>
        <v>2019</v>
      </c>
      <c r="AC347" s="15">
        <f>_xlfn.XLOOKUP(tblMeasure[[#This Row],[id_src]],tblSource[id_src],tblSource[discontinuity])</f>
        <v>0</v>
      </c>
      <c r="AD347" s="15" t="str">
        <f>_xlfn.XLOOKUP(tblMeasure[[#This Row],[id_src]],tblSource[id_src],tblSource[publication_frequency])</f>
        <v>Annual</v>
      </c>
      <c r="AE347" s="15" t="str">
        <f>_xlfn.XLOOKUP(tblMeasure[[#This Row],[id_src]],tblSource[id_src],tblSource[publication_lag_months])</f>
        <v>TBD</v>
      </c>
      <c r="AF347" s="25" t="str">
        <f>_xlfn.XLOOKUP(tblMeasure[[#This Row],[id_src]],tblSource[id_src],tblSource[data_providers])</f>
        <v>Ministry of Housing, Communities &amp; Local Government</v>
      </c>
      <c r="AG347" s="25" t="str">
        <f>_xlfn.XLOOKUP(tblMeasure[[#This Row],[id_src]],tblSource[id_src],tblSource[statistic_class])</f>
        <v>National</v>
      </c>
      <c r="AH347" s="25" t="str">
        <f>_xlfn.XLOOKUP(tblMeasure[[#This Row],[id_src]],tblSource[id_src],tblSource[methodology_link])</f>
        <v>https://assets.publishing.service.gov.uk/government/uploads/system/uploads/attachment_data/file/812505/Local_Authority_Revenue_Expenditure_and_Financing_2019-20_Budget__England.pdf</v>
      </c>
      <c r="AI347" s="25" t="str">
        <f>_xlfn.XLOOKUP(tblMeasure[[#This Row],[id_src]],tblSource[id_src],tblSource[quality_issues])</f>
        <v>https://assets.publishing.service.gov.uk/government/uploads/system/uploads/attachment_data/file/812505/Local_Authority_Revenue_Expenditure_and_Financing_2019-20_Budget__England.pdf</v>
      </c>
      <c r="AJ347" s="25">
        <f>VLOOKUP(tblMeasure[[#This Row],[msr_population_or_survey]],strlu_msr_population_or_survey,2,FALSE)</f>
        <v>1</v>
      </c>
      <c r="AK347" s="25">
        <f>VLOOKUP(tblMeasure[[#This Row],[msr_min_geo_resolution]],strlu_msr_min_geo_resolution,2,FALSE)</f>
        <v>1</v>
      </c>
      <c r="AL347" s="25">
        <f>(MAX(tblMeasure[[#This Row],[src_year_last_published]]-2010+1,0)+MIN(2010-tblMeasure[[#This Row],[src_year_first_published]],0)-MAX(tblMeasure[[#This Row],[src_year_last_published]]-2019,0))/10</f>
        <v>1</v>
      </c>
      <c r="AM347" s="25">
        <f>IF(OR(tblMeasure[[#This Row],[src_discontinuity]]="None",tblMeasure[[#This Row],[src_discontinuity]]=0),1,0)</f>
        <v>1</v>
      </c>
      <c r="AN347" s="25">
        <f>VLOOKUP(tblMeasure[[#This Row],[src_pub_frequency]],strlu_src_pub_frequency,2,FALSE)</f>
        <v>0.8</v>
      </c>
      <c r="AO347" s="25">
        <f>VLOOKUP(tblMeasure[[#This Row],[src_pub_lag_months]],strlu_src_pub_lag_months,2,FALSE)</f>
        <v>0</v>
      </c>
      <c r="AP347" s="25">
        <f>VLOOKUP(tblMeasure[[#This Row],[src_statistic_class]],strlu_src_statistic_class,2,FALSE)</f>
        <v>1</v>
      </c>
      <c r="AQ347" s="25">
        <f>IF(tblMeasure[[#This Row],[src_methodology_url]]="TBD",0,1)</f>
        <v>1</v>
      </c>
      <c r="AR347" s="25">
        <f>IF(tblMeasure[[#This Row],[src_quality_url]]="TBD",0,1)</f>
        <v>1</v>
      </c>
      <c r="AS347" s="85" cm="1">
        <f t="array" ref="AS347">SUMPRODUCT(TRANSPOSE(tblMeasure[[#This Row],[str_msr_population_or_survey]:[str_src_quality_url]]),str_weights)/str_weights_total</f>
        <v>0.89230769230769225</v>
      </c>
    </row>
    <row r="348" spans="1:45" hidden="1" x14ac:dyDescent="0.15">
      <c r="A348" s="30">
        <v>332</v>
      </c>
      <c r="B348" s="15">
        <f>COUNTIF(requirement_measure_map!$D$3:$D$1514,measure!A348)</f>
        <v>4</v>
      </c>
      <c r="C348" s="30" t="s">
        <v>857</v>
      </c>
      <c r="D348" s="15" t="s">
        <v>1187</v>
      </c>
      <c r="E348" s="15">
        <v>336</v>
      </c>
      <c r="F348" s="15" t="s">
        <v>1193</v>
      </c>
      <c r="G348" s="29" t="s">
        <v>1189</v>
      </c>
      <c r="H348" s="15"/>
      <c r="I348" s="15" t="s">
        <v>214</v>
      </c>
      <c r="J348" s="15" t="s">
        <v>215</v>
      </c>
      <c r="K348" s="15" t="s">
        <v>232</v>
      </c>
      <c r="L348" s="15" t="s">
        <v>217</v>
      </c>
      <c r="M348" s="15" t="s">
        <v>220</v>
      </c>
      <c r="N348" s="15" t="s">
        <v>219</v>
      </c>
      <c r="O348" s="15" t="s">
        <v>219</v>
      </c>
      <c r="P348" s="15" t="s">
        <v>220</v>
      </c>
      <c r="Q348" s="15" t="s">
        <v>220</v>
      </c>
      <c r="R348" s="15" t="s">
        <v>219</v>
      </c>
      <c r="S348" s="15" t="s">
        <v>219</v>
      </c>
      <c r="T348" s="15" t="s">
        <v>219</v>
      </c>
      <c r="U348" s="15" t="s">
        <v>219</v>
      </c>
      <c r="V348" s="15" t="s">
        <v>219</v>
      </c>
      <c r="W348" s="15">
        <v>25</v>
      </c>
      <c r="X348" s="15" t="str">
        <f>_xlfn.XLOOKUP(tblMeasure[[#This Row],[id_src]],tblSource[id_src],tblSource[org])</f>
        <v>Ministry of Housing, Communities &amp; Local Government</v>
      </c>
      <c r="Y348" s="15" t="str">
        <f>_xlfn.XLOOKUP(tblMeasure[[#This Row],[id_src]],tblSource[id_src],tblSource[source])</f>
        <v>LA revenue expenditure and financing</v>
      </c>
      <c r="Z348" s="15" t="str">
        <f>_xlfn.XLOOKUP(tblMeasure[[#This Row],[id_src]],tblSource[id_src],tblSource[url_source])</f>
        <v>https://www.gov.uk/government/collections/local-authority-revenue-expenditure-and-financing</v>
      </c>
      <c r="AA348" s="15">
        <f>_xlfn.XLOOKUP(tblMeasure[[#This Row],[id_src]],tblSource[id_src],tblSource[year_first_published])</f>
        <v>2008</v>
      </c>
      <c r="AB348" s="15">
        <f>_xlfn.XLOOKUP(tblMeasure[[#This Row],[id_src]],tblSource[id_src],tblSource[year_last_published])</f>
        <v>2019</v>
      </c>
      <c r="AC348" s="15">
        <f>_xlfn.XLOOKUP(tblMeasure[[#This Row],[id_src]],tblSource[id_src],tblSource[discontinuity])</f>
        <v>0</v>
      </c>
      <c r="AD348" s="15" t="str">
        <f>_xlfn.XLOOKUP(tblMeasure[[#This Row],[id_src]],tblSource[id_src],tblSource[publication_frequency])</f>
        <v>Annual</v>
      </c>
      <c r="AE348" s="15" t="str">
        <f>_xlfn.XLOOKUP(tblMeasure[[#This Row],[id_src]],tblSource[id_src],tblSource[publication_lag_months])</f>
        <v>TBD</v>
      </c>
      <c r="AF348" s="25" t="str">
        <f>_xlfn.XLOOKUP(tblMeasure[[#This Row],[id_src]],tblSource[id_src],tblSource[data_providers])</f>
        <v>Ministry of Housing, Communities &amp; Local Government</v>
      </c>
      <c r="AG348" s="25" t="str">
        <f>_xlfn.XLOOKUP(tblMeasure[[#This Row],[id_src]],tblSource[id_src],tblSource[statistic_class])</f>
        <v>National</v>
      </c>
      <c r="AH348" s="25" t="str">
        <f>_xlfn.XLOOKUP(tblMeasure[[#This Row],[id_src]],tblSource[id_src],tblSource[methodology_link])</f>
        <v>https://assets.publishing.service.gov.uk/government/uploads/system/uploads/attachment_data/file/812505/Local_Authority_Revenue_Expenditure_and_Financing_2019-20_Budget__England.pdf</v>
      </c>
      <c r="AI348" s="25" t="str">
        <f>_xlfn.XLOOKUP(tblMeasure[[#This Row],[id_src]],tblSource[id_src],tblSource[quality_issues])</f>
        <v>https://assets.publishing.service.gov.uk/government/uploads/system/uploads/attachment_data/file/812505/Local_Authority_Revenue_Expenditure_and_Financing_2019-20_Budget__England.pdf</v>
      </c>
      <c r="AJ348" s="25">
        <f>VLOOKUP(tblMeasure[[#This Row],[msr_population_or_survey]],strlu_msr_population_or_survey,2,FALSE)</f>
        <v>1</v>
      </c>
      <c r="AK348" s="25">
        <f>VLOOKUP(tblMeasure[[#This Row],[msr_min_geo_resolution]],strlu_msr_min_geo_resolution,2,FALSE)</f>
        <v>1</v>
      </c>
      <c r="AL348" s="25">
        <f>(MAX(tblMeasure[[#This Row],[src_year_last_published]]-2010+1,0)+MIN(2010-tblMeasure[[#This Row],[src_year_first_published]],0)-MAX(tblMeasure[[#This Row],[src_year_last_published]]-2019,0))/10</f>
        <v>1</v>
      </c>
      <c r="AM348" s="25">
        <f>IF(OR(tblMeasure[[#This Row],[src_discontinuity]]="None",tblMeasure[[#This Row],[src_discontinuity]]=0),1,0)</f>
        <v>1</v>
      </c>
      <c r="AN348" s="25">
        <f>VLOOKUP(tblMeasure[[#This Row],[src_pub_frequency]],strlu_src_pub_frequency,2,FALSE)</f>
        <v>0.8</v>
      </c>
      <c r="AO348" s="25">
        <f>VLOOKUP(tblMeasure[[#This Row],[src_pub_lag_months]],strlu_src_pub_lag_months,2,FALSE)</f>
        <v>0</v>
      </c>
      <c r="AP348" s="25">
        <f>VLOOKUP(tblMeasure[[#This Row],[src_statistic_class]],strlu_src_statistic_class,2,FALSE)</f>
        <v>1</v>
      </c>
      <c r="AQ348" s="25">
        <f>IF(tblMeasure[[#This Row],[src_methodology_url]]="TBD",0,1)</f>
        <v>1</v>
      </c>
      <c r="AR348" s="25">
        <f>IF(tblMeasure[[#This Row],[src_quality_url]]="TBD",0,1)</f>
        <v>1</v>
      </c>
      <c r="AS348" s="85" cm="1">
        <f t="array" ref="AS348">SUMPRODUCT(TRANSPOSE(tblMeasure[[#This Row],[str_msr_population_or_survey]:[str_src_quality_url]]),str_weights)/str_weights_total</f>
        <v>0.89230769230769225</v>
      </c>
    </row>
    <row r="349" spans="1:45" hidden="1" x14ac:dyDescent="0.15">
      <c r="A349" s="30">
        <v>333</v>
      </c>
      <c r="B349" s="15">
        <f>COUNTIF(requirement_measure_map!$D$3:$D$1514,measure!A349)</f>
        <v>4</v>
      </c>
      <c r="C349" s="30" t="s">
        <v>857</v>
      </c>
      <c r="D349" s="15" t="s">
        <v>1187</v>
      </c>
      <c r="E349" s="15">
        <v>337</v>
      </c>
      <c r="F349" s="15" t="s">
        <v>1194</v>
      </c>
      <c r="G349" s="29" t="s">
        <v>1189</v>
      </c>
      <c r="H349" s="15"/>
      <c r="I349" s="15" t="s">
        <v>214</v>
      </c>
      <c r="J349" s="15" t="s">
        <v>215</v>
      </c>
      <c r="K349" s="15" t="s">
        <v>232</v>
      </c>
      <c r="L349" s="15" t="s">
        <v>217</v>
      </c>
      <c r="M349" s="15" t="s">
        <v>220</v>
      </c>
      <c r="N349" s="15" t="s">
        <v>219</v>
      </c>
      <c r="O349" s="15" t="s">
        <v>219</v>
      </c>
      <c r="P349" s="15" t="s">
        <v>220</v>
      </c>
      <c r="Q349" s="15" t="s">
        <v>220</v>
      </c>
      <c r="R349" s="15" t="s">
        <v>219</v>
      </c>
      <c r="S349" s="15" t="s">
        <v>219</v>
      </c>
      <c r="T349" s="15" t="s">
        <v>219</v>
      </c>
      <c r="U349" s="15" t="s">
        <v>219</v>
      </c>
      <c r="V349" s="15" t="s">
        <v>219</v>
      </c>
      <c r="W349" s="15">
        <v>25</v>
      </c>
      <c r="X349" s="15" t="str">
        <f>_xlfn.XLOOKUP(tblMeasure[[#This Row],[id_src]],tblSource[id_src],tblSource[org])</f>
        <v>Ministry of Housing, Communities &amp; Local Government</v>
      </c>
      <c r="Y349" s="15" t="str">
        <f>_xlfn.XLOOKUP(tblMeasure[[#This Row],[id_src]],tblSource[id_src],tblSource[source])</f>
        <v>LA revenue expenditure and financing</v>
      </c>
      <c r="Z349" s="15" t="str">
        <f>_xlfn.XLOOKUP(tblMeasure[[#This Row],[id_src]],tblSource[id_src],tblSource[url_source])</f>
        <v>https://www.gov.uk/government/collections/local-authority-revenue-expenditure-and-financing</v>
      </c>
      <c r="AA349" s="15">
        <f>_xlfn.XLOOKUP(tblMeasure[[#This Row],[id_src]],tblSource[id_src],tblSource[year_first_published])</f>
        <v>2008</v>
      </c>
      <c r="AB349" s="15">
        <f>_xlfn.XLOOKUP(tblMeasure[[#This Row],[id_src]],tblSource[id_src],tblSource[year_last_published])</f>
        <v>2019</v>
      </c>
      <c r="AC349" s="15">
        <f>_xlfn.XLOOKUP(tblMeasure[[#This Row],[id_src]],tblSource[id_src],tblSource[discontinuity])</f>
        <v>0</v>
      </c>
      <c r="AD349" s="15" t="str">
        <f>_xlfn.XLOOKUP(tblMeasure[[#This Row],[id_src]],tblSource[id_src],tblSource[publication_frequency])</f>
        <v>Annual</v>
      </c>
      <c r="AE349" s="15" t="str">
        <f>_xlfn.XLOOKUP(tblMeasure[[#This Row],[id_src]],tblSource[id_src],tblSource[publication_lag_months])</f>
        <v>TBD</v>
      </c>
      <c r="AF349" s="25" t="str">
        <f>_xlfn.XLOOKUP(tblMeasure[[#This Row],[id_src]],tblSource[id_src],tblSource[data_providers])</f>
        <v>Ministry of Housing, Communities &amp; Local Government</v>
      </c>
      <c r="AG349" s="25" t="str">
        <f>_xlfn.XLOOKUP(tblMeasure[[#This Row],[id_src]],tblSource[id_src],tblSource[statistic_class])</f>
        <v>National</v>
      </c>
      <c r="AH349" s="25" t="str">
        <f>_xlfn.XLOOKUP(tblMeasure[[#This Row],[id_src]],tblSource[id_src],tblSource[methodology_link])</f>
        <v>https://assets.publishing.service.gov.uk/government/uploads/system/uploads/attachment_data/file/812505/Local_Authority_Revenue_Expenditure_and_Financing_2019-20_Budget__England.pdf</v>
      </c>
      <c r="AI349" s="25" t="str">
        <f>_xlfn.XLOOKUP(tblMeasure[[#This Row],[id_src]],tblSource[id_src],tblSource[quality_issues])</f>
        <v>https://assets.publishing.service.gov.uk/government/uploads/system/uploads/attachment_data/file/812505/Local_Authority_Revenue_Expenditure_and_Financing_2019-20_Budget__England.pdf</v>
      </c>
      <c r="AJ349" s="25">
        <f>VLOOKUP(tblMeasure[[#This Row],[msr_population_or_survey]],strlu_msr_population_or_survey,2,FALSE)</f>
        <v>1</v>
      </c>
      <c r="AK349" s="25">
        <f>VLOOKUP(tblMeasure[[#This Row],[msr_min_geo_resolution]],strlu_msr_min_geo_resolution,2,FALSE)</f>
        <v>1</v>
      </c>
      <c r="AL349" s="25">
        <f>(MAX(tblMeasure[[#This Row],[src_year_last_published]]-2010+1,0)+MIN(2010-tblMeasure[[#This Row],[src_year_first_published]],0)-MAX(tblMeasure[[#This Row],[src_year_last_published]]-2019,0))/10</f>
        <v>1</v>
      </c>
      <c r="AM349" s="25">
        <f>IF(OR(tblMeasure[[#This Row],[src_discontinuity]]="None",tblMeasure[[#This Row],[src_discontinuity]]=0),1,0)</f>
        <v>1</v>
      </c>
      <c r="AN349" s="25">
        <f>VLOOKUP(tblMeasure[[#This Row],[src_pub_frequency]],strlu_src_pub_frequency,2,FALSE)</f>
        <v>0.8</v>
      </c>
      <c r="AO349" s="25">
        <f>VLOOKUP(tblMeasure[[#This Row],[src_pub_lag_months]],strlu_src_pub_lag_months,2,FALSE)</f>
        <v>0</v>
      </c>
      <c r="AP349" s="25">
        <f>VLOOKUP(tblMeasure[[#This Row],[src_statistic_class]],strlu_src_statistic_class,2,FALSE)</f>
        <v>1</v>
      </c>
      <c r="AQ349" s="25">
        <f>IF(tblMeasure[[#This Row],[src_methodology_url]]="TBD",0,1)</f>
        <v>1</v>
      </c>
      <c r="AR349" s="25">
        <f>IF(tblMeasure[[#This Row],[src_quality_url]]="TBD",0,1)</f>
        <v>1</v>
      </c>
      <c r="AS349" s="85" cm="1">
        <f t="array" ref="AS349">SUMPRODUCT(TRANSPOSE(tblMeasure[[#This Row],[str_msr_population_or_survey]:[str_src_quality_url]]),str_weights)/str_weights_total</f>
        <v>0.89230769230769225</v>
      </c>
    </row>
    <row r="350" spans="1:45" hidden="1" x14ac:dyDescent="0.15">
      <c r="A350" s="30">
        <v>334</v>
      </c>
      <c r="B350" s="15">
        <f>COUNTIF(requirement_measure_map!$D$3:$D$1514,measure!A350)</f>
        <v>4</v>
      </c>
      <c r="C350" s="30" t="s">
        <v>857</v>
      </c>
      <c r="D350" s="15" t="s">
        <v>1187</v>
      </c>
      <c r="E350" s="15">
        <v>340</v>
      </c>
      <c r="F350" s="15" t="s">
        <v>1195</v>
      </c>
      <c r="G350" s="29" t="s">
        <v>1189</v>
      </c>
      <c r="H350" s="15"/>
      <c r="I350" s="15" t="s">
        <v>214</v>
      </c>
      <c r="J350" s="15" t="s">
        <v>215</v>
      </c>
      <c r="K350" s="15" t="s">
        <v>232</v>
      </c>
      <c r="L350" s="15" t="s">
        <v>217</v>
      </c>
      <c r="M350" s="15" t="s">
        <v>220</v>
      </c>
      <c r="N350" s="15" t="s">
        <v>219</v>
      </c>
      <c r="O350" s="15" t="s">
        <v>219</v>
      </c>
      <c r="P350" s="15" t="s">
        <v>220</v>
      </c>
      <c r="Q350" s="15" t="s">
        <v>220</v>
      </c>
      <c r="R350" s="15" t="s">
        <v>219</v>
      </c>
      <c r="S350" s="15" t="s">
        <v>219</v>
      </c>
      <c r="T350" s="15" t="s">
        <v>219</v>
      </c>
      <c r="U350" s="15" t="s">
        <v>219</v>
      </c>
      <c r="V350" s="15" t="s">
        <v>219</v>
      </c>
      <c r="W350" s="15">
        <v>25</v>
      </c>
      <c r="X350" s="15" t="str">
        <f>_xlfn.XLOOKUP(tblMeasure[[#This Row],[id_src]],tblSource[id_src],tblSource[org])</f>
        <v>Ministry of Housing, Communities &amp; Local Government</v>
      </c>
      <c r="Y350" s="15" t="str">
        <f>_xlfn.XLOOKUP(tblMeasure[[#This Row],[id_src]],tblSource[id_src],tblSource[source])</f>
        <v>LA revenue expenditure and financing</v>
      </c>
      <c r="Z350" s="15" t="str">
        <f>_xlfn.XLOOKUP(tblMeasure[[#This Row],[id_src]],tblSource[id_src],tblSource[url_source])</f>
        <v>https://www.gov.uk/government/collections/local-authority-revenue-expenditure-and-financing</v>
      </c>
      <c r="AA350" s="15">
        <f>_xlfn.XLOOKUP(tblMeasure[[#This Row],[id_src]],tblSource[id_src],tblSource[year_first_published])</f>
        <v>2008</v>
      </c>
      <c r="AB350" s="15">
        <f>_xlfn.XLOOKUP(tblMeasure[[#This Row],[id_src]],tblSource[id_src],tblSource[year_last_published])</f>
        <v>2019</v>
      </c>
      <c r="AC350" s="15">
        <f>_xlfn.XLOOKUP(tblMeasure[[#This Row],[id_src]],tblSource[id_src],tblSource[discontinuity])</f>
        <v>0</v>
      </c>
      <c r="AD350" s="15" t="str">
        <f>_xlfn.XLOOKUP(tblMeasure[[#This Row],[id_src]],tblSource[id_src],tblSource[publication_frequency])</f>
        <v>Annual</v>
      </c>
      <c r="AE350" s="15" t="str">
        <f>_xlfn.XLOOKUP(tblMeasure[[#This Row],[id_src]],tblSource[id_src],tblSource[publication_lag_months])</f>
        <v>TBD</v>
      </c>
      <c r="AF350" s="25" t="str">
        <f>_xlfn.XLOOKUP(tblMeasure[[#This Row],[id_src]],tblSource[id_src],tblSource[data_providers])</f>
        <v>Ministry of Housing, Communities &amp; Local Government</v>
      </c>
      <c r="AG350" s="25" t="str">
        <f>_xlfn.XLOOKUP(tblMeasure[[#This Row],[id_src]],tblSource[id_src],tblSource[statistic_class])</f>
        <v>National</v>
      </c>
      <c r="AH350" s="25" t="str">
        <f>_xlfn.XLOOKUP(tblMeasure[[#This Row],[id_src]],tblSource[id_src],tblSource[methodology_link])</f>
        <v>https://assets.publishing.service.gov.uk/government/uploads/system/uploads/attachment_data/file/812505/Local_Authority_Revenue_Expenditure_and_Financing_2019-20_Budget__England.pdf</v>
      </c>
      <c r="AI350" s="25" t="str">
        <f>_xlfn.XLOOKUP(tblMeasure[[#This Row],[id_src]],tblSource[id_src],tblSource[quality_issues])</f>
        <v>https://assets.publishing.service.gov.uk/government/uploads/system/uploads/attachment_data/file/812505/Local_Authority_Revenue_Expenditure_and_Financing_2019-20_Budget__England.pdf</v>
      </c>
      <c r="AJ350" s="25">
        <f>VLOOKUP(tblMeasure[[#This Row],[msr_population_or_survey]],strlu_msr_population_or_survey,2,FALSE)</f>
        <v>1</v>
      </c>
      <c r="AK350" s="25">
        <f>VLOOKUP(tblMeasure[[#This Row],[msr_min_geo_resolution]],strlu_msr_min_geo_resolution,2,FALSE)</f>
        <v>1</v>
      </c>
      <c r="AL350" s="25">
        <f>(MAX(tblMeasure[[#This Row],[src_year_last_published]]-2010+1,0)+MIN(2010-tblMeasure[[#This Row],[src_year_first_published]],0)-MAX(tblMeasure[[#This Row],[src_year_last_published]]-2019,0))/10</f>
        <v>1</v>
      </c>
      <c r="AM350" s="25">
        <f>IF(OR(tblMeasure[[#This Row],[src_discontinuity]]="None",tblMeasure[[#This Row],[src_discontinuity]]=0),1,0)</f>
        <v>1</v>
      </c>
      <c r="AN350" s="25">
        <f>VLOOKUP(tblMeasure[[#This Row],[src_pub_frequency]],strlu_src_pub_frequency,2,FALSE)</f>
        <v>0.8</v>
      </c>
      <c r="AO350" s="25">
        <f>VLOOKUP(tblMeasure[[#This Row],[src_pub_lag_months]],strlu_src_pub_lag_months,2,FALSE)</f>
        <v>0</v>
      </c>
      <c r="AP350" s="25">
        <f>VLOOKUP(tblMeasure[[#This Row],[src_statistic_class]],strlu_src_statistic_class,2,FALSE)</f>
        <v>1</v>
      </c>
      <c r="AQ350" s="25">
        <f>IF(tblMeasure[[#This Row],[src_methodology_url]]="TBD",0,1)</f>
        <v>1</v>
      </c>
      <c r="AR350" s="25">
        <f>IF(tblMeasure[[#This Row],[src_quality_url]]="TBD",0,1)</f>
        <v>1</v>
      </c>
      <c r="AS350" s="85" cm="1">
        <f t="array" ref="AS350">SUMPRODUCT(TRANSPOSE(tblMeasure[[#This Row],[str_msr_population_or_survey]:[str_src_quality_url]]),str_weights)/str_weights_total</f>
        <v>0.89230769230769225</v>
      </c>
    </row>
    <row r="351" spans="1:45" hidden="1" x14ac:dyDescent="0.15">
      <c r="A351" s="30">
        <v>335</v>
      </c>
      <c r="B351" s="15">
        <f>COUNTIF(requirement_measure_map!$D$3:$D$1514,measure!A351)</f>
        <v>4</v>
      </c>
      <c r="C351" s="30" t="s">
        <v>857</v>
      </c>
      <c r="D351" s="15" t="s">
        <v>1187</v>
      </c>
      <c r="E351" s="15">
        <v>341</v>
      </c>
      <c r="F351" s="15" t="s">
        <v>1196</v>
      </c>
      <c r="G351" s="29" t="s">
        <v>1189</v>
      </c>
      <c r="H351" s="15"/>
      <c r="I351" s="15" t="s">
        <v>214</v>
      </c>
      <c r="J351" s="15" t="s">
        <v>215</v>
      </c>
      <c r="K351" s="15" t="s">
        <v>232</v>
      </c>
      <c r="L351" s="15" t="s">
        <v>217</v>
      </c>
      <c r="M351" s="15" t="s">
        <v>220</v>
      </c>
      <c r="N351" s="15" t="s">
        <v>219</v>
      </c>
      <c r="O351" s="15" t="s">
        <v>219</v>
      </c>
      <c r="P351" s="15" t="s">
        <v>220</v>
      </c>
      <c r="Q351" s="15" t="s">
        <v>220</v>
      </c>
      <c r="R351" s="15" t="s">
        <v>219</v>
      </c>
      <c r="S351" s="15" t="s">
        <v>219</v>
      </c>
      <c r="T351" s="15" t="s">
        <v>219</v>
      </c>
      <c r="U351" s="15" t="s">
        <v>219</v>
      </c>
      <c r="V351" s="15" t="s">
        <v>219</v>
      </c>
      <c r="W351" s="15">
        <v>25</v>
      </c>
      <c r="X351" s="15" t="str">
        <f>_xlfn.XLOOKUP(tblMeasure[[#This Row],[id_src]],tblSource[id_src],tblSource[org])</f>
        <v>Ministry of Housing, Communities &amp; Local Government</v>
      </c>
      <c r="Y351" s="15" t="str">
        <f>_xlfn.XLOOKUP(tblMeasure[[#This Row],[id_src]],tblSource[id_src],tblSource[source])</f>
        <v>LA revenue expenditure and financing</v>
      </c>
      <c r="Z351" s="15" t="str">
        <f>_xlfn.XLOOKUP(tblMeasure[[#This Row],[id_src]],tblSource[id_src],tblSource[url_source])</f>
        <v>https://www.gov.uk/government/collections/local-authority-revenue-expenditure-and-financing</v>
      </c>
      <c r="AA351" s="15">
        <f>_xlfn.XLOOKUP(tblMeasure[[#This Row],[id_src]],tblSource[id_src],tblSource[year_first_published])</f>
        <v>2008</v>
      </c>
      <c r="AB351" s="15">
        <f>_xlfn.XLOOKUP(tblMeasure[[#This Row],[id_src]],tblSource[id_src],tblSource[year_last_published])</f>
        <v>2019</v>
      </c>
      <c r="AC351" s="15">
        <f>_xlfn.XLOOKUP(tblMeasure[[#This Row],[id_src]],tblSource[id_src],tblSource[discontinuity])</f>
        <v>0</v>
      </c>
      <c r="AD351" s="15" t="str">
        <f>_xlfn.XLOOKUP(tblMeasure[[#This Row],[id_src]],tblSource[id_src],tblSource[publication_frequency])</f>
        <v>Annual</v>
      </c>
      <c r="AE351" s="15" t="str">
        <f>_xlfn.XLOOKUP(tblMeasure[[#This Row],[id_src]],tblSource[id_src],tblSource[publication_lag_months])</f>
        <v>TBD</v>
      </c>
      <c r="AF351" s="25" t="str">
        <f>_xlfn.XLOOKUP(tblMeasure[[#This Row],[id_src]],tblSource[id_src],tblSource[data_providers])</f>
        <v>Ministry of Housing, Communities &amp; Local Government</v>
      </c>
      <c r="AG351" s="25" t="str">
        <f>_xlfn.XLOOKUP(tblMeasure[[#This Row],[id_src]],tblSource[id_src],tblSource[statistic_class])</f>
        <v>National</v>
      </c>
      <c r="AH351" s="25" t="str">
        <f>_xlfn.XLOOKUP(tblMeasure[[#This Row],[id_src]],tblSource[id_src],tblSource[methodology_link])</f>
        <v>https://assets.publishing.service.gov.uk/government/uploads/system/uploads/attachment_data/file/812505/Local_Authority_Revenue_Expenditure_and_Financing_2019-20_Budget__England.pdf</v>
      </c>
      <c r="AI351" s="25" t="str">
        <f>_xlfn.XLOOKUP(tblMeasure[[#This Row],[id_src]],tblSource[id_src],tblSource[quality_issues])</f>
        <v>https://assets.publishing.service.gov.uk/government/uploads/system/uploads/attachment_data/file/812505/Local_Authority_Revenue_Expenditure_and_Financing_2019-20_Budget__England.pdf</v>
      </c>
      <c r="AJ351" s="25">
        <f>VLOOKUP(tblMeasure[[#This Row],[msr_population_or_survey]],strlu_msr_population_or_survey,2,FALSE)</f>
        <v>1</v>
      </c>
      <c r="AK351" s="25">
        <f>VLOOKUP(tblMeasure[[#This Row],[msr_min_geo_resolution]],strlu_msr_min_geo_resolution,2,FALSE)</f>
        <v>1</v>
      </c>
      <c r="AL351" s="25">
        <f>(MAX(tblMeasure[[#This Row],[src_year_last_published]]-2010+1,0)+MIN(2010-tblMeasure[[#This Row],[src_year_first_published]],0)-MAX(tblMeasure[[#This Row],[src_year_last_published]]-2019,0))/10</f>
        <v>1</v>
      </c>
      <c r="AM351" s="25">
        <f>IF(OR(tblMeasure[[#This Row],[src_discontinuity]]="None",tblMeasure[[#This Row],[src_discontinuity]]=0),1,0)</f>
        <v>1</v>
      </c>
      <c r="AN351" s="25">
        <f>VLOOKUP(tblMeasure[[#This Row],[src_pub_frequency]],strlu_src_pub_frequency,2,FALSE)</f>
        <v>0.8</v>
      </c>
      <c r="AO351" s="25">
        <f>VLOOKUP(tblMeasure[[#This Row],[src_pub_lag_months]],strlu_src_pub_lag_months,2,FALSE)</f>
        <v>0</v>
      </c>
      <c r="AP351" s="25">
        <f>VLOOKUP(tblMeasure[[#This Row],[src_statistic_class]],strlu_src_statistic_class,2,FALSE)</f>
        <v>1</v>
      </c>
      <c r="AQ351" s="25">
        <f>IF(tblMeasure[[#This Row],[src_methodology_url]]="TBD",0,1)</f>
        <v>1</v>
      </c>
      <c r="AR351" s="25">
        <f>IF(tblMeasure[[#This Row],[src_quality_url]]="TBD",0,1)</f>
        <v>1</v>
      </c>
      <c r="AS351" s="85" cm="1">
        <f t="array" ref="AS351">SUMPRODUCT(TRANSPOSE(tblMeasure[[#This Row],[str_msr_population_or_survey]:[str_src_quality_url]]),str_weights)/str_weights_total</f>
        <v>0.89230769230769225</v>
      </c>
    </row>
    <row r="352" spans="1:45" hidden="1" x14ac:dyDescent="0.15">
      <c r="A352" s="30">
        <v>336</v>
      </c>
      <c r="B352" s="15">
        <f>COUNTIF(requirement_measure_map!$D$3:$D$1514,measure!A352)</f>
        <v>4</v>
      </c>
      <c r="C352" s="30" t="s">
        <v>857</v>
      </c>
      <c r="D352" s="15" t="s">
        <v>1187</v>
      </c>
      <c r="E352" s="15">
        <v>344</v>
      </c>
      <c r="F352" s="15" t="s">
        <v>1197</v>
      </c>
      <c r="G352" s="29" t="s">
        <v>1189</v>
      </c>
      <c r="H352" s="15"/>
      <c r="I352" s="15" t="s">
        <v>214</v>
      </c>
      <c r="J352" s="15" t="s">
        <v>215</v>
      </c>
      <c r="K352" s="15" t="s">
        <v>232</v>
      </c>
      <c r="L352" s="15" t="s">
        <v>217</v>
      </c>
      <c r="M352" s="15" t="s">
        <v>220</v>
      </c>
      <c r="N352" s="15" t="s">
        <v>219</v>
      </c>
      <c r="O352" s="15" t="s">
        <v>219</v>
      </c>
      <c r="P352" s="15" t="s">
        <v>220</v>
      </c>
      <c r="Q352" s="15" t="s">
        <v>220</v>
      </c>
      <c r="R352" s="15" t="s">
        <v>219</v>
      </c>
      <c r="S352" s="15" t="s">
        <v>219</v>
      </c>
      <c r="T352" s="15" t="s">
        <v>219</v>
      </c>
      <c r="U352" s="15" t="s">
        <v>219</v>
      </c>
      <c r="V352" s="15" t="s">
        <v>219</v>
      </c>
      <c r="W352" s="15">
        <v>25</v>
      </c>
      <c r="X352" s="15" t="str">
        <f>_xlfn.XLOOKUP(tblMeasure[[#This Row],[id_src]],tblSource[id_src],tblSource[org])</f>
        <v>Ministry of Housing, Communities &amp; Local Government</v>
      </c>
      <c r="Y352" s="15" t="str">
        <f>_xlfn.XLOOKUP(tblMeasure[[#This Row],[id_src]],tblSource[id_src],tblSource[source])</f>
        <v>LA revenue expenditure and financing</v>
      </c>
      <c r="Z352" s="15" t="str">
        <f>_xlfn.XLOOKUP(tblMeasure[[#This Row],[id_src]],tblSource[id_src],tblSource[url_source])</f>
        <v>https://www.gov.uk/government/collections/local-authority-revenue-expenditure-and-financing</v>
      </c>
      <c r="AA352" s="15">
        <f>_xlfn.XLOOKUP(tblMeasure[[#This Row],[id_src]],tblSource[id_src],tblSource[year_first_published])</f>
        <v>2008</v>
      </c>
      <c r="AB352" s="15">
        <f>_xlfn.XLOOKUP(tblMeasure[[#This Row],[id_src]],tblSource[id_src],tblSource[year_last_published])</f>
        <v>2019</v>
      </c>
      <c r="AC352" s="15">
        <f>_xlfn.XLOOKUP(tblMeasure[[#This Row],[id_src]],tblSource[id_src],tblSource[discontinuity])</f>
        <v>0</v>
      </c>
      <c r="AD352" s="15" t="str">
        <f>_xlfn.XLOOKUP(tblMeasure[[#This Row],[id_src]],tblSource[id_src],tblSource[publication_frequency])</f>
        <v>Annual</v>
      </c>
      <c r="AE352" s="15" t="str">
        <f>_xlfn.XLOOKUP(tblMeasure[[#This Row],[id_src]],tblSource[id_src],tblSource[publication_lag_months])</f>
        <v>TBD</v>
      </c>
      <c r="AF352" s="25" t="str">
        <f>_xlfn.XLOOKUP(tblMeasure[[#This Row],[id_src]],tblSource[id_src],tblSource[data_providers])</f>
        <v>Ministry of Housing, Communities &amp; Local Government</v>
      </c>
      <c r="AG352" s="25" t="str">
        <f>_xlfn.XLOOKUP(tblMeasure[[#This Row],[id_src]],tblSource[id_src],tblSource[statistic_class])</f>
        <v>National</v>
      </c>
      <c r="AH352" s="25" t="str">
        <f>_xlfn.XLOOKUP(tblMeasure[[#This Row],[id_src]],tblSource[id_src],tblSource[methodology_link])</f>
        <v>https://assets.publishing.service.gov.uk/government/uploads/system/uploads/attachment_data/file/812505/Local_Authority_Revenue_Expenditure_and_Financing_2019-20_Budget__England.pdf</v>
      </c>
      <c r="AI352" s="25" t="str">
        <f>_xlfn.XLOOKUP(tblMeasure[[#This Row],[id_src]],tblSource[id_src],tblSource[quality_issues])</f>
        <v>https://assets.publishing.service.gov.uk/government/uploads/system/uploads/attachment_data/file/812505/Local_Authority_Revenue_Expenditure_and_Financing_2019-20_Budget__England.pdf</v>
      </c>
      <c r="AJ352" s="25">
        <f>VLOOKUP(tblMeasure[[#This Row],[msr_population_or_survey]],strlu_msr_population_or_survey,2,FALSE)</f>
        <v>1</v>
      </c>
      <c r="AK352" s="25">
        <f>VLOOKUP(tblMeasure[[#This Row],[msr_min_geo_resolution]],strlu_msr_min_geo_resolution,2,FALSE)</f>
        <v>1</v>
      </c>
      <c r="AL352" s="25">
        <f>(MAX(tblMeasure[[#This Row],[src_year_last_published]]-2010+1,0)+MIN(2010-tblMeasure[[#This Row],[src_year_first_published]],0)-MAX(tblMeasure[[#This Row],[src_year_last_published]]-2019,0))/10</f>
        <v>1</v>
      </c>
      <c r="AM352" s="25">
        <f>IF(OR(tblMeasure[[#This Row],[src_discontinuity]]="None",tblMeasure[[#This Row],[src_discontinuity]]=0),1,0)</f>
        <v>1</v>
      </c>
      <c r="AN352" s="25">
        <f>VLOOKUP(tblMeasure[[#This Row],[src_pub_frequency]],strlu_src_pub_frequency,2,FALSE)</f>
        <v>0.8</v>
      </c>
      <c r="AO352" s="25">
        <f>VLOOKUP(tblMeasure[[#This Row],[src_pub_lag_months]],strlu_src_pub_lag_months,2,FALSE)</f>
        <v>0</v>
      </c>
      <c r="AP352" s="25">
        <f>VLOOKUP(tblMeasure[[#This Row],[src_statistic_class]],strlu_src_statistic_class,2,FALSE)</f>
        <v>1</v>
      </c>
      <c r="AQ352" s="25">
        <f>IF(tblMeasure[[#This Row],[src_methodology_url]]="TBD",0,1)</f>
        <v>1</v>
      </c>
      <c r="AR352" s="25">
        <f>IF(tblMeasure[[#This Row],[src_quality_url]]="TBD",0,1)</f>
        <v>1</v>
      </c>
      <c r="AS352" s="85" cm="1">
        <f t="array" ref="AS352">SUMPRODUCT(TRANSPOSE(tblMeasure[[#This Row],[str_msr_population_or_survey]:[str_src_quality_url]]),str_weights)/str_weights_total</f>
        <v>0.89230769230769225</v>
      </c>
    </row>
    <row r="353" spans="1:45" hidden="1" x14ac:dyDescent="0.15">
      <c r="A353" s="30">
        <v>337</v>
      </c>
      <c r="B353" s="15">
        <f>COUNTIF(requirement_measure_map!$D$3:$D$1514,measure!A353)</f>
        <v>4</v>
      </c>
      <c r="C353" s="30" t="s">
        <v>857</v>
      </c>
      <c r="D353" s="15" t="s">
        <v>1187</v>
      </c>
      <c r="E353" s="15">
        <v>345</v>
      </c>
      <c r="F353" s="15" t="s">
        <v>1198</v>
      </c>
      <c r="G353" s="29" t="s">
        <v>1189</v>
      </c>
      <c r="H353" s="15"/>
      <c r="I353" s="15" t="s">
        <v>214</v>
      </c>
      <c r="J353" s="15" t="s">
        <v>215</v>
      </c>
      <c r="K353" s="15" t="s">
        <v>232</v>
      </c>
      <c r="L353" s="15" t="s">
        <v>217</v>
      </c>
      <c r="M353" s="15" t="s">
        <v>220</v>
      </c>
      <c r="N353" s="15" t="s">
        <v>219</v>
      </c>
      <c r="O353" s="15" t="s">
        <v>219</v>
      </c>
      <c r="P353" s="15" t="s">
        <v>220</v>
      </c>
      <c r="Q353" s="15" t="s">
        <v>220</v>
      </c>
      <c r="R353" s="15" t="s">
        <v>219</v>
      </c>
      <c r="S353" s="15" t="s">
        <v>219</v>
      </c>
      <c r="T353" s="15" t="s">
        <v>219</v>
      </c>
      <c r="U353" s="15" t="s">
        <v>219</v>
      </c>
      <c r="V353" s="15" t="s">
        <v>219</v>
      </c>
      <c r="W353" s="15">
        <v>25</v>
      </c>
      <c r="X353" s="15" t="str">
        <f>_xlfn.XLOOKUP(tblMeasure[[#This Row],[id_src]],tblSource[id_src],tblSource[org])</f>
        <v>Ministry of Housing, Communities &amp; Local Government</v>
      </c>
      <c r="Y353" s="15" t="str">
        <f>_xlfn.XLOOKUP(tblMeasure[[#This Row],[id_src]],tblSource[id_src],tblSource[source])</f>
        <v>LA revenue expenditure and financing</v>
      </c>
      <c r="Z353" s="15" t="str">
        <f>_xlfn.XLOOKUP(tblMeasure[[#This Row],[id_src]],tblSource[id_src],tblSource[url_source])</f>
        <v>https://www.gov.uk/government/collections/local-authority-revenue-expenditure-and-financing</v>
      </c>
      <c r="AA353" s="15">
        <f>_xlfn.XLOOKUP(tblMeasure[[#This Row],[id_src]],tblSource[id_src],tblSource[year_first_published])</f>
        <v>2008</v>
      </c>
      <c r="AB353" s="15">
        <f>_xlfn.XLOOKUP(tblMeasure[[#This Row],[id_src]],tblSource[id_src],tblSource[year_last_published])</f>
        <v>2019</v>
      </c>
      <c r="AC353" s="15">
        <f>_xlfn.XLOOKUP(tblMeasure[[#This Row],[id_src]],tblSource[id_src],tblSource[discontinuity])</f>
        <v>0</v>
      </c>
      <c r="AD353" s="15" t="str">
        <f>_xlfn.XLOOKUP(tblMeasure[[#This Row],[id_src]],tblSource[id_src],tblSource[publication_frequency])</f>
        <v>Annual</v>
      </c>
      <c r="AE353" s="15" t="str">
        <f>_xlfn.XLOOKUP(tblMeasure[[#This Row],[id_src]],tblSource[id_src],tblSource[publication_lag_months])</f>
        <v>TBD</v>
      </c>
      <c r="AF353" s="25" t="str">
        <f>_xlfn.XLOOKUP(tblMeasure[[#This Row],[id_src]],tblSource[id_src],tblSource[data_providers])</f>
        <v>Ministry of Housing, Communities &amp; Local Government</v>
      </c>
      <c r="AG353" s="25" t="str">
        <f>_xlfn.XLOOKUP(tblMeasure[[#This Row],[id_src]],tblSource[id_src],tblSource[statistic_class])</f>
        <v>National</v>
      </c>
      <c r="AH353" s="25" t="str">
        <f>_xlfn.XLOOKUP(tblMeasure[[#This Row],[id_src]],tblSource[id_src],tblSource[methodology_link])</f>
        <v>https://assets.publishing.service.gov.uk/government/uploads/system/uploads/attachment_data/file/812505/Local_Authority_Revenue_Expenditure_and_Financing_2019-20_Budget__England.pdf</v>
      </c>
      <c r="AI353" s="25" t="str">
        <f>_xlfn.XLOOKUP(tblMeasure[[#This Row],[id_src]],tblSource[id_src],tblSource[quality_issues])</f>
        <v>https://assets.publishing.service.gov.uk/government/uploads/system/uploads/attachment_data/file/812505/Local_Authority_Revenue_Expenditure_and_Financing_2019-20_Budget__England.pdf</v>
      </c>
      <c r="AJ353" s="25">
        <f>VLOOKUP(tblMeasure[[#This Row],[msr_population_or_survey]],strlu_msr_population_or_survey,2,FALSE)</f>
        <v>1</v>
      </c>
      <c r="AK353" s="25">
        <f>VLOOKUP(tblMeasure[[#This Row],[msr_min_geo_resolution]],strlu_msr_min_geo_resolution,2,FALSE)</f>
        <v>1</v>
      </c>
      <c r="AL353" s="25">
        <f>(MAX(tblMeasure[[#This Row],[src_year_last_published]]-2010+1,0)+MIN(2010-tblMeasure[[#This Row],[src_year_first_published]],0)-MAX(tblMeasure[[#This Row],[src_year_last_published]]-2019,0))/10</f>
        <v>1</v>
      </c>
      <c r="AM353" s="25">
        <f>IF(OR(tblMeasure[[#This Row],[src_discontinuity]]="None",tblMeasure[[#This Row],[src_discontinuity]]=0),1,0)</f>
        <v>1</v>
      </c>
      <c r="AN353" s="25">
        <f>VLOOKUP(tblMeasure[[#This Row],[src_pub_frequency]],strlu_src_pub_frequency,2,FALSE)</f>
        <v>0.8</v>
      </c>
      <c r="AO353" s="25">
        <f>VLOOKUP(tblMeasure[[#This Row],[src_pub_lag_months]],strlu_src_pub_lag_months,2,FALSE)</f>
        <v>0</v>
      </c>
      <c r="AP353" s="25">
        <f>VLOOKUP(tblMeasure[[#This Row],[src_statistic_class]],strlu_src_statistic_class,2,FALSE)</f>
        <v>1</v>
      </c>
      <c r="AQ353" s="25">
        <f>IF(tblMeasure[[#This Row],[src_methodology_url]]="TBD",0,1)</f>
        <v>1</v>
      </c>
      <c r="AR353" s="25">
        <f>IF(tblMeasure[[#This Row],[src_quality_url]]="TBD",0,1)</f>
        <v>1</v>
      </c>
      <c r="AS353" s="85" cm="1">
        <f t="array" ref="AS353">SUMPRODUCT(TRANSPOSE(tblMeasure[[#This Row],[str_msr_population_or_survey]:[str_src_quality_url]]),str_weights)/str_weights_total</f>
        <v>0.89230769230769225</v>
      </c>
    </row>
    <row r="354" spans="1:45" hidden="1" x14ac:dyDescent="0.15">
      <c r="A354" s="30">
        <v>338</v>
      </c>
      <c r="B354" s="15">
        <f>COUNTIF(requirement_measure_map!$D$3:$D$1514,measure!A354)</f>
        <v>3</v>
      </c>
      <c r="C354" s="30" t="s">
        <v>857</v>
      </c>
      <c r="D354" s="15" t="s">
        <v>1187</v>
      </c>
      <c r="E354" s="15">
        <v>348</v>
      </c>
      <c r="F354" s="15" t="s">
        <v>1199</v>
      </c>
      <c r="G354" s="29" t="s">
        <v>1189</v>
      </c>
      <c r="H354" s="15"/>
      <c r="I354" s="15" t="s">
        <v>214</v>
      </c>
      <c r="J354" s="15" t="s">
        <v>215</v>
      </c>
      <c r="K354" s="15" t="s">
        <v>232</v>
      </c>
      <c r="L354" s="15" t="s">
        <v>217</v>
      </c>
      <c r="M354" s="15" t="s">
        <v>219</v>
      </c>
      <c r="N354" s="15" t="s">
        <v>219</v>
      </c>
      <c r="O354" s="15" t="s">
        <v>219</v>
      </c>
      <c r="P354" s="15" t="s">
        <v>220</v>
      </c>
      <c r="Q354" s="15" t="s">
        <v>220</v>
      </c>
      <c r="R354" s="15" t="s">
        <v>219</v>
      </c>
      <c r="S354" s="15" t="s">
        <v>219</v>
      </c>
      <c r="T354" s="15" t="s">
        <v>219</v>
      </c>
      <c r="U354" s="15" t="s">
        <v>219</v>
      </c>
      <c r="V354" s="15" t="s">
        <v>219</v>
      </c>
      <c r="W354" s="15">
        <v>25</v>
      </c>
      <c r="X354" s="15" t="str">
        <f>_xlfn.XLOOKUP(tblMeasure[[#This Row],[id_src]],tblSource[id_src],tblSource[org])</f>
        <v>Ministry of Housing, Communities &amp; Local Government</v>
      </c>
      <c r="Y354" s="15" t="str">
        <f>_xlfn.XLOOKUP(tblMeasure[[#This Row],[id_src]],tblSource[id_src],tblSource[source])</f>
        <v>LA revenue expenditure and financing</v>
      </c>
      <c r="Z354" s="15" t="str">
        <f>_xlfn.XLOOKUP(tblMeasure[[#This Row],[id_src]],tblSource[id_src],tblSource[url_source])</f>
        <v>https://www.gov.uk/government/collections/local-authority-revenue-expenditure-and-financing</v>
      </c>
      <c r="AA354" s="15">
        <f>_xlfn.XLOOKUP(tblMeasure[[#This Row],[id_src]],tblSource[id_src],tblSource[year_first_published])</f>
        <v>2008</v>
      </c>
      <c r="AB354" s="15">
        <f>_xlfn.XLOOKUP(tblMeasure[[#This Row],[id_src]],tblSource[id_src],tblSource[year_last_published])</f>
        <v>2019</v>
      </c>
      <c r="AC354" s="15">
        <f>_xlfn.XLOOKUP(tblMeasure[[#This Row],[id_src]],tblSource[id_src],tblSource[discontinuity])</f>
        <v>0</v>
      </c>
      <c r="AD354" s="15" t="str">
        <f>_xlfn.XLOOKUP(tblMeasure[[#This Row],[id_src]],tblSource[id_src],tblSource[publication_frequency])</f>
        <v>Annual</v>
      </c>
      <c r="AE354" s="15" t="str">
        <f>_xlfn.XLOOKUP(tblMeasure[[#This Row],[id_src]],tblSource[id_src],tblSource[publication_lag_months])</f>
        <v>TBD</v>
      </c>
      <c r="AF354" s="25" t="str">
        <f>_xlfn.XLOOKUP(tblMeasure[[#This Row],[id_src]],tblSource[id_src],tblSource[data_providers])</f>
        <v>Ministry of Housing, Communities &amp; Local Government</v>
      </c>
      <c r="AG354" s="25" t="str">
        <f>_xlfn.XLOOKUP(tblMeasure[[#This Row],[id_src]],tblSource[id_src],tblSource[statistic_class])</f>
        <v>National</v>
      </c>
      <c r="AH354" s="25" t="str">
        <f>_xlfn.XLOOKUP(tblMeasure[[#This Row],[id_src]],tblSource[id_src],tblSource[methodology_link])</f>
        <v>https://assets.publishing.service.gov.uk/government/uploads/system/uploads/attachment_data/file/812505/Local_Authority_Revenue_Expenditure_and_Financing_2019-20_Budget__England.pdf</v>
      </c>
      <c r="AI354" s="25" t="str">
        <f>_xlfn.XLOOKUP(tblMeasure[[#This Row],[id_src]],tblSource[id_src],tblSource[quality_issues])</f>
        <v>https://assets.publishing.service.gov.uk/government/uploads/system/uploads/attachment_data/file/812505/Local_Authority_Revenue_Expenditure_and_Financing_2019-20_Budget__England.pdf</v>
      </c>
      <c r="AJ354" s="25">
        <f>VLOOKUP(tblMeasure[[#This Row],[msr_population_or_survey]],strlu_msr_population_or_survey,2,FALSE)</f>
        <v>1</v>
      </c>
      <c r="AK354" s="25">
        <f>VLOOKUP(tblMeasure[[#This Row],[msr_min_geo_resolution]],strlu_msr_min_geo_resolution,2,FALSE)</f>
        <v>1</v>
      </c>
      <c r="AL354" s="25">
        <f>(MAX(tblMeasure[[#This Row],[src_year_last_published]]-2010+1,0)+MIN(2010-tblMeasure[[#This Row],[src_year_first_published]],0)-MAX(tblMeasure[[#This Row],[src_year_last_published]]-2019,0))/10</f>
        <v>1</v>
      </c>
      <c r="AM354" s="25">
        <f>IF(OR(tblMeasure[[#This Row],[src_discontinuity]]="None",tblMeasure[[#This Row],[src_discontinuity]]=0),1,0)</f>
        <v>1</v>
      </c>
      <c r="AN354" s="25">
        <f>VLOOKUP(tblMeasure[[#This Row],[src_pub_frequency]],strlu_src_pub_frequency,2,FALSE)</f>
        <v>0.8</v>
      </c>
      <c r="AO354" s="25">
        <f>VLOOKUP(tblMeasure[[#This Row],[src_pub_lag_months]],strlu_src_pub_lag_months,2,FALSE)</f>
        <v>0</v>
      </c>
      <c r="AP354" s="25">
        <f>VLOOKUP(tblMeasure[[#This Row],[src_statistic_class]],strlu_src_statistic_class,2,FALSE)</f>
        <v>1</v>
      </c>
      <c r="AQ354" s="25">
        <f>IF(tblMeasure[[#This Row],[src_methodology_url]]="TBD",0,1)</f>
        <v>1</v>
      </c>
      <c r="AR354" s="25">
        <f>IF(tblMeasure[[#This Row],[src_quality_url]]="TBD",0,1)</f>
        <v>1</v>
      </c>
      <c r="AS354" s="85" cm="1">
        <f t="array" ref="AS354">SUMPRODUCT(TRANSPOSE(tblMeasure[[#This Row],[str_msr_population_or_survey]:[str_src_quality_url]]),str_weights)/str_weights_total</f>
        <v>0.89230769230769225</v>
      </c>
    </row>
    <row r="355" spans="1:45" hidden="1" x14ac:dyDescent="0.15">
      <c r="A355" s="30">
        <v>339</v>
      </c>
      <c r="B355" s="15">
        <f>COUNTIF(requirement_measure_map!$D$3:$D$1514,measure!A355)</f>
        <v>3</v>
      </c>
      <c r="C355" s="30" t="s">
        <v>857</v>
      </c>
      <c r="D355" s="15" t="s">
        <v>1187</v>
      </c>
      <c r="E355" s="15">
        <v>349</v>
      </c>
      <c r="F355" s="15" t="s">
        <v>1200</v>
      </c>
      <c r="G355" s="29" t="s">
        <v>1189</v>
      </c>
      <c r="H355" s="15"/>
      <c r="I355" s="15" t="s">
        <v>214</v>
      </c>
      <c r="J355" s="15" t="s">
        <v>215</v>
      </c>
      <c r="K355" s="15" t="s">
        <v>232</v>
      </c>
      <c r="L355" s="15" t="s">
        <v>217</v>
      </c>
      <c r="M355" s="15" t="s">
        <v>219</v>
      </c>
      <c r="N355" s="15" t="s">
        <v>219</v>
      </c>
      <c r="O355" s="15" t="s">
        <v>219</v>
      </c>
      <c r="P355" s="15" t="s">
        <v>220</v>
      </c>
      <c r="Q355" s="15" t="s">
        <v>220</v>
      </c>
      <c r="R355" s="15" t="s">
        <v>219</v>
      </c>
      <c r="S355" s="15" t="s">
        <v>219</v>
      </c>
      <c r="T355" s="15" t="s">
        <v>219</v>
      </c>
      <c r="U355" s="15" t="s">
        <v>219</v>
      </c>
      <c r="V355" s="15" t="s">
        <v>219</v>
      </c>
      <c r="W355" s="15">
        <v>25</v>
      </c>
      <c r="X355" s="15" t="str">
        <f>_xlfn.XLOOKUP(tblMeasure[[#This Row],[id_src]],tblSource[id_src],tblSource[org])</f>
        <v>Ministry of Housing, Communities &amp; Local Government</v>
      </c>
      <c r="Y355" s="15" t="str">
        <f>_xlfn.XLOOKUP(tblMeasure[[#This Row],[id_src]],tblSource[id_src],tblSource[source])</f>
        <v>LA revenue expenditure and financing</v>
      </c>
      <c r="Z355" s="15" t="str">
        <f>_xlfn.XLOOKUP(tblMeasure[[#This Row],[id_src]],tblSource[id_src],tblSource[url_source])</f>
        <v>https://www.gov.uk/government/collections/local-authority-revenue-expenditure-and-financing</v>
      </c>
      <c r="AA355" s="15">
        <f>_xlfn.XLOOKUP(tblMeasure[[#This Row],[id_src]],tblSource[id_src],tblSource[year_first_published])</f>
        <v>2008</v>
      </c>
      <c r="AB355" s="15">
        <f>_xlfn.XLOOKUP(tblMeasure[[#This Row],[id_src]],tblSource[id_src],tblSource[year_last_published])</f>
        <v>2019</v>
      </c>
      <c r="AC355" s="15">
        <f>_xlfn.XLOOKUP(tblMeasure[[#This Row],[id_src]],tblSource[id_src],tblSource[discontinuity])</f>
        <v>0</v>
      </c>
      <c r="AD355" s="15" t="str">
        <f>_xlfn.XLOOKUP(tblMeasure[[#This Row],[id_src]],tblSource[id_src],tblSource[publication_frequency])</f>
        <v>Annual</v>
      </c>
      <c r="AE355" s="15" t="str">
        <f>_xlfn.XLOOKUP(tblMeasure[[#This Row],[id_src]],tblSource[id_src],tblSource[publication_lag_months])</f>
        <v>TBD</v>
      </c>
      <c r="AF355" s="25" t="str">
        <f>_xlfn.XLOOKUP(tblMeasure[[#This Row],[id_src]],tblSource[id_src],tblSource[data_providers])</f>
        <v>Ministry of Housing, Communities &amp; Local Government</v>
      </c>
      <c r="AG355" s="25" t="str">
        <f>_xlfn.XLOOKUP(tblMeasure[[#This Row],[id_src]],tblSource[id_src],tblSource[statistic_class])</f>
        <v>National</v>
      </c>
      <c r="AH355" s="25" t="str">
        <f>_xlfn.XLOOKUP(tblMeasure[[#This Row],[id_src]],tblSource[id_src],tblSource[methodology_link])</f>
        <v>https://assets.publishing.service.gov.uk/government/uploads/system/uploads/attachment_data/file/812505/Local_Authority_Revenue_Expenditure_and_Financing_2019-20_Budget__England.pdf</v>
      </c>
      <c r="AI355" s="25" t="str">
        <f>_xlfn.XLOOKUP(tblMeasure[[#This Row],[id_src]],tblSource[id_src],tblSource[quality_issues])</f>
        <v>https://assets.publishing.service.gov.uk/government/uploads/system/uploads/attachment_data/file/812505/Local_Authority_Revenue_Expenditure_and_Financing_2019-20_Budget__England.pdf</v>
      </c>
      <c r="AJ355" s="25">
        <f>VLOOKUP(tblMeasure[[#This Row],[msr_population_or_survey]],strlu_msr_population_or_survey,2,FALSE)</f>
        <v>1</v>
      </c>
      <c r="AK355" s="25">
        <f>VLOOKUP(tblMeasure[[#This Row],[msr_min_geo_resolution]],strlu_msr_min_geo_resolution,2,FALSE)</f>
        <v>1</v>
      </c>
      <c r="AL355" s="25">
        <f>(MAX(tblMeasure[[#This Row],[src_year_last_published]]-2010+1,0)+MIN(2010-tblMeasure[[#This Row],[src_year_first_published]],0)-MAX(tblMeasure[[#This Row],[src_year_last_published]]-2019,0))/10</f>
        <v>1</v>
      </c>
      <c r="AM355" s="25">
        <f>IF(OR(tblMeasure[[#This Row],[src_discontinuity]]="None",tblMeasure[[#This Row],[src_discontinuity]]=0),1,0)</f>
        <v>1</v>
      </c>
      <c r="AN355" s="25">
        <f>VLOOKUP(tblMeasure[[#This Row],[src_pub_frequency]],strlu_src_pub_frequency,2,FALSE)</f>
        <v>0.8</v>
      </c>
      <c r="AO355" s="25">
        <f>VLOOKUP(tblMeasure[[#This Row],[src_pub_lag_months]],strlu_src_pub_lag_months,2,FALSE)</f>
        <v>0</v>
      </c>
      <c r="AP355" s="25">
        <f>VLOOKUP(tblMeasure[[#This Row],[src_statistic_class]],strlu_src_statistic_class,2,FALSE)</f>
        <v>1</v>
      </c>
      <c r="AQ355" s="25">
        <f>IF(tblMeasure[[#This Row],[src_methodology_url]]="TBD",0,1)</f>
        <v>1</v>
      </c>
      <c r="AR355" s="25">
        <f>IF(tblMeasure[[#This Row],[src_quality_url]]="TBD",0,1)</f>
        <v>1</v>
      </c>
      <c r="AS355" s="85" cm="1">
        <f t="array" ref="AS355">SUMPRODUCT(TRANSPOSE(tblMeasure[[#This Row],[str_msr_population_or_survey]:[str_src_quality_url]]),str_weights)/str_weights_total</f>
        <v>0.89230769230769225</v>
      </c>
    </row>
    <row r="356" spans="1:45" hidden="1" x14ac:dyDescent="0.15">
      <c r="A356" s="30">
        <v>340</v>
      </c>
      <c r="B356" s="15">
        <f>COUNTIF(requirement_measure_map!$D$3:$D$1514,measure!A356)</f>
        <v>3</v>
      </c>
      <c r="C356" s="30" t="s">
        <v>857</v>
      </c>
      <c r="D356" s="15" t="s">
        <v>1187</v>
      </c>
      <c r="E356" s="15">
        <v>350</v>
      </c>
      <c r="F356" s="15" t="s">
        <v>1201</v>
      </c>
      <c r="G356" s="29" t="s">
        <v>1189</v>
      </c>
      <c r="H356" s="15"/>
      <c r="I356" s="15" t="s">
        <v>214</v>
      </c>
      <c r="J356" s="15" t="s">
        <v>215</v>
      </c>
      <c r="K356" s="15" t="s">
        <v>232</v>
      </c>
      <c r="L356" s="15" t="s">
        <v>217</v>
      </c>
      <c r="M356" s="15" t="s">
        <v>219</v>
      </c>
      <c r="N356" s="15" t="s">
        <v>219</v>
      </c>
      <c r="O356" s="15" t="s">
        <v>219</v>
      </c>
      <c r="P356" s="15" t="s">
        <v>220</v>
      </c>
      <c r="Q356" s="15" t="s">
        <v>220</v>
      </c>
      <c r="R356" s="15" t="s">
        <v>219</v>
      </c>
      <c r="S356" s="15" t="s">
        <v>219</v>
      </c>
      <c r="T356" s="15" t="s">
        <v>219</v>
      </c>
      <c r="U356" s="15" t="s">
        <v>219</v>
      </c>
      <c r="V356" s="15" t="s">
        <v>219</v>
      </c>
      <c r="W356" s="15">
        <v>25</v>
      </c>
      <c r="X356" s="15" t="str">
        <f>_xlfn.XLOOKUP(tblMeasure[[#This Row],[id_src]],tblSource[id_src],tblSource[org])</f>
        <v>Ministry of Housing, Communities &amp; Local Government</v>
      </c>
      <c r="Y356" s="15" t="str">
        <f>_xlfn.XLOOKUP(tblMeasure[[#This Row],[id_src]],tblSource[id_src],tblSource[source])</f>
        <v>LA revenue expenditure and financing</v>
      </c>
      <c r="Z356" s="15" t="str">
        <f>_xlfn.XLOOKUP(tblMeasure[[#This Row],[id_src]],tblSource[id_src],tblSource[url_source])</f>
        <v>https://www.gov.uk/government/collections/local-authority-revenue-expenditure-and-financing</v>
      </c>
      <c r="AA356" s="15">
        <f>_xlfn.XLOOKUP(tblMeasure[[#This Row],[id_src]],tblSource[id_src],tblSource[year_first_published])</f>
        <v>2008</v>
      </c>
      <c r="AB356" s="15">
        <f>_xlfn.XLOOKUP(tblMeasure[[#This Row],[id_src]],tblSource[id_src],tblSource[year_last_published])</f>
        <v>2019</v>
      </c>
      <c r="AC356" s="15">
        <f>_xlfn.XLOOKUP(tblMeasure[[#This Row],[id_src]],tblSource[id_src],tblSource[discontinuity])</f>
        <v>0</v>
      </c>
      <c r="AD356" s="15" t="str">
        <f>_xlfn.XLOOKUP(tblMeasure[[#This Row],[id_src]],tblSource[id_src],tblSource[publication_frequency])</f>
        <v>Annual</v>
      </c>
      <c r="AE356" s="15" t="str">
        <f>_xlfn.XLOOKUP(tblMeasure[[#This Row],[id_src]],tblSource[id_src],tblSource[publication_lag_months])</f>
        <v>TBD</v>
      </c>
      <c r="AF356" s="25" t="str">
        <f>_xlfn.XLOOKUP(tblMeasure[[#This Row],[id_src]],tblSource[id_src],tblSource[data_providers])</f>
        <v>Ministry of Housing, Communities &amp; Local Government</v>
      </c>
      <c r="AG356" s="25" t="str">
        <f>_xlfn.XLOOKUP(tblMeasure[[#This Row],[id_src]],tblSource[id_src],tblSource[statistic_class])</f>
        <v>National</v>
      </c>
      <c r="AH356" s="25" t="str">
        <f>_xlfn.XLOOKUP(tblMeasure[[#This Row],[id_src]],tblSource[id_src],tblSource[methodology_link])</f>
        <v>https://assets.publishing.service.gov.uk/government/uploads/system/uploads/attachment_data/file/812505/Local_Authority_Revenue_Expenditure_and_Financing_2019-20_Budget__England.pdf</v>
      </c>
      <c r="AI356" s="25" t="str">
        <f>_xlfn.XLOOKUP(tblMeasure[[#This Row],[id_src]],tblSource[id_src],tblSource[quality_issues])</f>
        <v>https://assets.publishing.service.gov.uk/government/uploads/system/uploads/attachment_data/file/812505/Local_Authority_Revenue_Expenditure_and_Financing_2019-20_Budget__England.pdf</v>
      </c>
      <c r="AJ356" s="25">
        <f>VLOOKUP(tblMeasure[[#This Row],[msr_population_or_survey]],strlu_msr_population_or_survey,2,FALSE)</f>
        <v>1</v>
      </c>
      <c r="AK356" s="25">
        <f>VLOOKUP(tblMeasure[[#This Row],[msr_min_geo_resolution]],strlu_msr_min_geo_resolution,2,FALSE)</f>
        <v>1</v>
      </c>
      <c r="AL356" s="25">
        <f>(MAX(tblMeasure[[#This Row],[src_year_last_published]]-2010+1,0)+MIN(2010-tblMeasure[[#This Row],[src_year_first_published]],0)-MAX(tblMeasure[[#This Row],[src_year_last_published]]-2019,0))/10</f>
        <v>1</v>
      </c>
      <c r="AM356" s="25">
        <f>IF(OR(tblMeasure[[#This Row],[src_discontinuity]]="None",tblMeasure[[#This Row],[src_discontinuity]]=0),1,0)</f>
        <v>1</v>
      </c>
      <c r="AN356" s="25">
        <f>VLOOKUP(tblMeasure[[#This Row],[src_pub_frequency]],strlu_src_pub_frequency,2,FALSE)</f>
        <v>0.8</v>
      </c>
      <c r="AO356" s="25">
        <f>VLOOKUP(tblMeasure[[#This Row],[src_pub_lag_months]],strlu_src_pub_lag_months,2,FALSE)</f>
        <v>0</v>
      </c>
      <c r="AP356" s="25">
        <f>VLOOKUP(tblMeasure[[#This Row],[src_statistic_class]],strlu_src_statistic_class,2,FALSE)</f>
        <v>1</v>
      </c>
      <c r="AQ356" s="25">
        <f>IF(tblMeasure[[#This Row],[src_methodology_url]]="TBD",0,1)</f>
        <v>1</v>
      </c>
      <c r="AR356" s="25">
        <f>IF(tblMeasure[[#This Row],[src_quality_url]]="TBD",0,1)</f>
        <v>1</v>
      </c>
      <c r="AS356" s="85" cm="1">
        <f t="array" ref="AS356">SUMPRODUCT(TRANSPOSE(tblMeasure[[#This Row],[str_msr_population_or_survey]:[str_src_quality_url]]),str_weights)/str_weights_total</f>
        <v>0.89230769230769225</v>
      </c>
    </row>
    <row r="357" spans="1:45" hidden="1" x14ac:dyDescent="0.15">
      <c r="A357" s="30">
        <v>341</v>
      </c>
      <c r="B357" s="15">
        <f>COUNTIF(requirement_measure_map!$D$3:$D$1514,measure!A357)</f>
        <v>3</v>
      </c>
      <c r="C357" s="30" t="s">
        <v>857</v>
      </c>
      <c r="D357" s="15" t="s">
        <v>1187</v>
      </c>
      <c r="E357" s="15">
        <v>351</v>
      </c>
      <c r="F357" s="15" t="s">
        <v>1202</v>
      </c>
      <c r="G357" s="29" t="s">
        <v>1189</v>
      </c>
      <c r="H357" s="15"/>
      <c r="I357" s="15" t="s">
        <v>214</v>
      </c>
      <c r="J357" s="15" t="s">
        <v>215</v>
      </c>
      <c r="K357" s="15" t="s">
        <v>232</v>
      </c>
      <c r="L357" s="15" t="s">
        <v>217</v>
      </c>
      <c r="M357" s="15" t="s">
        <v>219</v>
      </c>
      <c r="N357" s="15" t="s">
        <v>219</v>
      </c>
      <c r="O357" s="15" t="s">
        <v>219</v>
      </c>
      <c r="P357" s="15" t="s">
        <v>220</v>
      </c>
      <c r="Q357" s="15" t="s">
        <v>220</v>
      </c>
      <c r="R357" s="15" t="s">
        <v>219</v>
      </c>
      <c r="S357" s="15" t="s">
        <v>219</v>
      </c>
      <c r="T357" s="15" t="s">
        <v>219</v>
      </c>
      <c r="U357" s="15" t="s">
        <v>219</v>
      </c>
      <c r="V357" s="15" t="s">
        <v>219</v>
      </c>
      <c r="W357" s="15">
        <v>25</v>
      </c>
      <c r="X357" s="15" t="str">
        <f>_xlfn.XLOOKUP(tblMeasure[[#This Row],[id_src]],tblSource[id_src],tblSource[org])</f>
        <v>Ministry of Housing, Communities &amp; Local Government</v>
      </c>
      <c r="Y357" s="15" t="str">
        <f>_xlfn.XLOOKUP(tblMeasure[[#This Row],[id_src]],tblSource[id_src],tblSource[source])</f>
        <v>LA revenue expenditure and financing</v>
      </c>
      <c r="Z357" s="15" t="str">
        <f>_xlfn.XLOOKUP(tblMeasure[[#This Row],[id_src]],tblSource[id_src],tblSource[url_source])</f>
        <v>https://www.gov.uk/government/collections/local-authority-revenue-expenditure-and-financing</v>
      </c>
      <c r="AA357" s="15">
        <f>_xlfn.XLOOKUP(tblMeasure[[#This Row],[id_src]],tblSource[id_src],tblSource[year_first_published])</f>
        <v>2008</v>
      </c>
      <c r="AB357" s="15">
        <f>_xlfn.XLOOKUP(tblMeasure[[#This Row],[id_src]],tblSource[id_src],tblSource[year_last_published])</f>
        <v>2019</v>
      </c>
      <c r="AC357" s="15">
        <f>_xlfn.XLOOKUP(tblMeasure[[#This Row],[id_src]],tblSource[id_src],tblSource[discontinuity])</f>
        <v>0</v>
      </c>
      <c r="AD357" s="15" t="str">
        <f>_xlfn.XLOOKUP(tblMeasure[[#This Row],[id_src]],tblSource[id_src],tblSource[publication_frequency])</f>
        <v>Annual</v>
      </c>
      <c r="AE357" s="15" t="str">
        <f>_xlfn.XLOOKUP(tblMeasure[[#This Row],[id_src]],tblSource[id_src],tblSource[publication_lag_months])</f>
        <v>TBD</v>
      </c>
      <c r="AF357" s="25" t="str">
        <f>_xlfn.XLOOKUP(tblMeasure[[#This Row],[id_src]],tblSource[id_src],tblSource[data_providers])</f>
        <v>Ministry of Housing, Communities &amp; Local Government</v>
      </c>
      <c r="AG357" s="25" t="str">
        <f>_xlfn.XLOOKUP(tblMeasure[[#This Row],[id_src]],tblSource[id_src],tblSource[statistic_class])</f>
        <v>National</v>
      </c>
      <c r="AH357" s="25" t="str">
        <f>_xlfn.XLOOKUP(tblMeasure[[#This Row],[id_src]],tblSource[id_src],tblSource[methodology_link])</f>
        <v>https://assets.publishing.service.gov.uk/government/uploads/system/uploads/attachment_data/file/812505/Local_Authority_Revenue_Expenditure_and_Financing_2019-20_Budget__England.pdf</v>
      </c>
      <c r="AI357" s="25" t="str">
        <f>_xlfn.XLOOKUP(tblMeasure[[#This Row],[id_src]],tblSource[id_src],tblSource[quality_issues])</f>
        <v>https://assets.publishing.service.gov.uk/government/uploads/system/uploads/attachment_data/file/812505/Local_Authority_Revenue_Expenditure_and_Financing_2019-20_Budget__England.pdf</v>
      </c>
      <c r="AJ357" s="25">
        <f>VLOOKUP(tblMeasure[[#This Row],[msr_population_or_survey]],strlu_msr_population_or_survey,2,FALSE)</f>
        <v>1</v>
      </c>
      <c r="AK357" s="25">
        <f>VLOOKUP(tblMeasure[[#This Row],[msr_min_geo_resolution]],strlu_msr_min_geo_resolution,2,FALSE)</f>
        <v>1</v>
      </c>
      <c r="AL357" s="25">
        <f>(MAX(tblMeasure[[#This Row],[src_year_last_published]]-2010+1,0)+MIN(2010-tblMeasure[[#This Row],[src_year_first_published]],0)-MAX(tblMeasure[[#This Row],[src_year_last_published]]-2019,0))/10</f>
        <v>1</v>
      </c>
      <c r="AM357" s="25">
        <f>IF(OR(tblMeasure[[#This Row],[src_discontinuity]]="None",tblMeasure[[#This Row],[src_discontinuity]]=0),1,0)</f>
        <v>1</v>
      </c>
      <c r="AN357" s="25">
        <f>VLOOKUP(tblMeasure[[#This Row],[src_pub_frequency]],strlu_src_pub_frequency,2,FALSE)</f>
        <v>0.8</v>
      </c>
      <c r="AO357" s="25">
        <f>VLOOKUP(tblMeasure[[#This Row],[src_pub_lag_months]],strlu_src_pub_lag_months,2,FALSE)</f>
        <v>0</v>
      </c>
      <c r="AP357" s="25">
        <f>VLOOKUP(tblMeasure[[#This Row],[src_statistic_class]],strlu_src_statistic_class,2,FALSE)</f>
        <v>1</v>
      </c>
      <c r="AQ357" s="25">
        <f>IF(tblMeasure[[#This Row],[src_methodology_url]]="TBD",0,1)</f>
        <v>1</v>
      </c>
      <c r="AR357" s="25">
        <f>IF(tblMeasure[[#This Row],[src_quality_url]]="TBD",0,1)</f>
        <v>1</v>
      </c>
      <c r="AS357" s="85" cm="1">
        <f t="array" ref="AS357">SUMPRODUCT(TRANSPOSE(tblMeasure[[#This Row],[str_msr_population_or_survey]:[str_src_quality_url]]),str_weights)/str_weights_total</f>
        <v>0.89230769230769225</v>
      </c>
    </row>
    <row r="358" spans="1:45" hidden="1" x14ac:dyDescent="0.15">
      <c r="A358" s="30">
        <v>342</v>
      </c>
      <c r="B358" s="15">
        <f>COUNTIF(requirement_measure_map!$D$3:$D$1514,measure!A358)</f>
        <v>3</v>
      </c>
      <c r="C358" s="30" t="s">
        <v>857</v>
      </c>
      <c r="D358" s="15" t="s">
        <v>1187</v>
      </c>
      <c r="E358" s="15">
        <v>353</v>
      </c>
      <c r="F358" s="15" t="s">
        <v>1203</v>
      </c>
      <c r="G358" s="29" t="s">
        <v>1189</v>
      </c>
      <c r="H358" s="15"/>
      <c r="I358" s="15" t="s">
        <v>214</v>
      </c>
      <c r="J358" s="15" t="s">
        <v>215</v>
      </c>
      <c r="K358" s="15" t="s">
        <v>232</v>
      </c>
      <c r="L358" s="15" t="s">
        <v>217</v>
      </c>
      <c r="M358" s="15" t="s">
        <v>219</v>
      </c>
      <c r="N358" s="15" t="s">
        <v>219</v>
      </c>
      <c r="O358" s="15" t="s">
        <v>219</v>
      </c>
      <c r="P358" s="15" t="s">
        <v>220</v>
      </c>
      <c r="Q358" s="15" t="s">
        <v>220</v>
      </c>
      <c r="R358" s="15" t="s">
        <v>219</v>
      </c>
      <c r="S358" s="15" t="s">
        <v>219</v>
      </c>
      <c r="T358" s="15" t="s">
        <v>219</v>
      </c>
      <c r="U358" s="15" t="s">
        <v>219</v>
      </c>
      <c r="V358" s="15" t="s">
        <v>219</v>
      </c>
      <c r="W358" s="15">
        <v>25</v>
      </c>
      <c r="X358" s="15" t="str">
        <f>_xlfn.XLOOKUP(tblMeasure[[#This Row],[id_src]],tblSource[id_src],tblSource[org])</f>
        <v>Ministry of Housing, Communities &amp; Local Government</v>
      </c>
      <c r="Y358" s="15" t="str">
        <f>_xlfn.XLOOKUP(tblMeasure[[#This Row],[id_src]],tblSource[id_src],tblSource[source])</f>
        <v>LA revenue expenditure and financing</v>
      </c>
      <c r="Z358" s="15" t="str">
        <f>_xlfn.XLOOKUP(tblMeasure[[#This Row],[id_src]],tblSource[id_src],tblSource[url_source])</f>
        <v>https://www.gov.uk/government/collections/local-authority-revenue-expenditure-and-financing</v>
      </c>
      <c r="AA358" s="15">
        <f>_xlfn.XLOOKUP(tblMeasure[[#This Row],[id_src]],tblSource[id_src],tblSource[year_first_published])</f>
        <v>2008</v>
      </c>
      <c r="AB358" s="15">
        <f>_xlfn.XLOOKUP(tblMeasure[[#This Row],[id_src]],tblSource[id_src],tblSource[year_last_published])</f>
        <v>2019</v>
      </c>
      <c r="AC358" s="15">
        <f>_xlfn.XLOOKUP(tblMeasure[[#This Row],[id_src]],tblSource[id_src],tblSource[discontinuity])</f>
        <v>0</v>
      </c>
      <c r="AD358" s="15" t="str">
        <f>_xlfn.XLOOKUP(tblMeasure[[#This Row],[id_src]],tblSource[id_src],tblSource[publication_frequency])</f>
        <v>Annual</v>
      </c>
      <c r="AE358" s="15" t="str">
        <f>_xlfn.XLOOKUP(tblMeasure[[#This Row],[id_src]],tblSource[id_src],tblSource[publication_lag_months])</f>
        <v>TBD</v>
      </c>
      <c r="AF358" s="25" t="str">
        <f>_xlfn.XLOOKUP(tblMeasure[[#This Row],[id_src]],tblSource[id_src],tblSource[data_providers])</f>
        <v>Ministry of Housing, Communities &amp; Local Government</v>
      </c>
      <c r="AG358" s="25" t="str">
        <f>_xlfn.XLOOKUP(tblMeasure[[#This Row],[id_src]],tblSource[id_src],tblSource[statistic_class])</f>
        <v>National</v>
      </c>
      <c r="AH358" s="25" t="str">
        <f>_xlfn.XLOOKUP(tblMeasure[[#This Row],[id_src]],tblSource[id_src],tblSource[methodology_link])</f>
        <v>https://assets.publishing.service.gov.uk/government/uploads/system/uploads/attachment_data/file/812505/Local_Authority_Revenue_Expenditure_and_Financing_2019-20_Budget__England.pdf</v>
      </c>
      <c r="AI358" s="25" t="str">
        <f>_xlfn.XLOOKUP(tblMeasure[[#This Row],[id_src]],tblSource[id_src],tblSource[quality_issues])</f>
        <v>https://assets.publishing.service.gov.uk/government/uploads/system/uploads/attachment_data/file/812505/Local_Authority_Revenue_Expenditure_and_Financing_2019-20_Budget__England.pdf</v>
      </c>
      <c r="AJ358" s="25">
        <f>VLOOKUP(tblMeasure[[#This Row],[msr_population_or_survey]],strlu_msr_population_or_survey,2,FALSE)</f>
        <v>1</v>
      </c>
      <c r="AK358" s="25">
        <f>VLOOKUP(tblMeasure[[#This Row],[msr_min_geo_resolution]],strlu_msr_min_geo_resolution,2,FALSE)</f>
        <v>1</v>
      </c>
      <c r="AL358" s="25">
        <f>(MAX(tblMeasure[[#This Row],[src_year_last_published]]-2010+1,0)+MIN(2010-tblMeasure[[#This Row],[src_year_first_published]],0)-MAX(tblMeasure[[#This Row],[src_year_last_published]]-2019,0))/10</f>
        <v>1</v>
      </c>
      <c r="AM358" s="25">
        <f>IF(OR(tblMeasure[[#This Row],[src_discontinuity]]="None",tblMeasure[[#This Row],[src_discontinuity]]=0),1,0)</f>
        <v>1</v>
      </c>
      <c r="AN358" s="25">
        <f>VLOOKUP(tblMeasure[[#This Row],[src_pub_frequency]],strlu_src_pub_frequency,2,FALSE)</f>
        <v>0.8</v>
      </c>
      <c r="AO358" s="25">
        <f>VLOOKUP(tblMeasure[[#This Row],[src_pub_lag_months]],strlu_src_pub_lag_months,2,FALSE)</f>
        <v>0</v>
      </c>
      <c r="AP358" s="25">
        <f>VLOOKUP(tblMeasure[[#This Row],[src_statistic_class]],strlu_src_statistic_class,2,FALSE)</f>
        <v>1</v>
      </c>
      <c r="AQ358" s="25">
        <f>IF(tblMeasure[[#This Row],[src_methodology_url]]="TBD",0,1)</f>
        <v>1</v>
      </c>
      <c r="AR358" s="25">
        <f>IF(tblMeasure[[#This Row],[src_quality_url]]="TBD",0,1)</f>
        <v>1</v>
      </c>
      <c r="AS358" s="85" cm="1">
        <f t="array" ref="AS358">SUMPRODUCT(TRANSPOSE(tblMeasure[[#This Row],[str_msr_population_or_survey]:[str_src_quality_url]]),str_weights)/str_weights_total</f>
        <v>0.89230769230769225</v>
      </c>
    </row>
    <row r="359" spans="1:45" hidden="1" x14ac:dyDescent="0.15">
      <c r="A359" s="30">
        <v>343</v>
      </c>
      <c r="B359" s="15">
        <f>COUNTIF(requirement_measure_map!$D$3:$D$1514,measure!A359)</f>
        <v>3</v>
      </c>
      <c r="C359" s="30" t="s">
        <v>857</v>
      </c>
      <c r="D359" s="15" t="s">
        <v>1187</v>
      </c>
      <c r="E359" s="15">
        <v>354</v>
      </c>
      <c r="F359" s="15" t="s">
        <v>1204</v>
      </c>
      <c r="G359" s="29" t="s">
        <v>1189</v>
      </c>
      <c r="H359" s="15"/>
      <c r="I359" s="15" t="s">
        <v>214</v>
      </c>
      <c r="J359" s="15" t="s">
        <v>215</v>
      </c>
      <c r="K359" s="15" t="s">
        <v>232</v>
      </c>
      <c r="L359" s="15" t="s">
        <v>217</v>
      </c>
      <c r="M359" s="15" t="s">
        <v>219</v>
      </c>
      <c r="N359" s="15" t="s">
        <v>219</v>
      </c>
      <c r="O359" s="15" t="s">
        <v>219</v>
      </c>
      <c r="P359" s="15" t="s">
        <v>220</v>
      </c>
      <c r="Q359" s="15" t="s">
        <v>220</v>
      </c>
      <c r="R359" s="15" t="s">
        <v>219</v>
      </c>
      <c r="S359" s="15" t="s">
        <v>219</v>
      </c>
      <c r="T359" s="15" t="s">
        <v>219</v>
      </c>
      <c r="U359" s="15" t="s">
        <v>219</v>
      </c>
      <c r="V359" s="15" t="s">
        <v>219</v>
      </c>
      <c r="W359" s="15">
        <v>25</v>
      </c>
      <c r="X359" s="15" t="str">
        <f>_xlfn.XLOOKUP(tblMeasure[[#This Row],[id_src]],tblSource[id_src],tblSource[org])</f>
        <v>Ministry of Housing, Communities &amp; Local Government</v>
      </c>
      <c r="Y359" s="15" t="str">
        <f>_xlfn.XLOOKUP(tblMeasure[[#This Row],[id_src]],tblSource[id_src],tblSource[source])</f>
        <v>LA revenue expenditure and financing</v>
      </c>
      <c r="Z359" s="15" t="str">
        <f>_xlfn.XLOOKUP(tblMeasure[[#This Row],[id_src]],tblSource[id_src],tblSource[url_source])</f>
        <v>https://www.gov.uk/government/collections/local-authority-revenue-expenditure-and-financing</v>
      </c>
      <c r="AA359" s="15">
        <f>_xlfn.XLOOKUP(tblMeasure[[#This Row],[id_src]],tblSource[id_src],tblSource[year_first_published])</f>
        <v>2008</v>
      </c>
      <c r="AB359" s="15">
        <f>_xlfn.XLOOKUP(tblMeasure[[#This Row],[id_src]],tblSource[id_src],tblSource[year_last_published])</f>
        <v>2019</v>
      </c>
      <c r="AC359" s="15">
        <f>_xlfn.XLOOKUP(tblMeasure[[#This Row],[id_src]],tblSource[id_src],tblSource[discontinuity])</f>
        <v>0</v>
      </c>
      <c r="AD359" s="15" t="str">
        <f>_xlfn.XLOOKUP(tblMeasure[[#This Row],[id_src]],tblSource[id_src],tblSource[publication_frequency])</f>
        <v>Annual</v>
      </c>
      <c r="AE359" s="15" t="str">
        <f>_xlfn.XLOOKUP(tblMeasure[[#This Row],[id_src]],tblSource[id_src],tblSource[publication_lag_months])</f>
        <v>TBD</v>
      </c>
      <c r="AF359" s="25" t="str">
        <f>_xlfn.XLOOKUP(tblMeasure[[#This Row],[id_src]],tblSource[id_src],tblSource[data_providers])</f>
        <v>Ministry of Housing, Communities &amp; Local Government</v>
      </c>
      <c r="AG359" s="25" t="str">
        <f>_xlfn.XLOOKUP(tblMeasure[[#This Row],[id_src]],tblSource[id_src],tblSource[statistic_class])</f>
        <v>National</v>
      </c>
      <c r="AH359" s="25" t="str">
        <f>_xlfn.XLOOKUP(tblMeasure[[#This Row],[id_src]],tblSource[id_src],tblSource[methodology_link])</f>
        <v>https://assets.publishing.service.gov.uk/government/uploads/system/uploads/attachment_data/file/812505/Local_Authority_Revenue_Expenditure_and_Financing_2019-20_Budget__England.pdf</v>
      </c>
      <c r="AI359" s="25" t="str">
        <f>_xlfn.XLOOKUP(tblMeasure[[#This Row],[id_src]],tblSource[id_src],tblSource[quality_issues])</f>
        <v>https://assets.publishing.service.gov.uk/government/uploads/system/uploads/attachment_data/file/812505/Local_Authority_Revenue_Expenditure_and_Financing_2019-20_Budget__England.pdf</v>
      </c>
      <c r="AJ359" s="25">
        <f>VLOOKUP(tblMeasure[[#This Row],[msr_population_or_survey]],strlu_msr_population_or_survey,2,FALSE)</f>
        <v>1</v>
      </c>
      <c r="AK359" s="25">
        <f>VLOOKUP(tblMeasure[[#This Row],[msr_min_geo_resolution]],strlu_msr_min_geo_resolution,2,FALSE)</f>
        <v>1</v>
      </c>
      <c r="AL359" s="25">
        <f>(MAX(tblMeasure[[#This Row],[src_year_last_published]]-2010+1,0)+MIN(2010-tblMeasure[[#This Row],[src_year_first_published]],0)-MAX(tblMeasure[[#This Row],[src_year_last_published]]-2019,0))/10</f>
        <v>1</v>
      </c>
      <c r="AM359" s="25">
        <f>IF(OR(tblMeasure[[#This Row],[src_discontinuity]]="None",tblMeasure[[#This Row],[src_discontinuity]]=0),1,0)</f>
        <v>1</v>
      </c>
      <c r="AN359" s="25">
        <f>VLOOKUP(tblMeasure[[#This Row],[src_pub_frequency]],strlu_src_pub_frequency,2,FALSE)</f>
        <v>0.8</v>
      </c>
      <c r="AO359" s="25">
        <f>VLOOKUP(tblMeasure[[#This Row],[src_pub_lag_months]],strlu_src_pub_lag_months,2,FALSE)</f>
        <v>0</v>
      </c>
      <c r="AP359" s="25">
        <f>VLOOKUP(tblMeasure[[#This Row],[src_statistic_class]],strlu_src_statistic_class,2,FALSE)</f>
        <v>1</v>
      </c>
      <c r="AQ359" s="25">
        <f>IF(tblMeasure[[#This Row],[src_methodology_url]]="TBD",0,1)</f>
        <v>1</v>
      </c>
      <c r="AR359" s="25">
        <f>IF(tblMeasure[[#This Row],[src_quality_url]]="TBD",0,1)</f>
        <v>1</v>
      </c>
      <c r="AS359" s="85" cm="1">
        <f t="array" ref="AS359">SUMPRODUCT(TRANSPOSE(tblMeasure[[#This Row],[str_msr_population_or_survey]:[str_src_quality_url]]),str_weights)/str_weights_total</f>
        <v>0.89230769230769225</v>
      </c>
    </row>
    <row r="360" spans="1:45" hidden="1" x14ac:dyDescent="0.15">
      <c r="A360" s="30">
        <v>344</v>
      </c>
      <c r="B360" s="15">
        <f>COUNTIF(requirement_measure_map!$D$3:$D$1514,measure!A360)</f>
        <v>3</v>
      </c>
      <c r="C360" s="30" t="s">
        <v>857</v>
      </c>
      <c r="D360" s="15" t="s">
        <v>1187</v>
      </c>
      <c r="E360" s="15">
        <v>355</v>
      </c>
      <c r="F360" s="15" t="s">
        <v>1205</v>
      </c>
      <c r="G360" s="29" t="s">
        <v>1189</v>
      </c>
      <c r="H360" s="15"/>
      <c r="I360" s="15" t="s">
        <v>214</v>
      </c>
      <c r="J360" s="15" t="s">
        <v>215</v>
      </c>
      <c r="K360" s="15" t="s">
        <v>232</v>
      </c>
      <c r="L360" s="15" t="s">
        <v>217</v>
      </c>
      <c r="M360" s="15" t="s">
        <v>219</v>
      </c>
      <c r="N360" s="15" t="s">
        <v>219</v>
      </c>
      <c r="O360" s="15" t="s">
        <v>219</v>
      </c>
      <c r="P360" s="15" t="s">
        <v>220</v>
      </c>
      <c r="Q360" s="15" t="s">
        <v>220</v>
      </c>
      <c r="R360" s="15" t="s">
        <v>219</v>
      </c>
      <c r="S360" s="15" t="s">
        <v>219</v>
      </c>
      <c r="T360" s="15" t="s">
        <v>219</v>
      </c>
      <c r="U360" s="15" t="s">
        <v>219</v>
      </c>
      <c r="V360" s="15" t="s">
        <v>219</v>
      </c>
      <c r="W360" s="15">
        <v>25</v>
      </c>
      <c r="X360" s="15" t="str">
        <f>_xlfn.XLOOKUP(tblMeasure[[#This Row],[id_src]],tblSource[id_src],tblSource[org])</f>
        <v>Ministry of Housing, Communities &amp; Local Government</v>
      </c>
      <c r="Y360" s="15" t="str">
        <f>_xlfn.XLOOKUP(tblMeasure[[#This Row],[id_src]],tblSource[id_src],tblSource[source])</f>
        <v>LA revenue expenditure and financing</v>
      </c>
      <c r="Z360" s="15" t="str">
        <f>_xlfn.XLOOKUP(tblMeasure[[#This Row],[id_src]],tblSource[id_src],tblSource[url_source])</f>
        <v>https://www.gov.uk/government/collections/local-authority-revenue-expenditure-and-financing</v>
      </c>
      <c r="AA360" s="15">
        <f>_xlfn.XLOOKUP(tblMeasure[[#This Row],[id_src]],tblSource[id_src],tblSource[year_first_published])</f>
        <v>2008</v>
      </c>
      <c r="AB360" s="15">
        <f>_xlfn.XLOOKUP(tblMeasure[[#This Row],[id_src]],tblSource[id_src],tblSource[year_last_published])</f>
        <v>2019</v>
      </c>
      <c r="AC360" s="15">
        <f>_xlfn.XLOOKUP(tblMeasure[[#This Row],[id_src]],tblSource[id_src],tblSource[discontinuity])</f>
        <v>0</v>
      </c>
      <c r="AD360" s="15" t="str">
        <f>_xlfn.XLOOKUP(tblMeasure[[#This Row],[id_src]],tblSource[id_src],tblSource[publication_frequency])</f>
        <v>Annual</v>
      </c>
      <c r="AE360" s="15" t="str">
        <f>_xlfn.XLOOKUP(tblMeasure[[#This Row],[id_src]],tblSource[id_src],tblSource[publication_lag_months])</f>
        <v>TBD</v>
      </c>
      <c r="AF360" s="25" t="str">
        <f>_xlfn.XLOOKUP(tblMeasure[[#This Row],[id_src]],tblSource[id_src],tblSource[data_providers])</f>
        <v>Ministry of Housing, Communities &amp; Local Government</v>
      </c>
      <c r="AG360" s="25" t="str">
        <f>_xlfn.XLOOKUP(tblMeasure[[#This Row],[id_src]],tblSource[id_src],tblSource[statistic_class])</f>
        <v>National</v>
      </c>
      <c r="AH360" s="25" t="str">
        <f>_xlfn.XLOOKUP(tblMeasure[[#This Row],[id_src]],tblSource[id_src],tblSource[methodology_link])</f>
        <v>https://assets.publishing.service.gov.uk/government/uploads/system/uploads/attachment_data/file/812505/Local_Authority_Revenue_Expenditure_and_Financing_2019-20_Budget__England.pdf</v>
      </c>
      <c r="AI360" s="25" t="str">
        <f>_xlfn.XLOOKUP(tblMeasure[[#This Row],[id_src]],tblSource[id_src],tblSource[quality_issues])</f>
        <v>https://assets.publishing.service.gov.uk/government/uploads/system/uploads/attachment_data/file/812505/Local_Authority_Revenue_Expenditure_and_Financing_2019-20_Budget__England.pdf</v>
      </c>
      <c r="AJ360" s="25">
        <f>VLOOKUP(tblMeasure[[#This Row],[msr_population_or_survey]],strlu_msr_population_or_survey,2,FALSE)</f>
        <v>1</v>
      </c>
      <c r="AK360" s="25">
        <f>VLOOKUP(tblMeasure[[#This Row],[msr_min_geo_resolution]],strlu_msr_min_geo_resolution,2,FALSE)</f>
        <v>1</v>
      </c>
      <c r="AL360" s="25">
        <f>(MAX(tblMeasure[[#This Row],[src_year_last_published]]-2010+1,0)+MIN(2010-tblMeasure[[#This Row],[src_year_first_published]],0)-MAX(tblMeasure[[#This Row],[src_year_last_published]]-2019,0))/10</f>
        <v>1</v>
      </c>
      <c r="AM360" s="25">
        <f>IF(OR(tblMeasure[[#This Row],[src_discontinuity]]="None",tblMeasure[[#This Row],[src_discontinuity]]=0),1,0)</f>
        <v>1</v>
      </c>
      <c r="AN360" s="25">
        <f>VLOOKUP(tblMeasure[[#This Row],[src_pub_frequency]],strlu_src_pub_frequency,2,FALSE)</f>
        <v>0.8</v>
      </c>
      <c r="AO360" s="25">
        <f>VLOOKUP(tblMeasure[[#This Row],[src_pub_lag_months]],strlu_src_pub_lag_months,2,FALSE)</f>
        <v>0</v>
      </c>
      <c r="AP360" s="25">
        <f>VLOOKUP(tblMeasure[[#This Row],[src_statistic_class]],strlu_src_statistic_class,2,FALSE)</f>
        <v>1</v>
      </c>
      <c r="AQ360" s="25">
        <f>IF(tblMeasure[[#This Row],[src_methodology_url]]="TBD",0,1)</f>
        <v>1</v>
      </c>
      <c r="AR360" s="25">
        <f>IF(tblMeasure[[#This Row],[src_quality_url]]="TBD",0,1)</f>
        <v>1</v>
      </c>
      <c r="AS360" s="85" cm="1">
        <f t="array" ref="AS360">SUMPRODUCT(TRANSPOSE(tblMeasure[[#This Row],[str_msr_population_or_survey]:[str_src_quality_url]]),str_weights)/str_weights_total</f>
        <v>0.89230769230769225</v>
      </c>
    </row>
    <row r="361" spans="1:45" hidden="1" x14ac:dyDescent="0.15">
      <c r="A361" s="30">
        <v>345</v>
      </c>
      <c r="B361" s="15">
        <f>COUNTIF(requirement_measure_map!$D$3:$D$1514,measure!A361)</f>
        <v>3</v>
      </c>
      <c r="C361" s="30" t="s">
        <v>857</v>
      </c>
      <c r="D361" s="15" t="s">
        <v>1187</v>
      </c>
      <c r="E361" s="15">
        <v>356</v>
      </c>
      <c r="F361" s="15" t="s">
        <v>1206</v>
      </c>
      <c r="G361" s="29" t="s">
        <v>1189</v>
      </c>
      <c r="H361" s="15"/>
      <c r="I361" s="15" t="s">
        <v>214</v>
      </c>
      <c r="J361" s="15" t="s">
        <v>215</v>
      </c>
      <c r="K361" s="15" t="s">
        <v>232</v>
      </c>
      <c r="L361" s="15" t="s">
        <v>217</v>
      </c>
      <c r="M361" s="15" t="s">
        <v>219</v>
      </c>
      <c r="N361" s="15" t="s">
        <v>219</v>
      </c>
      <c r="O361" s="15" t="s">
        <v>219</v>
      </c>
      <c r="P361" s="15" t="s">
        <v>220</v>
      </c>
      <c r="Q361" s="15" t="s">
        <v>220</v>
      </c>
      <c r="R361" s="15" t="s">
        <v>219</v>
      </c>
      <c r="S361" s="15" t="s">
        <v>219</v>
      </c>
      <c r="T361" s="15" t="s">
        <v>219</v>
      </c>
      <c r="U361" s="15" t="s">
        <v>219</v>
      </c>
      <c r="V361" s="15" t="s">
        <v>219</v>
      </c>
      <c r="W361" s="15">
        <v>25</v>
      </c>
      <c r="X361" s="15" t="str">
        <f>_xlfn.XLOOKUP(tblMeasure[[#This Row],[id_src]],tblSource[id_src],tblSource[org])</f>
        <v>Ministry of Housing, Communities &amp; Local Government</v>
      </c>
      <c r="Y361" s="15" t="str">
        <f>_xlfn.XLOOKUP(tblMeasure[[#This Row],[id_src]],tblSource[id_src],tblSource[source])</f>
        <v>LA revenue expenditure and financing</v>
      </c>
      <c r="Z361" s="15" t="str">
        <f>_xlfn.XLOOKUP(tblMeasure[[#This Row],[id_src]],tblSource[id_src],tblSource[url_source])</f>
        <v>https://www.gov.uk/government/collections/local-authority-revenue-expenditure-and-financing</v>
      </c>
      <c r="AA361" s="15">
        <f>_xlfn.XLOOKUP(tblMeasure[[#This Row],[id_src]],tblSource[id_src],tblSource[year_first_published])</f>
        <v>2008</v>
      </c>
      <c r="AB361" s="15">
        <f>_xlfn.XLOOKUP(tblMeasure[[#This Row],[id_src]],tblSource[id_src],tblSource[year_last_published])</f>
        <v>2019</v>
      </c>
      <c r="AC361" s="15">
        <f>_xlfn.XLOOKUP(tblMeasure[[#This Row],[id_src]],tblSource[id_src],tblSource[discontinuity])</f>
        <v>0</v>
      </c>
      <c r="AD361" s="15" t="str">
        <f>_xlfn.XLOOKUP(tblMeasure[[#This Row],[id_src]],tblSource[id_src],tblSource[publication_frequency])</f>
        <v>Annual</v>
      </c>
      <c r="AE361" s="15" t="str">
        <f>_xlfn.XLOOKUP(tblMeasure[[#This Row],[id_src]],tblSource[id_src],tblSource[publication_lag_months])</f>
        <v>TBD</v>
      </c>
      <c r="AF361" s="25" t="str">
        <f>_xlfn.XLOOKUP(tblMeasure[[#This Row],[id_src]],tblSource[id_src],tblSource[data_providers])</f>
        <v>Ministry of Housing, Communities &amp; Local Government</v>
      </c>
      <c r="AG361" s="25" t="str">
        <f>_xlfn.XLOOKUP(tblMeasure[[#This Row],[id_src]],tblSource[id_src],tblSource[statistic_class])</f>
        <v>National</v>
      </c>
      <c r="AH361" s="25" t="str">
        <f>_xlfn.XLOOKUP(tblMeasure[[#This Row],[id_src]],tblSource[id_src],tblSource[methodology_link])</f>
        <v>https://assets.publishing.service.gov.uk/government/uploads/system/uploads/attachment_data/file/812505/Local_Authority_Revenue_Expenditure_and_Financing_2019-20_Budget__England.pdf</v>
      </c>
      <c r="AI361" s="25" t="str">
        <f>_xlfn.XLOOKUP(tblMeasure[[#This Row],[id_src]],tblSource[id_src],tblSource[quality_issues])</f>
        <v>https://assets.publishing.service.gov.uk/government/uploads/system/uploads/attachment_data/file/812505/Local_Authority_Revenue_Expenditure_and_Financing_2019-20_Budget__England.pdf</v>
      </c>
      <c r="AJ361" s="25">
        <f>VLOOKUP(tblMeasure[[#This Row],[msr_population_or_survey]],strlu_msr_population_or_survey,2,FALSE)</f>
        <v>1</v>
      </c>
      <c r="AK361" s="25">
        <f>VLOOKUP(tblMeasure[[#This Row],[msr_min_geo_resolution]],strlu_msr_min_geo_resolution,2,FALSE)</f>
        <v>1</v>
      </c>
      <c r="AL361" s="25">
        <f>(MAX(tblMeasure[[#This Row],[src_year_last_published]]-2010+1,0)+MIN(2010-tblMeasure[[#This Row],[src_year_first_published]],0)-MAX(tblMeasure[[#This Row],[src_year_last_published]]-2019,0))/10</f>
        <v>1</v>
      </c>
      <c r="AM361" s="25">
        <f>IF(OR(tblMeasure[[#This Row],[src_discontinuity]]="None",tblMeasure[[#This Row],[src_discontinuity]]=0),1,0)</f>
        <v>1</v>
      </c>
      <c r="AN361" s="25">
        <f>VLOOKUP(tblMeasure[[#This Row],[src_pub_frequency]],strlu_src_pub_frequency,2,FALSE)</f>
        <v>0.8</v>
      </c>
      <c r="AO361" s="25">
        <f>VLOOKUP(tblMeasure[[#This Row],[src_pub_lag_months]],strlu_src_pub_lag_months,2,FALSE)</f>
        <v>0</v>
      </c>
      <c r="AP361" s="25">
        <f>VLOOKUP(tblMeasure[[#This Row],[src_statistic_class]],strlu_src_statistic_class,2,FALSE)</f>
        <v>1</v>
      </c>
      <c r="AQ361" s="25">
        <f>IF(tblMeasure[[#This Row],[src_methodology_url]]="TBD",0,1)</f>
        <v>1</v>
      </c>
      <c r="AR361" s="25">
        <f>IF(tblMeasure[[#This Row],[src_quality_url]]="TBD",0,1)</f>
        <v>1</v>
      </c>
      <c r="AS361" s="85" cm="1">
        <f t="array" ref="AS361">SUMPRODUCT(TRANSPOSE(tblMeasure[[#This Row],[str_msr_population_or_survey]:[str_src_quality_url]]),str_weights)/str_weights_total</f>
        <v>0.89230769230769225</v>
      </c>
    </row>
    <row r="362" spans="1:45" hidden="1" x14ac:dyDescent="0.15">
      <c r="A362" s="30">
        <v>346</v>
      </c>
      <c r="B362" s="15">
        <f>COUNTIF(requirement_measure_map!$D$3:$D$1514,measure!A362)</f>
        <v>2</v>
      </c>
      <c r="C362" s="30" t="s">
        <v>857</v>
      </c>
      <c r="D362" s="15" t="s">
        <v>1207</v>
      </c>
      <c r="E362" s="15">
        <v>315</v>
      </c>
      <c r="F362" s="15" t="s">
        <v>1208</v>
      </c>
      <c r="G362" s="29" t="s">
        <v>1209</v>
      </c>
      <c r="H362" s="15"/>
      <c r="I362" s="15" t="s">
        <v>214</v>
      </c>
      <c r="J362" s="15" t="s">
        <v>215</v>
      </c>
      <c r="K362" s="15" t="s">
        <v>232</v>
      </c>
      <c r="L362" s="15" t="s">
        <v>217</v>
      </c>
      <c r="M362" s="15" t="s">
        <v>219</v>
      </c>
      <c r="N362" s="15" t="s">
        <v>219</v>
      </c>
      <c r="O362" s="15" t="s">
        <v>219</v>
      </c>
      <c r="P362" s="15" t="s">
        <v>219</v>
      </c>
      <c r="Q362" s="15" t="s">
        <v>220</v>
      </c>
      <c r="R362" s="15" t="s">
        <v>219</v>
      </c>
      <c r="S362" s="15" t="s">
        <v>219</v>
      </c>
      <c r="T362" s="15" t="s">
        <v>219</v>
      </c>
      <c r="U362" s="15" t="s">
        <v>219</v>
      </c>
      <c r="V362" s="15" t="s">
        <v>219</v>
      </c>
      <c r="W362" s="15">
        <v>25</v>
      </c>
      <c r="X362" s="15" t="str">
        <f>_xlfn.XLOOKUP(tblMeasure[[#This Row],[id_src]],tblSource[id_src],tblSource[org])</f>
        <v>Ministry of Housing, Communities &amp; Local Government</v>
      </c>
      <c r="Y362" s="15" t="str">
        <f>_xlfn.XLOOKUP(tblMeasure[[#This Row],[id_src]],tblSource[id_src],tblSource[source])</f>
        <v>LA revenue expenditure and financing</v>
      </c>
      <c r="Z362" s="15" t="str">
        <f>_xlfn.XLOOKUP(tblMeasure[[#This Row],[id_src]],tblSource[id_src],tblSource[url_source])</f>
        <v>https://www.gov.uk/government/collections/local-authority-revenue-expenditure-and-financing</v>
      </c>
      <c r="AA362" s="15">
        <f>_xlfn.XLOOKUP(tblMeasure[[#This Row],[id_src]],tblSource[id_src],tblSource[year_first_published])</f>
        <v>2008</v>
      </c>
      <c r="AB362" s="15">
        <f>_xlfn.XLOOKUP(tblMeasure[[#This Row],[id_src]],tblSource[id_src],tblSource[year_last_published])</f>
        <v>2019</v>
      </c>
      <c r="AC362" s="15">
        <f>_xlfn.XLOOKUP(tblMeasure[[#This Row],[id_src]],tblSource[id_src],tblSource[discontinuity])</f>
        <v>0</v>
      </c>
      <c r="AD362" s="15" t="str">
        <f>_xlfn.XLOOKUP(tblMeasure[[#This Row],[id_src]],tblSource[id_src],tblSource[publication_frequency])</f>
        <v>Annual</v>
      </c>
      <c r="AE362" s="15" t="str">
        <f>_xlfn.XLOOKUP(tblMeasure[[#This Row],[id_src]],tblSource[id_src],tblSource[publication_lag_months])</f>
        <v>TBD</v>
      </c>
      <c r="AF362" s="25" t="str">
        <f>_xlfn.XLOOKUP(tblMeasure[[#This Row],[id_src]],tblSource[id_src],tblSource[data_providers])</f>
        <v>Ministry of Housing, Communities &amp; Local Government</v>
      </c>
      <c r="AG362" s="25" t="str">
        <f>_xlfn.XLOOKUP(tblMeasure[[#This Row],[id_src]],tblSource[id_src],tblSource[statistic_class])</f>
        <v>National</v>
      </c>
      <c r="AH362" s="25" t="str">
        <f>_xlfn.XLOOKUP(tblMeasure[[#This Row],[id_src]],tblSource[id_src],tblSource[methodology_link])</f>
        <v>https://assets.publishing.service.gov.uk/government/uploads/system/uploads/attachment_data/file/812505/Local_Authority_Revenue_Expenditure_and_Financing_2019-20_Budget__England.pdf</v>
      </c>
      <c r="AI362" s="25" t="str">
        <f>_xlfn.XLOOKUP(tblMeasure[[#This Row],[id_src]],tblSource[id_src],tblSource[quality_issues])</f>
        <v>https://assets.publishing.service.gov.uk/government/uploads/system/uploads/attachment_data/file/812505/Local_Authority_Revenue_Expenditure_and_Financing_2019-20_Budget__England.pdf</v>
      </c>
      <c r="AJ362" s="25">
        <f>VLOOKUP(tblMeasure[[#This Row],[msr_population_or_survey]],strlu_msr_population_or_survey,2,FALSE)</f>
        <v>1</v>
      </c>
      <c r="AK362" s="25">
        <f>VLOOKUP(tblMeasure[[#This Row],[msr_min_geo_resolution]],strlu_msr_min_geo_resolution,2,FALSE)</f>
        <v>1</v>
      </c>
      <c r="AL362" s="25">
        <f>(MAX(tblMeasure[[#This Row],[src_year_last_published]]-2010+1,0)+MIN(2010-tblMeasure[[#This Row],[src_year_first_published]],0)-MAX(tblMeasure[[#This Row],[src_year_last_published]]-2019,0))/10</f>
        <v>1</v>
      </c>
      <c r="AM362" s="25">
        <f>IF(OR(tblMeasure[[#This Row],[src_discontinuity]]="None",tblMeasure[[#This Row],[src_discontinuity]]=0),1,0)</f>
        <v>1</v>
      </c>
      <c r="AN362" s="25">
        <f>VLOOKUP(tblMeasure[[#This Row],[src_pub_frequency]],strlu_src_pub_frequency,2,FALSE)</f>
        <v>0.8</v>
      </c>
      <c r="AO362" s="25">
        <f>VLOOKUP(tblMeasure[[#This Row],[src_pub_lag_months]],strlu_src_pub_lag_months,2,FALSE)</f>
        <v>0</v>
      </c>
      <c r="AP362" s="25">
        <f>VLOOKUP(tblMeasure[[#This Row],[src_statistic_class]],strlu_src_statistic_class,2,FALSE)</f>
        <v>1</v>
      </c>
      <c r="AQ362" s="25">
        <f>IF(tblMeasure[[#This Row],[src_methodology_url]]="TBD",0,1)</f>
        <v>1</v>
      </c>
      <c r="AR362" s="25">
        <f>IF(tblMeasure[[#This Row],[src_quality_url]]="TBD",0,1)</f>
        <v>1</v>
      </c>
      <c r="AS362" s="85" cm="1">
        <f t="array" ref="AS362">SUMPRODUCT(TRANSPOSE(tblMeasure[[#This Row],[str_msr_population_or_survey]:[str_src_quality_url]]),str_weights)/str_weights_total</f>
        <v>0.89230769230769225</v>
      </c>
    </row>
    <row r="363" spans="1:45" hidden="1" x14ac:dyDescent="0.15">
      <c r="A363" s="30">
        <v>347</v>
      </c>
      <c r="B363" s="15">
        <f>COUNTIF(requirement_measure_map!$D$3:$D$1514,measure!A363)</f>
        <v>2</v>
      </c>
      <c r="C363" s="30" t="s">
        <v>857</v>
      </c>
      <c r="D363" s="15" t="s">
        <v>1207</v>
      </c>
      <c r="E363" s="15">
        <v>323</v>
      </c>
      <c r="F363" s="15" t="s">
        <v>1210</v>
      </c>
      <c r="G363" s="29" t="s">
        <v>1209</v>
      </c>
      <c r="H363" s="15"/>
      <c r="I363" s="15" t="s">
        <v>214</v>
      </c>
      <c r="J363" s="15" t="s">
        <v>215</v>
      </c>
      <c r="K363" s="15" t="s">
        <v>232</v>
      </c>
      <c r="L363" s="15" t="s">
        <v>217</v>
      </c>
      <c r="M363" s="15" t="s">
        <v>219</v>
      </c>
      <c r="N363" s="15" t="s">
        <v>219</v>
      </c>
      <c r="O363" s="15" t="s">
        <v>219</v>
      </c>
      <c r="P363" s="15" t="s">
        <v>219</v>
      </c>
      <c r="Q363" s="15" t="s">
        <v>220</v>
      </c>
      <c r="R363" s="15" t="s">
        <v>219</v>
      </c>
      <c r="S363" s="15" t="s">
        <v>219</v>
      </c>
      <c r="T363" s="15" t="s">
        <v>219</v>
      </c>
      <c r="U363" s="15" t="s">
        <v>219</v>
      </c>
      <c r="V363" s="15" t="s">
        <v>219</v>
      </c>
      <c r="W363" s="15">
        <v>25</v>
      </c>
      <c r="X363" s="15" t="str">
        <f>_xlfn.XLOOKUP(tblMeasure[[#This Row],[id_src]],tblSource[id_src],tblSource[org])</f>
        <v>Ministry of Housing, Communities &amp; Local Government</v>
      </c>
      <c r="Y363" s="15" t="str">
        <f>_xlfn.XLOOKUP(tblMeasure[[#This Row],[id_src]],tblSource[id_src],tblSource[source])</f>
        <v>LA revenue expenditure and financing</v>
      </c>
      <c r="Z363" s="15" t="str">
        <f>_xlfn.XLOOKUP(tblMeasure[[#This Row],[id_src]],tblSource[id_src],tblSource[url_source])</f>
        <v>https://www.gov.uk/government/collections/local-authority-revenue-expenditure-and-financing</v>
      </c>
      <c r="AA363" s="15">
        <f>_xlfn.XLOOKUP(tblMeasure[[#This Row],[id_src]],tblSource[id_src],tblSource[year_first_published])</f>
        <v>2008</v>
      </c>
      <c r="AB363" s="15">
        <f>_xlfn.XLOOKUP(tblMeasure[[#This Row],[id_src]],tblSource[id_src],tblSource[year_last_published])</f>
        <v>2019</v>
      </c>
      <c r="AC363" s="15">
        <f>_xlfn.XLOOKUP(tblMeasure[[#This Row],[id_src]],tblSource[id_src],tblSource[discontinuity])</f>
        <v>0</v>
      </c>
      <c r="AD363" s="15" t="str">
        <f>_xlfn.XLOOKUP(tblMeasure[[#This Row],[id_src]],tblSource[id_src],tblSource[publication_frequency])</f>
        <v>Annual</v>
      </c>
      <c r="AE363" s="15" t="str">
        <f>_xlfn.XLOOKUP(tblMeasure[[#This Row],[id_src]],tblSource[id_src],tblSource[publication_lag_months])</f>
        <v>TBD</v>
      </c>
      <c r="AF363" s="25" t="str">
        <f>_xlfn.XLOOKUP(tblMeasure[[#This Row],[id_src]],tblSource[id_src],tblSource[data_providers])</f>
        <v>Ministry of Housing, Communities &amp; Local Government</v>
      </c>
      <c r="AG363" s="25" t="str">
        <f>_xlfn.XLOOKUP(tblMeasure[[#This Row],[id_src]],tblSource[id_src],tblSource[statistic_class])</f>
        <v>National</v>
      </c>
      <c r="AH363" s="25" t="str">
        <f>_xlfn.XLOOKUP(tblMeasure[[#This Row],[id_src]],tblSource[id_src],tblSource[methodology_link])</f>
        <v>https://assets.publishing.service.gov.uk/government/uploads/system/uploads/attachment_data/file/812505/Local_Authority_Revenue_Expenditure_and_Financing_2019-20_Budget__England.pdf</v>
      </c>
      <c r="AI363" s="25" t="str">
        <f>_xlfn.XLOOKUP(tblMeasure[[#This Row],[id_src]],tblSource[id_src],tblSource[quality_issues])</f>
        <v>https://assets.publishing.service.gov.uk/government/uploads/system/uploads/attachment_data/file/812505/Local_Authority_Revenue_Expenditure_and_Financing_2019-20_Budget__England.pdf</v>
      </c>
      <c r="AJ363" s="25">
        <f>VLOOKUP(tblMeasure[[#This Row],[msr_population_or_survey]],strlu_msr_population_or_survey,2,FALSE)</f>
        <v>1</v>
      </c>
      <c r="AK363" s="25">
        <f>VLOOKUP(tblMeasure[[#This Row],[msr_min_geo_resolution]],strlu_msr_min_geo_resolution,2,FALSE)</f>
        <v>1</v>
      </c>
      <c r="AL363" s="25">
        <f>(MAX(tblMeasure[[#This Row],[src_year_last_published]]-2010+1,0)+MIN(2010-tblMeasure[[#This Row],[src_year_first_published]],0)-MAX(tblMeasure[[#This Row],[src_year_last_published]]-2019,0))/10</f>
        <v>1</v>
      </c>
      <c r="AM363" s="25">
        <f>IF(OR(tblMeasure[[#This Row],[src_discontinuity]]="None",tblMeasure[[#This Row],[src_discontinuity]]=0),1,0)</f>
        <v>1</v>
      </c>
      <c r="AN363" s="25">
        <f>VLOOKUP(tblMeasure[[#This Row],[src_pub_frequency]],strlu_src_pub_frequency,2,FALSE)</f>
        <v>0.8</v>
      </c>
      <c r="AO363" s="25">
        <f>VLOOKUP(tblMeasure[[#This Row],[src_pub_lag_months]],strlu_src_pub_lag_months,2,FALSE)</f>
        <v>0</v>
      </c>
      <c r="AP363" s="25">
        <f>VLOOKUP(tblMeasure[[#This Row],[src_statistic_class]],strlu_src_statistic_class,2,FALSE)</f>
        <v>1</v>
      </c>
      <c r="AQ363" s="25">
        <f>IF(tblMeasure[[#This Row],[src_methodology_url]]="TBD",0,1)</f>
        <v>1</v>
      </c>
      <c r="AR363" s="25">
        <f>IF(tblMeasure[[#This Row],[src_quality_url]]="TBD",0,1)</f>
        <v>1</v>
      </c>
      <c r="AS363" s="85" cm="1">
        <f t="array" ref="AS363">SUMPRODUCT(TRANSPOSE(tblMeasure[[#This Row],[str_msr_population_or_survey]:[str_src_quality_url]]),str_weights)/str_weights_total</f>
        <v>0.89230769230769225</v>
      </c>
    </row>
    <row r="364" spans="1:45" hidden="1" x14ac:dyDescent="0.15">
      <c r="A364" s="30">
        <v>348</v>
      </c>
      <c r="B364" s="15">
        <f>COUNTIF(requirement_measure_map!$D$3:$D$1514,measure!A364)</f>
        <v>2</v>
      </c>
      <c r="C364" s="30" t="s">
        <v>857</v>
      </c>
      <c r="D364" s="15" t="s">
        <v>1207</v>
      </c>
      <c r="E364" s="15">
        <v>330</v>
      </c>
      <c r="F364" s="15" t="s">
        <v>1211</v>
      </c>
      <c r="G364" s="29" t="s">
        <v>1209</v>
      </c>
      <c r="H364" s="15"/>
      <c r="I364" s="15" t="s">
        <v>214</v>
      </c>
      <c r="J364" s="15" t="s">
        <v>215</v>
      </c>
      <c r="K364" s="15" t="s">
        <v>232</v>
      </c>
      <c r="L364" s="15" t="s">
        <v>217</v>
      </c>
      <c r="M364" s="15" t="s">
        <v>219</v>
      </c>
      <c r="N364" s="15" t="s">
        <v>219</v>
      </c>
      <c r="O364" s="15" t="s">
        <v>219</v>
      </c>
      <c r="P364" s="15" t="s">
        <v>219</v>
      </c>
      <c r="Q364" s="15" t="s">
        <v>220</v>
      </c>
      <c r="R364" s="15" t="s">
        <v>219</v>
      </c>
      <c r="S364" s="15" t="s">
        <v>219</v>
      </c>
      <c r="T364" s="15" t="s">
        <v>219</v>
      </c>
      <c r="U364" s="15" t="s">
        <v>219</v>
      </c>
      <c r="V364" s="15" t="s">
        <v>219</v>
      </c>
      <c r="W364" s="15">
        <v>25</v>
      </c>
      <c r="X364" s="15" t="str">
        <f>_xlfn.XLOOKUP(tblMeasure[[#This Row],[id_src]],tblSource[id_src],tblSource[org])</f>
        <v>Ministry of Housing, Communities &amp; Local Government</v>
      </c>
      <c r="Y364" s="15" t="str">
        <f>_xlfn.XLOOKUP(tblMeasure[[#This Row],[id_src]],tblSource[id_src],tblSource[source])</f>
        <v>LA revenue expenditure and financing</v>
      </c>
      <c r="Z364" s="15" t="str">
        <f>_xlfn.XLOOKUP(tblMeasure[[#This Row],[id_src]],tblSource[id_src],tblSource[url_source])</f>
        <v>https://www.gov.uk/government/collections/local-authority-revenue-expenditure-and-financing</v>
      </c>
      <c r="AA364" s="15">
        <f>_xlfn.XLOOKUP(tblMeasure[[#This Row],[id_src]],tblSource[id_src],tblSource[year_first_published])</f>
        <v>2008</v>
      </c>
      <c r="AB364" s="15">
        <f>_xlfn.XLOOKUP(tblMeasure[[#This Row],[id_src]],tblSource[id_src],tblSource[year_last_published])</f>
        <v>2019</v>
      </c>
      <c r="AC364" s="15">
        <f>_xlfn.XLOOKUP(tblMeasure[[#This Row],[id_src]],tblSource[id_src],tblSource[discontinuity])</f>
        <v>0</v>
      </c>
      <c r="AD364" s="15" t="str">
        <f>_xlfn.XLOOKUP(tblMeasure[[#This Row],[id_src]],tblSource[id_src],tblSource[publication_frequency])</f>
        <v>Annual</v>
      </c>
      <c r="AE364" s="15" t="str">
        <f>_xlfn.XLOOKUP(tblMeasure[[#This Row],[id_src]],tblSource[id_src],tblSource[publication_lag_months])</f>
        <v>TBD</v>
      </c>
      <c r="AF364" s="25" t="str">
        <f>_xlfn.XLOOKUP(tblMeasure[[#This Row],[id_src]],tblSource[id_src],tblSource[data_providers])</f>
        <v>Ministry of Housing, Communities &amp; Local Government</v>
      </c>
      <c r="AG364" s="25" t="str">
        <f>_xlfn.XLOOKUP(tblMeasure[[#This Row],[id_src]],tblSource[id_src],tblSource[statistic_class])</f>
        <v>National</v>
      </c>
      <c r="AH364" s="25" t="str">
        <f>_xlfn.XLOOKUP(tblMeasure[[#This Row],[id_src]],tblSource[id_src],tblSource[methodology_link])</f>
        <v>https://assets.publishing.service.gov.uk/government/uploads/system/uploads/attachment_data/file/812505/Local_Authority_Revenue_Expenditure_and_Financing_2019-20_Budget__England.pdf</v>
      </c>
      <c r="AI364" s="25" t="str">
        <f>_xlfn.XLOOKUP(tblMeasure[[#This Row],[id_src]],tblSource[id_src],tblSource[quality_issues])</f>
        <v>https://assets.publishing.service.gov.uk/government/uploads/system/uploads/attachment_data/file/812505/Local_Authority_Revenue_Expenditure_and_Financing_2019-20_Budget__England.pdf</v>
      </c>
      <c r="AJ364" s="25">
        <f>VLOOKUP(tblMeasure[[#This Row],[msr_population_or_survey]],strlu_msr_population_or_survey,2,FALSE)</f>
        <v>1</v>
      </c>
      <c r="AK364" s="25">
        <f>VLOOKUP(tblMeasure[[#This Row],[msr_min_geo_resolution]],strlu_msr_min_geo_resolution,2,FALSE)</f>
        <v>1</v>
      </c>
      <c r="AL364" s="25">
        <f>(MAX(tblMeasure[[#This Row],[src_year_last_published]]-2010+1,0)+MIN(2010-tblMeasure[[#This Row],[src_year_first_published]],0)-MAX(tblMeasure[[#This Row],[src_year_last_published]]-2019,0))/10</f>
        <v>1</v>
      </c>
      <c r="AM364" s="25">
        <f>IF(OR(tblMeasure[[#This Row],[src_discontinuity]]="None",tblMeasure[[#This Row],[src_discontinuity]]=0),1,0)</f>
        <v>1</v>
      </c>
      <c r="AN364" s="25">
        <f>VLOOKUP(tblMeasure[[#This Row],[src_pub_frequency]],strlu_src_pub_frequency,2,FALSE)</f>
        <v>0.8</v>
      </c>
      <c r="AO364" s="25">
        <f>VLOOKUP(tblMeasure[[#This Row],[src_pub_lag_months]],strlu_src_pub_lag_months,2,FALSE)</f>
        <v>0</v>
      </c>
      <c r="AP364" s="25">
        <f>VLOOKUP(tblMeasure[[#This Row],[src_statistic_class]],strlu_src_statistic_class,2,FALSE)</f>
        <v>1</v>
      </c>
      <c r="AQ364" s="25">
        <f>IF(tblMeasure[[#This Row],[src_methodology_url]]="TBD",0,1)</f>
        <v>1</v>
      </c>
      <c r="AR364" s="25">
        <f>IF(tblMeasure[[#This Row],[src_quality_url]]="TBD",0,1)</f>
        <v>1</v>
      </c>
      <c r="AS364" s="85" cm="1">
        <f t="array" ref="AS364">SUMPRODUCT(TRANSPOSE(tblMeasure[[#This Row],[str_msr_population_or_survey]:[str_src_quality_url]]),str_weights)/str_weights_total</f>
        <v>0.89230769230769225</v>
      </c>
    </row>
    <row r="365" spans="1:45" hidden="1" x14ac:dyDescent="0.15">
      <c r="A365" s="30">
        <v>349</v>
      </c>
      <c r="B365" s="15">
        <f>COUNTIF(requirement_measure_map!$D$3:$D$1514,measure!A365)</f>
        <v>1</v>
      </c>
      <c r="C365" s="30" t="s">
        <v>857</v>
      </c>
      <c r="D365" s="15" t="s">
        <v>1212</v>
      </c>
      <c r="E365" s="15" t="s">
        <v>1213</v>
      </c>
      <c r="F365" s="15" t="s">
        <v>1214</v>
      </c>
      <c r="G365" s="29" t="s">
        <v>1215</v>
      </c>
      <c r="H365" s="15"/>
      <c r="I365" s="15" t="s">
        <v>429</v>
      </c>
      <c r="J365" s="15" t="s">
        <v>1216</v>
      </c>
      <c r="K365" s="15" t="s">
        <v>1217</v>
      </c>
      <c r="L365" s="15" t="s">
        <v>1218</v>
      </c>
      <c r="M365" s="15" t="s">
        <v>1219</v>
      </c>
      <c r="N365" s="15" t="s">
        <v>219</v>
      </c>
      <c r="O365" s="15" t="s">
        <v>219</v>
      </c>
      <c r="P365" s="15" t="s">
        <v>219</v>
      </c>
      <c r="Q365" s="15" t="s">
        <v>219</v>
      </c>
      <c r="R365" s="15" t="s">
        <v>220</v>
      </c>
      <c r="S365" s="15" t="s">
        <v>219</v>
      </c>
      <c r="T365" s="15" t="s">
        <v>219</v>
      </c>
      <c r="U365" s="15" t="s">
        <v>219</v>
      </c>
      <c r="V365" s="15" t="s">
        <v>219</v>
      </c>
      <c r="W365" s="15">
        <v>26</v>
      </c>
      <c r="X365" s="15" t="str">
        <f>_xlfn.XLOOKUP(tblMeasure[[#This Row],[id_src]],tblSource[id_src],tblSource[org])</f>
        <v>NatCen Social Research</v>
      </c>
      <c r="Y365" s="15" t="str">
        <f>_xlfn.XLOOKUP(tblMeasure[[#This Row],[id_src]],tblSource[id_src],tblSource[source])</f>
        <v>British Social Attitudes (BSA) survey</v>
      </c>
      <c r="Z365" s="15" t="str">
        <f>_xlfn.XLOOKUP(tblMeasure[[#This Row],[id_src]],tblSource[id_src],tblSource[url_source])</f>
        <v>https://www.kingsfund.org.uk/publications/public-satisfaction-nhs-social-care-2018</v>
      </c>
      <c r="AA365" s="15">
        <f>_xlfn.XLOOKUP(tblMeasure[[#This Row],[id_src]],tblSource[id_src],tblSource[year_first_published])</f>
        <v>2005</v>
      </c>
      <c r="AB365" s="15">
        <f>_xlfn.XLOOKUP(tblMeasure[[#This Row],[id_src]],tblSource[id_src],tblSource[year_last_published])</f>
        <v>2018</v>
      </c>
      <c r="AC365" s="15" t="str">
        <f>_xlfn.XLOOKUP(tblMeasure[[#This Row],[id_src]],tblSource[id_src],tblSource[discontinuity])</f>
        <v>2006, 2011</v>
      </c>
      <c r="AD365" s="15" t="str">
        <f>_xlfn.XLOOKUP(tblMeasure[[#This Row],[id_src]],tblSource[id_src],tblSource[publication_frequency])</f>
        <v>Annual</v>
      </c>
      <c r="AE365" s="15" t="str">
        <f>_xlfn.XLOOKUP(tblMeasure[[#This Row],[id_src]],tblSource[id_src],tblSource[publication_lag_months])</f>
        <v>TBD</v>
      </c>
      <c r="AF365" s="25" t="str">
        <f>_xlfn.XLOOKUP(tblMeasure[[#This Row],[id_src]],tblSource[id_src],tblSource[data_providers])</f>
        <v>NatCen Social Research</v>
      </c>
      <c r="AG365" s="25" t="str">
        <f>_xlfn.XLOOKUP(tblMeasure[[#This Row],[id_src]],tblSource[id_src],tblSource[statistic_class])</f>
        <v>TBD</v>
      </c>
      <c r="AH365" s="25" t="str">
        <f>_xlfn.XLOOKUP(tblMeasure[[#This Row],[id_src]],tblSource[id_src],tblSource[methodology_link])</f>
        <v>https://www.kingsfund.org.uk/publications/public-satisfaction-nhs-social-care-2018#</v>
      </c>
      <c r="AI365" s="25" t="str">
        <f>_xlfn.XLOOKUP(tblMeasure[[#This Row],[id_src]],tblSource[id_src],tblSource[quality_issues])</f>
        <v>https://www.kingsfund.org.uk/sites/default/files/2019-03/Public_satisfaction_with_NHS_social_care_in_2018.pdf</v>
      </c>
      <c r="AJ365" s="25">
        <f>VLOOKUP(tblMeasure[[#This Row],[msr_population_or_survey]],strlu_msr_population_or_survey,2,FALSE)</f>
        <v>0</v>
      </c>
      <c r="AK365" s="25">
        <f>VLOOKUP(tblMeasure[[#This Row],[msr_min_geo_resolution]],strlu_msr_min_geo_resolution,2,FALSE)</f>
        <v>0</v>
      </c>
      <c r="AL365" s="25">
        <f>(MAX(tblMeasure[[#This Row],[src_year_last_published]]-2010+1,0)+MIN(2010-tblMeasure[[#This Row],[src_year_first_published]],0)-MAX(tblMeasure[[#This Row],[src_year_last_published]]-2019,0))/10</f>
        <v>0.9</v>
      </c>
      <c r="AM365" s="25">
        <f>IF(OR(tblMeasure[[#This Row],[src_discontinuity]]="None",tblMeasure[[#This Row],[src_discontinuity]]=0),1,0)</f>
        <v>0</v>
      </c>
      <c r="AN365" s="25">
        <f>VLOOKUP(tblMeasure[[#This Row],[src_pub_frequency]],strlu_src_pub_frequency,2,FALSE)</f>
        <v>0.8</v>
      </c>
      <c r="AO365" s="25">
        <f>VLOOKUP(tblMeasure[[#This Row],[src_pub_lag_months]],strlu_src_pub_lag_months,2,FALSE)</f>
        <v>0</v>
      </c>
      <c r="AP365" s="25">
        <f>VLOOKUP(tblMeasure[[#This Row],[src_statistic_class]],strlu_src_statistic_class,2,FALSE)</f>
        <v>0</v>
      </c>
      <c r="AQ365" s="25">
        <f>IF(tblMeasure[[#This Row],[src_methodology_url]]="TBD",0,1)</f>
        <v>1</v>
      </c>
      <c r="AR365" s="25">
        <f>IF(tblMeasure[[#This Row],[src_quality_url]]="TBD",0,1)</f>
        <v>1</v>
      </c>
      <c r="AS365" s="85" cm="1">
        <f t="array" ref="AS365">SUMPRODUCT(TRANSPOSE(tblMeasure[[#This Row],[str_msr_population_or_survey]:[str_src_quality_url]]),str_weights)/str_weights_total</f>
        <v>0.33846153846153848</v>
      </c>
    </row>
    <row r="366" spans="1:45" hidden="1" x14ac:dyDescent="0.15">
      <c r="A366" s="30">
        <v>350</v>
      </c>
      <c r="B366" s="15">
        <f>COUNTIF(requirement_measure_map!$D$3:$D$1514,measure!A366)</f>
        <v>1</v>
      </c>
      <c r="C366" s="30" t="s">
        <v>857</v>
      </c>
      <c r="D366" s="15" t="s">
        <v>1220</v>
      </c>
      <c r="E366" s="15" t="s">
        <v>1221</v>
      </c>
      <c r="F366" s="15" t="s">
        <v>1222</v>
      </c>
      <c r="G366" s="29" t="s">
        <v>1223</v>
      </c>
      <c r="H366" s="15"/>
      <c r="I366" s="15" t="s">
        <v>429</v>
      </c>
      <c r="J366" s="15" t="s">
        <v>1224</v>
      </c>
      <c r="K366" s="15" t="s">
        <v>1225</v>
      </c>
      <c r="L366" s="15" t="s">
        <v>1226</v>
      </c>
      <c r="M366" s="15" t="s">
        <v>219</v>
      </c>
      <c r="N366" s="15" t="s">
        <v>219</v>
      </c>
      <c r="O366" s="15" t="s">
        <v>219</v>
      </c>
      <c r="P366" s="15" t="s">
        <v>220</v>
      </c>
      <c r="Q366" s="15" t="s">
        <v>219</v>
      </c>
      <c r="R366" s="15" t="s">
        <v>219</v>
      </c>
      <c r="S366" s="15" t="s">
        <v>219</v>
      </c>
      <c r="T366" s="15" t="s">
        <v>219</v>
      </c>
      <c r="U366" s="15" t="s">
        <v>219</v>
      </c>
      <c r="V366" s="15" t="s">
        <v>219</v>
      </c>
      <c r="W366" s="15">
        <v>27</v>
      </c>
      <c r="X366" s="15" t="str">
        <f>_xlfn.XLOOKUP(tblMeasure[[#This Row],[id_src]],tblSource[id_src],tblSource[org])</f>
        <v>Neurological Alliance</v>
      </c>
      <c r="Y366" s="15" t="str">
        <f>_xlfn.XLOOKUP(tblMeasure[[#This Row],[id_src]],tblSource[id_src],tblSource[source])</f>
        <v>Patient experience survey</v>
      </c>
      <c r="Z366" s="15" t="str">
        <f>_xlfn.XLOOKUP(tblMeasure[[#This Row],[id_src]],tblSource[id_src],tblSource[url_source])</f>
        <v>https://www.neural.org.uk/patient-experience-survey/</v>
      </c>
      <c r="AA366" s="15">
        <f>_xlfn.XLOOKUP(tblMeasure[[#This Row],[id_src]],tblSource[id_src],tblSource[year_first_published])</f>
        <v>2014</v>
      </c>
      <c r="AB366" s="15">
        <f>_xlfn.XLOOKUP(tblMeasure[[#This Row],[id_src]],tblSource[id_src],tblSource[year_last_published])</f>
        <v>2019</v>
      </c>
      <c r="AC366" s="15">
        <f>_xlfn.XLOOKUP(tblMeasure[[#This Row],[id_src]],tblSource[id_src],tblSource[discontinuity])</f>
        <v>0</v>
      </c>
      <c r="AD366" s="15" t="str">
        <f>_xlfn.XLOOKUP(tblMeasure[[#This Row],[id_src]],tblSource[id_src],tblSource[publication_frequency])</f>
        <v>Biennial</v>
      </c>
      <c r="AE366" s="15" t="str">
        <f>_xlfn.XLOOKUP(tblMeasure[[#This Row],[id_src]],tblSource[id_src],tblSource[publication_lag_months])</f>
        <v>TBD</v>
      </c>
      <c r="AF366" s="25" t="str">
        <f>_xlfn.XLOOKUP(tblMeasure[[#This Row],[id_src]],tblSource[id_src],tblSource[data_providers])</f>
        <v>Patients of The Neurological Alliance’s member organisations</v>
      </c>
      <c r="AG366" s="25" t="str">
        <f>_xlfn.XLOOKUP(tblMeasure[[#This Row],[id_src]],tblSource[id_src],tblSource[statistic_class])</f>
        <v>TBD</v>
      </c>
      <c r="AH366" s="25" t="str">
        <f>_xlfn.XLOOKUP(tblMeasure[[#This Row],[id_src]],tblSource[id_src],tblSource[methodology_link])</f>
        <v>https://www.neural.org.uk/wp-content/uploads/2019/07/Neuro-Patience-Technical-Report.pdf</v>
      </c>
      <c r="AI366" s="25" t="str">
        <f>_xlfn.XLOOKUP(tblMeasure[[#This Row],[id_src]],tblSource[id_src],tblSource[quality_issues])</f>
        <v>TBD</v>
      </c>
      <c r="AJ366" s="25">
        <f>VLOOKUP(tblMeasure[[#This Row],[msr_population_or_survey]],strlu_msr_population_or_survey,2,FALSE)</f>
        <v>0</v>
      </c>
      <c r="AK366" s="25">
        <f>VLOOKUP(tblMeasure[[#This Row],[msr_min_geo_resolution]],strlu_msr_min_geo_resolution,2,FALSE)</f>
        <v>0.8</v>
      </c>
      <c r="AL366" s="25">
        <f>(MAX(tblMeasure[[#This Row],[src_year_last_published]]-2010+1,0)+MIN(2010-tblMeasure[[#This Row],[src_year_first_published]],0)-MAX(tblMeasure[[#This Row],[src_year_last_published]]-2019,0))/10</f>
        <v>0.6</v>
      </c>
      <c r="AM366" s="25">
        <f>IF(OR(tblMeasure[[#This Row],[src_discontinuity]]="None",tblMeasure[[#This Row],[src_discontinuity]]=0),1,0)</f>
        <v>1</v>
      </c>
      <c r="AN366" s="25">
        <f>VLOOKUP(tblMeasure[[#This Row],[src_pub_frequency]],strlu_src_pub_frequency,2,FALSE)</f>
        <v>0.5</v>
      </c>
      <c r="AO366" s="25">
        <f>VLOOKUP(tblMeasure[[#This Row],[src_pub_lag_months]],strlu_src_pub_lag_months,2,FALSE)</f>
        <v>0</v>
      </c>
      <c r="AP366" s="25">
        <f>VLOOKUP(tblMeasure[[#This Row],[src_statistic_class]],strlu_src_statistic_class,2,FALSE)</f>
        <v>0</v>
      </c>
      <c r="AQ366" s="25">
        <f>IF(tblMeasure[[#This Row],[src_methodology_url]]="TBD",0,1)</f>
        <v>1</v>
      </c>
      <c r="AR366" s="25">
        <f>IF(tblMeasure[[#This Row],[src_quality_url]]="TBD",0,1)</f>
        <v>0</v>
      </c>
      <c r="AS366" s="85" cm="1">
        <f t="array" ref="AS366">SUMPRODUCT(TRANSPOSE(tblMeasure[[#This Row],[str_msr_population_or_survey]:[str_src_quality_url]]),str_weights)/str_weights_total</f>
        <v>0.40769230769230769</v>
      </c>
    </row>
    <row r="367" spans="1:45" hidden="1" x14ac:dyDescent="0.15">
      <c r="A367" s="30">
        <v>351</v>
      </c>
      <c r="B367" s="15">
        <f>COUNTIF(requirement_measure_map!$D$3:$D$1514,measure!A367)</f>
        <v>1</v>
      </c>
      <c r="C367" s="30" t="s">
        <v>857</v>
      </c>
      <c r="D367" s="15" t="s">
        <v>1220</v>
      </c>
      <c r="E367" s="15" t="s">
        <v>1227</v>
      </c>
      <c r="F367" s="15" t="s">
        <v>1228</v>
      </c>
      <c r="G367" s="29" t="s">
        <v>1223</v>
      </c>
      <c r="H367" s="15"/>
      <c r="I367" s="15" t="s">
        <v>429</v>
      </c>
      <c r="J367" s="15" t="s">
        <v>1224</v>
      </c>
      <c r="K367" s="15" t="s">
        <v>1229</v>
      </c>
      <c r="L367" s="15" t="s">
        <v>1226</v>
      </c>
      <c r="M367" s="15" t="s">
        <v>219</v>
      </c>
      <c r="N367" s="15" t="s">
        <v>219</v>
      </c>
      <c r="O367" s="15" t="s">
        <v>219</v>
      </c>
      <c r="P367" s="15" t="s">
        <v>219</v>
      </c>
      <c r="Q367" s="15" t="s">
        <v>219</v>
      </c>
      <c r="R367" s="15" t="s">
        <v>219</v>
      </c>
      <c r="S367" s="15" t="s">
        <v>220</v>
      </c>
      <c r="T367" s="15" t="s">
        <v>219</v>
      </c>
      <c r="U367" s="15" t="s">
        <v>219</v>
      </c>
      <c r="V367" s="15" t="s">
        <v>219</v>
      </c>
      <c r="W367" s="15">
        <v>27</v>
      </c>
      <c r="X367" s="15" t="str">
        <f>_xlfn.XLOOKUP(tblMeasure[[#This Row],[id_src]],tblSource[id_src],tblSource[org])</f>
        <v>Neurological Alliance</v>
      </c>
      <c r="Y367" s="15" t="str">
        <f>_xlfn.XLOOKUP(tblMeasure[[#This Row],[id_src]],tblSource[id_src],tblSource[source])</f>
        <v>Patient experience survey</v>
      </c>
      <c r="Z367" s="15" t="str">
        <f>_xlfn.XLOOKUP(tblMeasure[[#This Row],[id_src]],tblSource[id_src],tblSource[url_source])</f>
        <v>https://www.neural.org.uk/patient-experience-survey/</v>
      </c>
      <c r="AA367" s="15">
        <f>_xlfn.XLOOKUP(tblMeasure[[#This Row],[id_src]],tblSource[id_src],tblSource[year_first_published])</f>
        <v>2014</v>
      </c>
      <c r="AB367" s="15">
        <f>_xlfn.XLOOKUP(tblMeasure[[#This Row],[id_src]],tblSource[id_src],tblSource[year_last_published])</f>
        <v>2019</v>
      </c>
      <c r="AC367" s="15">
        <f>_xlfn.XLOOKUP(tblMeasure[[#This Row],[id_src]],tblSource[id_src],tblSource[discontinuity])</f>
        <v>0</v>
      </c>
      <c r="AD367" s="15" t="str">
        <f>_xlfn.XLOOKUP(tblMeasure[[#This Row],[id_src]],tblSource[id_src],tblSource[publication_frequency])</f>
        <v>Biennial</v>
      </c>
      <c r="AE367" s="15" t="str">
        <f>_xlfn.XLOOKUP(tblMeasure[[#This Row],[id_src]],tblSource[id_src],tblSource[publication_lag_months])</f>
        <v>TBD</v>
      </c>
      <c r="AF367" s="25" t="str">
        <f>_xlfn.XLOOKUP(tblMeasure[[#This Row],[id_src]],tblSource[id_src],tblSource[data_providers])</f>
        <v>Patients of The Neurological Alliance’s member organisations</v>
      </c>
      <c r="AG367" s="25" t="str">
        <f>_xlfn.XLOOKUP(tblMeasure[[#This Row],[id_src]],tblSource[id_src],tblSource[statistic_class])</f>
        <v>TBD</v>
      </c>
      <c r="AH367" s="25" t="str">
        <f>_xlfn.XLOOKUP(tblMeasure[[#This Row],[id_src]],tblSource[id_src],tblSource[methodology_link])</f>
        <v>https://www.neural.org.uk/wp-content/uploads/2019/07/Neuro-Patience-Technical-Report.pdf</v>
      </c>
      <c r="AI367" s="25" t="str">
        <f>_xlfn.XLOOKUP(tblMeasure[[#This Row],[id_src]],tblSource[id_src],tblSource[quality_issues])</f>
        <v>TBD</v>
      </c>
      <c r="AJ367" s="25">
        <f>VLOOKUP(tblMeasure[[#This Row],[msr_population_or_survey]],strlu_msr_population_or_survey,2,FALSE)</f>
        <v>0</v>
      </c>
      <c r="AK367" s="25">
        <f>VLOOKUP(tblMeasure[[#This Row],[msr_min_geo_resolution]],strlu_msr_min_geo_resolution,2,FALSE)</f>
        <v>0.8</v>
      </c>
      <c r="AL367" s="25">
        <f>(MAX(tblMeasure[[#This Row],[src_year_last_published]]-2010+1,0)+MIN(2010-tblMeasure[[#This Row],[src_year_first_published]],0)-MAX(tblMeasure[[#This Row],[src_year_last_published]]-2019,0))/10</f>
        <v>0.6</v>
      </c>
      <c r="AM367" s="25">
        <f>IF(OR(tblMeasure[[#This Row],[src_discontinuity]]="None",tblMeasure[[#This Row],[src_discontinuity]]=0),1,0)</f>
        <v>1</v>
      </c>
      <c r="AN367" s="25">
        <f>VLOOKUP(tblMeasure[[#This Row],[src_pub_frequency]],strlu_src_pub_frequency,2,FALSE)</f>
        <v>0.5</v>
      </c>
      <c r="AO367" s="25">
        <f>VLOOKUP(tblMeasure[[#This Row],[src_pub_lag_months]],strlu_src_pub_lag_months,2,FALSE)</f>
        <v>0</v>
      </c>
      <c r="AP367" s="25">
        <f>VLOOKUP(tblMeasure[[#This Row],[src_statistic_class]],strlu_src_statistic_class,2,FALSE)</f>
        <v>0</v>
      </c>
      <c r="AQ367" s="25">
        <f>IF(tblMeasure[[#This Row],[src_methodology_url]]="TBD",0,1)</f>
        <v>1</v>
      </c>
      <c r="AR367" s="25">
        <f>IF(tblMeasure[[#This Row],[src_quality_url]]="TBD",0,1)</f>
        <v>0</v>
      </c>
      <c r="AS367" s="85" cm="1">
        <f t="array" ref="AS367">SUMPRODUCT(TRANSPOSE(tblMeasure[[#This Row],[str_msr_population_or_survey]:[str_src_quality_url]]),str_weights)/str_weights_total</f>
        <v>0.40769230769230769</v>
      </c>
    </row>
    <row r="368" spans="1:45" hidden="1" x14ac:dyDescent="0.15">
      <c r="A368" s="30">
        <v>352</v>
      </c>
      <c r="B368" s="15">
        <f>COUNTIF(requirement_measure_map!$D$3:$D$1514,measure!A368)</f>
        <v>1</v>
      </c>
      <c r="C368" s="30" t="s">
        <v>857</v>
      </c>
      <c r="D368" s="15" t="s">
        <v>1220</v>
      </c>
      <c r="E368" s="15" t="s">
        <v>1230</v>
      </c>
      <c r="F368" s="15" t="s">
        <v>1231</v>
      </c>
      <c r="G368" s="29" t="s">
        <v>1223</v>
      </c>
      <c r="H368" s="15"/>
      <c r="I368" s="15" t="s">
        <v>429</v>
      </c>
      <c r="J368" s="15" t="s">
        <v>1224</v>
      </c>
      <c r="K368" s="15" t="s">
        <v>1232</v>
      </c>
      <c r="L368" s="15" t="s">
        <v>1226</v>
      </c>
      <c r="M368" s="15" t="s">
        <v>219</v>
      </c>
      <c r="N368" s="15" t="s">
        <v>219</v>
      </c>
      <c r="O368" s="15" t="s">
        <v>219</v>
      </c>
      <c r="P368" s="15" t="s">
        <v>219</v>
      </c>
      <c r="Q368" s="15" t="s">
        <v>219</v>
      </c>
      <c r="R368" s="15" t="s">
        <v>219</v>
      </c>
      <c r="S368" s="15" t="s">
        <v>219</v>
      </c>
      <c r="T368" s="15" t="s">
        <v>219</v>
      </c>
      <c r="U368" s="15" t="s">
        <v>219</v>
      </c>
      <c r="V368" s="15" t="s">
        <v>219</v>
      </c>
      <c r="W368" s="15">
        <v>27</v>
      </c>
      <c r="X368" s="15" t="str">
        <f>_xlfn.XLOOKUP(tblMeasure[[#This Row],[id_src]],tblSource[id_src],tblSource[org])</f>
        <v>Neurological Alliance</v>
      </c>
      <c r="Y368" s="15" t="str">
        <f>_xlfn.XLOOKUP(tblMeasure[[#This Row],[id_src]],tblSource[id_src],tblSource[source])</f>
        <v>Patient experience survey</v>
      </c>
      <c r="Z368" s="15" t="str">
        <f>_xlfn.XLOOKUP(tblMeasure[[#This Row],[id_src]],tblSource[id_src],tblSource[url_source])</f>
        <v>https://www.neural.org.uk/patient-experience-survey/</v>
      </c>
      <c r="AA368" s="15">
        <f>_xlfn.XLOOKUP(tblMeasure[[#This Row],[id_src]],tblSource[id_src],tblSource[year_first_published])</f>
        <v>2014</v>
      </c>
      <c r="AB368" s="15">
        <f>_xlfn.XLOOKUP(tblMeasure[[#This Row],[id_src]],tblSource[id_src],tblSource[year_last_published])</f>
        <v>2019</v>
      </c>
      <c r="AC368" s="15">
        <f>_xlfn.XLOOKUP(tblMeasure[[#This Row],[id_src]],tblSource[id_src],tblSource[discontinuity])</f>
        <v>0</v>
      </c>
      <c r="AD368" s="15" t="str">
        <f>_xlfn.XLOOKUP(tblMeasure[[#This Row],[id_src]],tblSource[id_src],tblSource[publication_frequency])</f>
        <v>Biennial</v>
      </c>
      <c r="AE368" s="15" t="str">
        <f>_xlfn.XLOOKUP(tblMeasure[[#This Row],[id_src]],tblSource[id_src],tblSource[publication_lag_months])</f>
        <v>TBD</v>
      </c>
      <c r="AF368" s="25" t="str">
        <f>_xlfn.XLOOKUP(tblMeasure[[#This Row],[id_src]],tblSource[id_src],tblSource[data_providers])</f>
        <v>Patients of The Neurological Alliance’s member organisations</v>
      </c>
      <c r="AG368" s="25" t="str">
        <f>_xlfn.XLOOKUP(tblMeasure[[#This Row],[id_src]],tblSource[id_src],tblSource[statistic_class])</f>
        <v>TBD</v>
      </c>
      <c r="AH368" s="25" t="str">
        <f>_xlfn.XLOOKUP(tblMeasure[[#This Row],[id_src]],tblSource[id_src],tblSource[methodology_link])</f>
        <v>https://www.neural.org.uk/wp-content/uploads/2019/07/Neuro-Patience-Technical-Report.pdf</v>
      </c>
      <c r="AI368" s="25" t="str">
        <f>_xlfn.XLOOKUP(tblMeasure[[#This Row],[id_src]],tblSource[id_src],tblSource[quality_issues])</f>
        <v>TBD</v>
      </c>
      <c r="AJ368" s="25">
        <f>VLOOKUP(tblMeasure[[#This Row],[msr_population_or_survey]],strlu_msr_population_or_survey,2,FALSE)</f>
        <v>0</v>
      </c>
      <c r="AK368" s="25">
        <f>VLOOKUP(tblMeasure[[#This Row],[msr_min_geo_resolution]],strlu_msr_min_geo_resolution,2,FALSE)</f>
        <v>0.8</v>
      </c>
      <c r="AL368" s="25">
        <f>(MAX(tblMeasure[[#This Row],[src_year_last_published]]-2010+1,0)+MIN(2010-tblMeasure[[#This Row],[src_year_first_published]],0)-MAX(tblMeasure[[#This Row],[src_year_last_published]]-2019,0))/10</f>
        <v>0.6</v>
      </c>
      <c r="AM368" s="25">
        <f>IF(OR(tblMeasure[[#This Row],[src_discontinuity]]="None",tblMeasure[[#This Row],[src_discontinuity]]=0),1,0)</f>
        <v>1</v>
      </c>
      <c r="AN368" s="25">
        <f>VLOOKUP(tblMeasure[[#This Row],[src_pub_frequency]],strlu_src_pub_frequency,2,FALSE)</f>
        <v>0.5</v>
      </c>
      <c r="AO368" s="25">
        <f>VLOOKUP(tblMeasure[[#This Row],[src_pub_lag_months]],strlu_src_pub_lag_months,2,FALSE)</f>
        <v>0</v>
      </c>
      <c r="AP368" s="25">
        <f>VLOOKUP(tblMeasure[[#This Row],[src_statistic_class]],strlu_src_statistic_class,2,FALSE)</f>
        <v>0</v>
      </c>
      <c r="AQ368" s="25">
        <f>IF(tblMeasure[[#This Row],[src_methodology_url]]="TBD",0,1)</f>
        <v>1</v>
      </c>
      <c r="AR368" s="25">
        <f>IF(tblMeasure[[#This Row],[src_quality_url]]="TBD",0,1)</f>
        <v>0</v>
      </c>
      <c r="AS368" s="85" cm="1">
        <f t="array" ref="AS368">SUMPRODUCT(TRANSPOSE(tblMeasure[[#This Row],[str_msr_population_or_survey]:[str_src_quality_url]]),str_weights)/str_weights_total</f>
        <v>0.40769230769230769</v>
      </c>
    </row>
    <row r="369" spans="1:45" hidden="1" x14ac:dyDescent="0.15">
      <c r="A369" s="30">
        <v>353</v>
      </c>
      <c r="B369" s="15">
        <f>COUNTIF(requirement_measure_map!$D$3:$D$1514,measure!A369)</f>
        <v>2</v>
      </c>
      <c r="C369" s="30" t="s">
        <v>857</v>
      </c>
      <c r="D369" s="15" t="s">
        <v>1220</v>
      </c>
      <c r="E369" s="15" t="s">
        <v>1233</v>
      </c>
      <c r="F369" s="15" t="s">
        <v>1234</v>
      </c>
      <c r="G369" s="29" t="s">
        <v>1223</v>
      </c>
      <c r="H369" s="15"/>
      <c r="I369" s="15" t="s">
        <v>429</v>
      </c>
      <c r="J369" s="15" t="s">
        <v>1224</v>
      </c>
      <c r="K369" s="15" t="s">
        <v>1235</v>
      </c>
      <c r="L369" s="15" t="s">
        <v>1226</v>
      </c>
      <c r="M369" s="15" t="s">
        <v>219</v>
      </c>
      <c r="N369" s="15" t="s">
        <v>219</v>
      </c>
      <c r="O369" s="15" t="s">
        <v>219</v>
      </c>
      <c r="P369" s="15" t="s">
        <v>219</v>
      </c>
      <c r="Q369" s="15" t="s">
        <v>219</v>
      </c>
      <c r="R369" s="15" t="s">
        <v>219</v>
      </c>
      <c r="S369" s="15" t="s">
        <v>219</v>
      </c>
      <c r="T369" s="15" t="s">
        <v>220</v>
      </c>
      <c r="U369" s="15" t="s">
        <v>219</v>
      </c>
      <c r="V369" s="15" t="s">
        <v>219</v>
      </c>
      <c r="W369" s="15">
        <v>27</v>
      </c>
      <c r="X369" s="15" t="str">
        <f>_xlfn.XLOOKUP(tblMeasure[[#This Row],[id_src]],tblSource[id_src],tblSource[org])</f>
        <v>Neurological Alliance</v>
      </c>
      <c r="Y369" s="15" t="str">
        <f>_xlfn.XLOOKUP(tblMeasure[[#This Row],[id_src]],tblSource[id_src],tblSource[source])</f>
        <v>Patient experience survey</v>
      </c>
      <c r="Z369" s="15" t="str">
        <f>_xlfn.XLOOKUP(tblMeasure[[#This Row],[id_src]],tblSource[id_src],tblSource[url_source])</f>
        <v>https://www.neural.org.uk/patient-experience-survey/</v>
      </c>
      <c r="AA369" s="15">
        <f>_xlfn.XLOOKUP(tblMeasure[[#This Row],[id_src]],tblSource[id_src],tblSource[year_first_published])</f>
        <v>2014</v>
      </c>
      <c r="AB369" s="15">
        <f>_xlfn.XLOOKUP(tblMeasure[[#This Row],[id_src]],tblSource[id_src],tblSource[year_last_published])</f>
        <v>2019</v>
      </c>
      <c r="AC369" s="15">
        <f>_xlfn.XLOOKUP(tblMeasure[[#This Row],[id_src]],tblSource[id_src],tblSource[discontinuity])</f>
        <v>0</v>
      </c>
      <c r="AD369" s="15" t="str">
        <f>_xlfn.XLOOKUP(tblMeasure[[#This Row],[id_src]],tblSource[id_src],tblSource[publication_frequency])</f>
        <v>Biennial</v>
      </c>
      <c r="AE369" s="15" t="str">
        <f>_xlfn.XLOOKUP(tblMeasure[[#This Row],[id_src]],tblSource[id_src],tblSource[publication_lag_months])</f>
        <v>TBD</v>
      </c>
      <c r="AF369" s="25" t="str">
        <f>_xlfn.XLOOKUP(tblMeasure[[#This Row],[id_src]],tblSource[id_src],tblSource[data_providers])</f>
        <v>Patients of The Neurological Alliance’s member organisations</v>
      </c>
      <c r="AG369" s="25" t="str">
        <f>_xlfn.XLOOKUP(tblMeasure[[#This Row],[id_src]],tblSource[id_src],tblSource[statistic_class])</f>
        <v>TBD</v>
      </c>
      <c r="AH369" s="25" t="str">
        <f>_xlfn.XLOOKUP(tblMeasure[[#This Row],[id_src]],tblSource[id_src],tblSource[methodology_link])</f>
        <v>https://www.neural.org.uk/wp-content/uploads/2019/07/Neuro-Patience-Technical-Report.pdf</v>
      </c>
      <c r="AI369" s="25" t="str">
        <f>_xlfn.XLOOKUP(tblMeasure[[#This Row],[id_src]],tblSource[id_src],tblSource[quality_issues])</f>
        <v>TBD</v>
      </c>
      <c r="AJ369" s="25">
        <f>VLOOKUP(tblMeasure[[#This Row],[msr_population_or_survey]],strlu_msr_population_or_survey,2,FALSE)</f>
        <v>0</v>
      </c>
      <c r="AK369" s="25">
        <f>VLOOKUP(tblMeasure[[#This Row],[msr_min_geo_resolution]],strlu_msr_min_geo_resolution,2,FALSE)</f>
        <v>0.8</v>
      </c>
      <c r="AL369" s="25">
        <f>(MAX(tblMeasure[[#This Row],[src_year_last_published]]-2010+1,0)+MIN(2010-tblMeasure[[#This Row],[src_year_first_published]],0)-MAX(tblMeasure[[#This Row],[src_year_last_published]]-2019,0))/10</f>
        <v>0.6</v>
      </c>
      <c r="AM369" s="25">
        <f>IF(OR(tblMeasure[[#This Row],[src_discontinuity]]="None",tblMeasure[[#This Row],[src_discontinuity]]=0),1,0)</f>
        <v>1</v>
      </c>
      <c r="AN369" s="25">
        <f>VLOOKUP(tblMeasure[[#This Row],[src_pub_frequency]],strlu_src_pub_frequency,2,FALSE)</f>
        <v>0.5</v>
      </c>
      <c r="AO369" s="25">
        <f>VLOOKUP(tblMeasure[[#This Row],[src_pub_lag_months]],strlu_src_pub_lag_months,2,FALSE)</f>
        <v>0</v>
      </c>
      <c r="AP369" s="25">
        <f>VLOOKUP(tblMeasure[[#This Row],[src_statistic_class]],strlu_src_statistic_class,2,FALSE)</f>
        <v>0</v>
      </c>
      <c r="AQ369" s="25">
        <f>IF(tblMeasure[[#This Row],[src_methodology_url]]="TBD",0,1)</f>
        <v>1</v>
      </c>
      <c r="AR369" s="25">
        <f>IF(tblMeasure[[#This Row],[src_quality_url]]="TBD",0,1)</f>
        <v>0</v>
      </c>
      <c r="AS369" s="85" cm="1">
        <f t="array" ref="AS369">SUMPRODUCT(TRANSPOSE(tblMeasure[[#This Row],[str_msr_population_or_survey]:[str_src_quality_url]]),str_weights)/str_weights_total</f>
        <v>0.40769230769230769</v>
      </c>
    </row>
    <row r="370" spans="1:45" hidden="1" x14ac:dyDescent="0.15">
      <c r="A370" s="30">
        <v>354</v>
      </c>
      <c r="B370" s="15">
        <f>COUNTIF(requirement_measure_map!$D$3:$D$1514,measure!A370)</f>
        <v>1</v>
      </c>
      <c r="C370" s="30" t="s">
        <v>857</v>
      </c>
      <c r="D370" s="15" t="s">
        <v>1220</v>
      </c>
      <c r="E370" s="15" t="s">
        <v>1236</v>
      </c>
      <c r="F370" s="15" t="s">
        <v>1237</v>
      </c>
      <c r="G370" s="29" t="s">
        <v>1223</v>
      </c>
      <c r="H370" s="15"/>
      <c r="I370" s="15" t="s">
        <v>429</v>
      </c>
      <c r="J370" s="15" t="s">
        <v>1224</v>
      </c>
      <c r="K370" s="15" t="s">
        <v>1238</v>
      </c>
      <c r="L370" s="15" t="s">
        <v>1226</v>
      </c>
      <c r="M370" s="15" t="s">
        <v>219</v>
      </c>
      <c r="N370" s="15" t="s">
        <v>219</v>
      </c>
      <c r="O370" s="15" t="s">
        <v>219</v>
      </c>
      <c r="P370" s="15" t="s">
        <v>219</v>
      </c>
      <c r="Q370" s="15" t="s">
        <v>219</v>
      </c>
      <c r="R370" s="15" t="s">
        <v>219</v>
      </c>
      <c r="S370" s="15" t="s">
        <v>219</v>
      </c>
      <c r="T370" s="15" t="s">
        <v>219</v>
      </c>
      <c r="U370" s="15" t="s">
        <v>219</v>
      </c>
      <c r="V370" s="15" t="s">
        <v>219</v>
      </c>
      <c r="W370" s="15">
        <v>27</v>
      </c>
      <c r="X370" s="15" t="str">
        <f>_xlfn.XLOOKUP(tblMeasure[[#This Row],[id_src]],tblSource[id_src],tblSource[org])</f>
        <v>Neurological Alliance</v>
      </c>
      <c r="Y370" s="15" t="str">
        <f>_xlfn.XLOOKUP(tblMeasure[[#This Row],[id_src]],tblSource[id_src],tblSource[source])</f>
        <v>Patient experience survey</v>
      </c>
      <c r="Z370" s="15" t="str">
        <f>_xlfn.XLOOKUP(tblMeasure[[#This Row],[id_src]],tblSource[id_src],tblSource[url_source])</f>
        <v>https://www.neural.org.uk/patient-experience-survey/</v>
      </c>
      <c r="AA370" s="15">
        <f>_xlfn.XLOOKUP(tblMeasure[[#This Row],[id_src]],tblSource[id_src],tblSource[year_first_published])</f>
        <v>2014</v>
      </c>
      <c r="AB370" s="15">
        <f>_xlfn.XLOOKUP(tblMeasure[[#This Row],[id_src]],tblSource[id_src],tblSource[year_last_published])</f>
        <v>2019</v>
      </c>
      <c r="AC370" s="15">
        <f>_xlfn.XLOOKUP(tblMeasure[[#This Row],[id_src]],tblSource[id_src],tblSource[discontinuity])</f>
        <v>0</v>
      </c>
      <c r="AD370" s="15" t="str">
        <f>_xlfn.XLOOKUP(tblMeasure[[#This Row],[id_src]],tblSource[id_src],tblSource[publication_frequency])</f>
        <v>Biennial</v>
      </c>
      <c r="AE370" s="15" t="str">
        <f>_xlfn.XLOOKUP(tblMeasure[[#This Row],[id_src]],tblSource[id_src],tblSource[publication_lag_months])</f>
        <v>TBD</v>
      </c>
      <c r="AF370" s="25" t="str">
        <f>_xlfn.XLOOKUP(tblMeasure[[#This Row],[id_src]],tblSource[id_src],tblSource[data_providers])</f>
        <v>Patients of The Neurological Alliance’s member organisations</v>
      </c>
      <c r="AG370" s="25" t="str">
        <f>_xlfn.XLOOKUP(tblMeasure[[#This Row],[id_src]],tblSource[id_src],tblSource[statistic_class])</f>
        <v>TBD</v>
      </c>
      <c r="AH370" s="25" t="str">
        <f>_xlfn.XLOOKUP(tblMeasure[[#This Row],[id_src]],tblSource[id_src],tblSource[methodology_link])</f>
        <v>https://www.neural.org.uk/wp-content/uploads/2019/07/Neuro-Patience-Technical-Report.pdf</v>
      </c>
      <c r="AI370" s="25" t="str">
        <f>_xlfn.XLOOKUP(tblMeasure[[#This Row],[id_src]],tblSource[id_src],tblSource[quality_issues])</f>
        <v>TBD</v>
      </c>
      <c r="AJ370" s="25">
        <f>VLOOKUP(tblMeasure[[#This Row],[msr_population_or_survey]],strlu_msr_population_or_survey,2,FALSE)</f>
        <v>0</v>
      </c>
      <c r="AK370" s="25">
        <f>VLOOKUP(tblMeasure[[#This Row],[msr_min_geo_resolution]],strlu_msr_min_geo_resolution,2,FALSE)</f>
        <v>0.8</v>
      </c>
      <c r="AL370" s="25">
        <f>(MAX(tblMeasure[[#This Row],[src_year_last_published]]-2010+1,0)+MIN(2010-tblMeasure[[#This Row],[src_year_first_published]],0)-MAX(tblMeasure[[#This Row],[src_year_last_published]]-2019,0))/10</f>
        <v>0.6</v>
      </c>
      <c r="AM370" s="25">
        <f>IF(OR(tblMeasure[[#This Row],[src_discontinuity]]="None",tblMeasure[[#This Row],[src_discontinuity]]=0),1,0)</f>
        <v>1</v>
      </c>
      <c r="AN370" s="25">
        <f>VLOOKUP(tblMeasure[[#This Row],[src_pub_frequency]],strlu_src_pub_frequency,2,FALSE)</f>
        <v>0.5</v>
      </c>
      <c r="AO370" s="25">
        <f>VLOOKUP(tblMeasure[[#This Row],[src_pub_lag_months]],strlu_src_pub_lag_months,2,FALSE)</f>
        <v>0</v>
      </c>
      <c r="AP370" s="25">
        <f>VLOOKUP(tblMeasure[[#This Row],[src_statistic_class]],strlu_src_statistic_class,2,FALSE)</f>
        <v>0</v>
      </c>
      <c r="AQ370" s="25">
        <f>IF(tblMeasure[[#This Row],[src_methodology_url]]="TBD",0,1)</f>
        <v>1</v>
      </c>
      <c r="AR370" s="25">
        <f>IF(tblMeasure[[#This Row],[src_quality_url]]="TBD",0,1)</f>
        <v>0</v>
      </c>
      <c r="AS370" s="85" cm="1">
        <f t="array" ref="AS370">SUMPRODUCT(TRANSPOSE(tblMeasure[[#This Row],[str_msr_population_or_survey]:[str_src_quality_url]]),str_weights)/str_weights_total</f>
        <v>0.40769230769230769</v>
      </c>
    </row>
    <row r="371" spans="1:45" hidden="1" x14ac:dyDescent="0.15">
      <c r="A371" s="30">
        <v>355</v>
      </c>
      <c r="B371" s="32">
        <f>COUNTIF(requirement_measure_map!$D$3:$D$1514,measure!A371)</f>
        <v>3</v>
      </c>
      <c r="C371" s="30" t="s">
        <v>1118</v>
      </c>
      <c r="D371" s="15" t="s">
        <v>1239</v>
      </c>
      <c r="E371" s="15" t="s">
        <v>579</v>
      </c>
      <c r="F371" s="15" t="s">
        <v>1240</v>
      </c>
      <c r="G371" s="29" t="s">
        <v>1241</v>
      </c>
      <c r="H371" s="38"/>
      <c r="I371" s="38" t="s">
        <v>429</v>
      </c>
      <c r="J371" s="38" t="s">
        <v>1242</v>
      </c>
      <c r="K371" s="15" t="s">
        <v>1243</v>
      </c>
      <c r="L371" s="15" t="s">
        <v>233</v>
      </c>
      <c r="M371" s="15" t="s">
        <v>220</v>
      </c>
      <c r="N371" s="15" t="s">
        <v>220</v>
      </c>
      <c r="O371" s="15" t="s">
        <v>219</v>
      </c>
      <c r="P371" s="15" t="s">
        <v>219</v>
      </c>
      <c r="Q371" s="15" t="s">
        <v>219</v>
      </c>
      <c r="R371" s="15" t="s">
        <v>219</v>
      </c>
      <c r="S371" s="15" t="s">
        <v>219</v>
      </c>
      <c r="T371" s="15" t="s">
        <v>219</v>
      </c>
      <c r="U371" s="15" t="s">
        <v>219</v>
      </c>
      <c r="V371" s="15" t="s">
        <v>219</v>
      </c>
      <c r="W371" s="15">
        <v>28</v>
      </c>
      <c r="X371" s="15" t="str">
        <f>_xlfn.XLOOKUP(tblMeasure[[#This Row],[id_src]],tblSource[id_src],tblSource[org])</f>
        <v>NHS Digital</v>
      </c>
      <c r="Y371" s="25" t="str">
        <f>_xlfn.XLOOKUP(tblMeasure[[#This Row],[id_src]],tblSource[id_src],tblSource[source])</f>
        <v>Health Survey for England</v>
      </c>
      <c r="Z371" s="25" t="str">
        <f>_xlfn.XLOOKUP(tblMeasure[[#This Row],[id_src]],tblSource[id_src],tblSource[url_source])</f>
        <v>https://digital.nhs.uk/data-and-information/publications/statistical/health-survey-for-england</v>
      </c>
      <c r="AA371" s="25">
        <f>_xlfn.XLOOKUP(tblMeasure[[#This Row],[id_src]],tblSource[id_src],tblSource[year_first_published])</f>
        <v>2004</v>
      </c>
      <c r="AB371" s="25">
        <f>_xlfn.XLOOKUP(tblMeasure[[#This Row],[id_src]],tblSource[id_src],tblSource[year_last_published])</f>
        <v>2018</v>
      </c>
      <c r="AC371" s="25">
        <f>_xlfn.XLOOKUP(tblMeasure[[#This Row],[id_src]],tblSource[id_src],tblSource[discontinuity])</f>
        <v>2009</v>
      </c>
      <c r="AD371" s="25" t="str">
        <f>_xlfn.XLOOKUP(tblMeasure[[#This Row],[id_src]],tblSource[id_src],tblSource[publication_frequency])</f>
        <v>Annual</v>
      </c>
      <c r="AE371" s="15">
        <f>_xlfn.XLOOKUP(tblMeasure[[#This Row],[id_src]],tblSource[id_src],tblSource[publication_lag_months])</f>
        <v>12</v>
      </c>
      <c r="AF371" s="25" t="str">
        <f>_xlfn.XLOOKUP(tblMeasure[[#This Row],[id_src]],tblSource[id_src],tblSource[data_providers])</f>
        <v>NatCen</v>
      </c>
      <c r="AG371" s="25" t="str">
        <f>_xlfn.XLOOKUP(tblMeasure[[#This Row],[id_src]],tblSource[id_src],tblSource[statistic_class])</f>
        <v>National</v>
      </c>
      <c r="AH371" s="25" t="str">
        <f>_xlfn.XLOOKUP(tblMeasure[[#This Row],[id_src]],tblSource[id_src],tblSource[methodology_link])</f>
        <v>https://files.digital.nhs.uk/CA/2393EF/HSE18-Methods-rep.pdf</v>
      </c>
      <c r="AI371" s="25" t="str">
        <f>_xlfn.XLOOKUP(tblMeasure[[#This Row],[id_src]],tblSource[id_src],tblSource[quality_issues])</f>
        <v>https://files.digital.nhs.uk/84/15B76C/HSE18-Data-Quality-v3.pdf</v>
      </c>
      <c r="AJ371" s="25">
        <f>VLOOKUP(tblMeasure[[#This Row],[msr_population_or_survey]],strlu_msr_population_or_survey,2,FALSE)</f>
        <v>0</v>
      </c>
      <c r="AK371" s="25">
        <f>VLOOKUP(tblMeasure[[#This Row],[msr_min_geo_resolution]],strlu_msr_min_geo_resolution,2,FALSE)</f>
        <v>0</v>
      </c>
      <c r="AL371" s="25">
        <f>(MAX(tblMeasure[[#This Row],[src_year_last_published]]-2010+1,0)+MIN(2010-tblMeasure[[#This Row],[src_year_first_published]],0)-MAX(tblMeasure[[#This Row],[src_year_last_published]]-2019,0))/10</f>
        <v>0.9</v>
      </c>
      <c r="AM371" s="25">
        <f>IF(OR(tblMeasure[[#This Row],[src_discontinuity]]="None",tblMeasure[[#This Row],[src_discontinuity]]=0),1,0)</f>
        <v>0</v>
      </c>
      <c r="AN371" s="25">
        <f>VLOOKUP(tblMeasure[[#This Row],[src_pub_frequency]],strlu_src_pub_frequency,2,FALSE)</f>
        <v>0.8</v>
      </c>
      <c r="AO371" s="25">
        <f>VLOOKUP(tblMeasure[[#This Row],[src_pub_lag_months]],strlu_src_pub_lag_months,2,FALSE)</f>
        <v>0</v>
      </c>
      <c r="AP371" s="25">
        <f>VLOOKUP(tblMeasure[[#This Row],[src_statistic_class]],strlu_src_statistic_class,2,FALSE)</f>
        <v>1</v>
      </c>
      <c r="AQ371" s="25">
        <f>IF(tblMeasure[[#This Row],[src_methodology_url]]="TBD",0,1)</f>
        <v>1</v>
      </c>
      <c r="AR371" s="25">
        <f>IF(tblMeasure[[#This Row],[src_quality_url]]="TBD",0,1)</f>
        <v>1</v>
      </c>
      <c r="AS371" s="85" cm="1">
        <f t="array" ref="AS371">SUMPRODUCT(TRANSPOSE(tblMeasure[[#This Row],[str_msr_population_or_survey]:[str_src_quality_url]]),str_weights)/str_weights_total</f>
        <v>0.49230769230769234</v>
      </c>
    </row>
    <row r="372" spans="1:45" hidden="1" x14ac:dyDescent="0.15">
      <c r="A372" s="30">
        <v>356</v>
      </c>
      <c r="B372" s="32">
        <f>COUNTIF(requirement_measure_map!$D$3:$D$1514,measure!A372)</f>
        <v>3</v>
      </c>
      <c r="C372" s="30" t="s">
        <v>1118</v>
      </c>
      <c r="D372" s="15" t="s">
        <v>1239</v>
      </c>
      <c r="E372" s="15" t="s">
        <v>583</v>
      </c>
      <c r="F372" s="15" t="s">
        <v>1244</v>
      </c>
      <c r="G372" s="29" t="s">
        <v>1241</v>
      </c>
      <c r="H372" s="38"/>
      <c r="I372" s="38" t="s">
        <v>429</v>
      </c>
      <c r="J372" s="38" t="s">
        <v>1242</v>
      </c>
      <c r="K372" s="15" t="s">
        <v>1245</v>
      </c>
      <c r="L372" s="15" t="s">
        <v>233</v>
      </c>
      <c r="M372" s="15" t="s">
        <v>220</v>
      </c>
      <c r="N372" s="15" t="s">
        <v>220</v>
      </c>
      <c r="O372" s="15" t="s">
        <v>219</v>
      </c>
      <c r="P372" s="15" t="s">
        <v>219</v>
      </c>
      <c r="Q372" s="15" t="s">
        <v>219</v>
      </c>
      <c r="R372" s="15" t="s">
        <v>219</v>
      </c>
      <c r="S372" s="15" t="s">
        <v>219</v>
      </c>
      <c r="T372" s="15" t="s">
        <v>219</v>
      </c>
      <c r="U372" s="15" t="s">
        <v>219</v>
      </c>
      <c r="V372" s="15" t="s">
        <v>219</v>
      </c>
      <c r="W372" s="15">
        <v>28</v>
      </c>
      <c r="X372" s="15" t="str">
        <f>_xlfn.XLOOKUP(tblMeasure[[#This Row],[id_src]],tblSource[id_src],tblSource[org])</f>
        <v>NHS Digital</v>
      </c>
      <c r="Y372" s="25" t="str">
        <f>_xlfn.XLOOKUP(tblMeasure[[#This Row],[id_src]],tblSource[id_src],tblSource[source])</f>
        <v>Health Survey for England</v>
      </c>
      <c r="Z372" s="25" t="str">
        <f>_xlfn.XLOOKUP(tblMeasure[[#This Row],[id_src]],tblSource[id_src],tblSource[url_source])</f>
        <v>https://digital.nhs.uk/data-and-information/publications/statistical/health-survey-for-england</v>
      </c>
      <c r="AA372" s="25">
        <f>_xlfn.XLOOKUP(tblMeasure[[#This Row],[id_src]],tblSource[id_src],tblSource[year_first_published])</f>
        <v>2004</v>
      </c>
      <c r="AB372" s="25">
        <f>_xlfn.XLOOKUP(tblMeasure[[#This Row],[id_src]],tblSource[id_src],tblSource[year_last_published])</f>
        <v>2018</v>
      </c>
      <c r="AC372" s="25">
        <f>_xlfn.XLOOKUP(tblMeasure[[#This Row],[id_src]],tblSource[id_src],tblSource[discontinuity])</f>
        <v>2009</v>
      </c>
      <c r="AD372" s="25" t="str">
        <f>_xlfn.XLOOKUP(tblMeasure[[#This Row],[id_src]],tblSource[id_src],tblSource[publication_frequency])</f>
        <v>Annual</v>
      </c>
      <c r="AE372" s="15">
        <f>_xlfn.XLOOKUP(tblMeasure[[#This Row],[id_src]],tblSource[id_src],tblSource[publication_lag_months])</f>
        <v>12</v>
      </c>
      <c r="AF372" s="25" t="str">
        <f>_xlfn.XLOOKUP(tblMeasure[[#This Row],[id_src]],tblSource[id_src],tblSource[data_providers])</f>
        <v>NatCen</v>
      </c>
      <c r="AG372" s="25" t="str">
        <f>_xlfn.XLOOKUP(tblMeasure[[#This Row],[id_src]],tblSource[id_src],tblSource[statistic_class])</f>
        <v>National</v>
      </c>
      <c r="AH372" s="25" t="str">
        <f>_xlfn.XLOOKUP(tblMeasure[[#This Row],[id_src]],tblSource[id_src],tblSource[methodology_link])</f>
        <v>https://files.digital.nhs.uk/CA/2393EF/HSE18-Methods-rep.pdf</v>
      </c>
      <c r="AI372" s="25" t="str">
        <f>_xlfn.XLOOKUP(tblMeasure[[#This Row],[id_src]],tblSource[id_src],tblSource[quality_issues])</f>
        <v>https://files.digital.nhs.uk/84/15B76C/HSE18-Data-Quality-v3.pdf</v>
      </c>
      <c r="AJ372" s="25">
        <f>VLOOKUP(tblMeasure[[#This Row],[msr_population_or_survey]],strlu_msr_population_or_survey,2,FALSE)</f>
        <v>0</v>
      </c>
      <c r="AK372" s="25">
        <f>VLOOKUP(tblMeasure[[#This Row],[msr_min_geo_resolution]],strlu_msr_min_geo_resolution,2,FALSE)</f>
        <v>0</v>
      </c>
      <c r="AL372" s="25">
        <f>(MAX(tblMeasure[[#This Row],[src_year_last_published]]-2010+1,0)+MIN(2010-tblMeasure[[#This Row],[src_year_first_published]],0)-MAX(tblMeasure[[#This Row],[src_year_last_published]]-2019,0))/10</f>
        <v>0.9</v>
      </c>
      <c r="AM372" s="25">
        <f>IF(OR(tblMeasure[[#This Row],[src_discontinuity]]="None",tblMeasure[[#This Row],[src_discontinuity]]=0),1,0)</f>
        <v>0</v>
      </c>
      <c r="AN372" s="25">
        <f>VLOOKUP(tblMeasure[[#This Row],[src_pub_frequency]],strlu_src_pub_frequency,2,FALSE)</f>
        <v>0.8</v>
      </c>
      <c r="AO372" s="25">
        <f>VLOOKUP(tblMeasure[[#This Row],[src_pub_lag_months]],strlu_src_pub_lag_months,2,FALSE)</f>
        <v>0</v>
      </c>
      <c r="AP372" s="25">
        <f>VLOOKUP(tblMeasure[[#This Row],[src_statistic_class]],strlu_src_statistic_class,2,FALSE)</f>
        <v>1</v>
      </c>
      <c r="AQ372" s="25">
        <f>IF(tblMeasure[[#This Row],[src_methodology_url]]="TBD",0,1)</f>
        <v>1</v>
      </c>
      <c r="AR372" s="25">
        <f>IF(tblMeasure[[#This Row],[src_quality_url]]="TBD",0,1)</f>
        <v>1</v>
      </c>
      <c r="AS372" s="85" cm="1">
        <f t="array" ref="AS372">SUMPRODUCT(TRANSPOSE(tblMeasure[[#This Row],[str_msr_population_or_survey]:[str_src_quality_url]]),str_weights)/str_weights_total</f>
        <v>0.49230769230769234</v>
      </c>
    </row>
    <row r="373" spans="1:45" hidden="1" x14ac:dyDescent="0.15">
      <c r="A373" s="30">
        <v>357</v>
      </c>
      <c r="B373" s="32">
        <f>COUNTIF(requirement_measure_map!$D$3:$D$1514,measure!A373)</f>
        <v>3</v>
      </c>
      <c r="C373" s="30" t="s">
        <v>1118</v>
      </c>
      <c r="D373" s="15" t="s">
        <v>1239</v>
      </c>
      <c r="E373" s="15" t="s">
        <v>586</v>
      </c>
      <c r="F373" s="15" t="s">
        <v>1246</v>
      </c>
      <c r="G373" s="29" t="s">
        <v>1241</v>
      </c>
      <c r="H373" s="38"/>
      <c r="I373" s="38" t="s">
        <v>429</v>
      </c>
      <c r="J373" s="38" t="s">
        <v>1242</v>
      </c>
      <c r="K373" s="15" t="s">
        <v>1247</v>
      </c>
      <c r="L373" s="15" t="s">
        <v>233</v>
      </c>
      <c r="M373" s="15" t="s">
        <v>220</v>
      </c>
      <c r="N373" s="15" t="s">
        <v>220</v>
      </c>
      <c r="O373" s="15" t="s">
        <v>219</v>
      </c>
      <c r="P373" s="15" t="s">
        <v>219</v>
      </c>
      <c r="Q373" s="15" t="s">
        <v>219</v>
      </c>
      <c r="R373" s="15" t="s">
        <v>219</v>
      </c>
      <c r="S373" s="15" t="s">
        <v>219</v>
      </c>
      <c r="T373" s="15" t="s">
        <v>219</v>
      </c>
      <c r="U373" s="15" t="s">
        <v>219</v>
      </c>
      <c r="V373" s="15" t="s">
        <v>219</v>
      </c>
      <c r="W373" s="15">
        <v>28</v>
      </c>
      <c r="X373" s="15" t="str">
        <f>_xlfn.XLOOKUP(tblMeasure[[#This Row],[id_src]],tblSource[id_src],tblSource[org])</f>
        <v>NHS Digital</v>
      </c>
      <c r="Y373" s="25" t="str">
        <f>_xlfn.XLOOKUP(tblMeasure[[#This Row],[id_src]],tblSource[id_src],tblSource[source])</f>
        <v>Health Survey for England</v>
      </c>
      <c r="Z373" s="25" t="str">
        <f>_xlfn.XLOOKUP(tblMeasure[[#This Row],[id_src]],tblSource[id_src],tblSource[url_source])</f>
        <v>https://digital.nhs.uk/data-and-information/publications/statistical/health-survey-for-england</v>
      </c>
      <c r="AA373" s="25">
        <f>_xlfn.XLOOKUP(tblMeasure[[#This Row],[id_src]],tblSource[id_src],tblSource[year_first_published])</f>
        <v>2004</v>
      </c>
      <c r="AB373" s="25">
        <f>_xlfn.XLOOKUP(tblMeasure[[#This Row],[id_src]],tblSource[id_src],tblSource[year_last_published])</f>
        <v>2018</v>
      </c>
      <c r="AC373" s="25">
        <f>_xlfn.XLOOKUP(tblMeasure[[#This Row],[id_src]],tblSource[id_src],tblSource[discontinuity])</f>
        <v>2009</v>
      </c>
      <c r="AD373" s="25" t="str">
        <f>_xlfn.XLOOKUP(tblMeasure[[#This Row],[id_src]],tblSource[id_src],tblSource[publication_frequency])</f>
        <v>Annual</v>
      </c>
      <c r="AE373" s="15">
        <f>_xlfn.XLOOKUP(tblMeasure[[#This Row],[id_src]],tblSource[id_src],tblSource[publication_lag_months])</f>
        <v>12</v>
      </c>
      <c r="AF373" s="25" t="str">
        <f>_xlfn.XLOOKUP(tblMeasure[[#This Row],[id_src]],tblSource[id_src],tblSource[data_providers])</f>
        <v>NatCen</v>
      </c>
      <c r="AG373" s="25" t="str">
        <f>_xlfn.XLOOKUP(tblMeasure[[#This Row],[id_src]],tblSource[id_src],tblSource[statistic_class])</f>
        <v>National</v>
      </c>
      <c r="AH373" s="25" t="str">
        <f>_xlfn.XLOOKUP(tblMeasure[[#This Row],[id_src]],tblSource[id_src],tblSource[methodology_link])</f>
        <v>https://files.digital.nhs.uk/CA/2393EF/HSE18-Methods-rep.pdf</v>
      </c>
      <c r="AI373" s="25" t="str">
        <f>_xlfn.XLOOKUP(tblMeasure[[#This Row],[id_src]],tblSource[id_src],tblSource[quality_issues])</f>
        <v>https://files.digital.nhs.uk/84/15B76C/HSE18-Data-Quality-v3.pdf</v>
      </c>
      <c r="AJ373" s="25">
        <f>VLOOKUP(tblMeasure[[#This Row],[msr_population_or_survey]],strlu_msr_population_or_survey,2,FALSE)</f>
        <v>0</v>
      </c>
      <c r="AK373" s="25">
        <f>VLOOKUP(tblMeasure[[#This Row],[msr_min_geo_resolution]],strlu_msr_min_geo_resolution,2,FALSE)</f>
        <v>0</v>
      </c>
      <c r="AL373" s="25">
        <f>(MAX(tblMeasure[[#This Row],[src_year_last_published]]-2010+1,0)+MIN(2010-tblMeasure[[#This Row],[src_year_first_published]],0)-MAX(tblMeasure[[#This Row],[src_year_last_published]]-2019,0))/10</f>
        <v>0.9</v>
      </c>
      <c r="AM373" s="25">
        <f>IF(OR(tblMeasure[[#This Row],[src_discontinuity]]="None",tblMeasure[[#This Row],[src_discontinuity]]=0),1,0)</f>
        <v>0</v>
      </c>
      <c r="AN373" s="25">
        <f>VLOOKUP(tblMeasure[[#This Row],[src_pub_frequency]],strlu_src_pub_frequency,2,FALSE)</f>
        <v>0.8</v>
      </c>
      <c r="AO373" s="25">
        <f>VLOOKUP(tblMeasure[[#This Row],[src_pub_lag_months]],strlu_src_pub_lag_months,2,FALSE)</f>
        <v>0</v>
      </c>
      <c r="AP373" s="25">
        <f>VLOOKUP(tblMeasure[[#This Row],[src_statistic_class]],strlu_src_statistic_class,2,FALSE)</f>
        <v>1</v>
      </c>
      <c r="AQ373" s="25">
        <f>IF(tblMeasure[[#This Row],[src_methodology_url]]="TBD",0,1)</f>
        <v>1</v>
      </c>
      <c r="AR373" s="25">
        <f>IF(tblMeasure[[#This Row],[src_quality_url]]="TBD",0,1)</f>
        <v>1</v>
      </c>
      <c r="AS373" s="85" cm="1">
        <f t="array" ref="AS373">SUMPRODUCT(TRANSPOSE(tblMeasure[[#This Row],[str_msr_population_or_survey]:[str_src_quality_url]]),str_weights)/str_weights_total</f>
        <v>0.49230769230769234</v>
      </c>
    </row>
    <row r="374" spans="1:45" hidden="1" x14ac:dyDescent="0.15">
      <c r="A374" s="30">
        <v>358</v>
      </c>
      <c r="B374" s="32">
        <f>COUNTIF(requirement_measure_map!$D$3:$D$1514,measure!A374)</f>
        <v>0</v>
      </c>
      <c r="C374" s="39" t="s">
        <v>847</v>
      </c>
      <c r="D374" s="15" t="s">
        <v>1239</v>
      </c>
      <c r="E374" s="15" t="s">
        <v>589</v>
      </c>
      <c r="F374" s="15" t="s">
        <v>1248</v>
      </c>
      <c r="G374" s="29" t="s">
        <v>1241</v>
      </c>
      <c r="H374" s="38"/>
      <c r="I374" s="38" t="s">
        <v>429</v>
      </c>
      <c r="J374" s="38" t="s">
        <v>1242</v>
      </c>
      <c r="K374" s="15" t="s">
        <v>1247</v>
      </c>
      <c r="L374" s="15" t="s">
        <v>233</v>
      </c>
      <c r="M374" s="15" t="s">
        <v>240</v>
      </c>
      <c r="N374" s="15" t="s">
        <v>220</v>
      </c>
      <c r="O374" s="15" t="s">
        <v>219</v>
      </c>
      <c r="P374" s="15" t="s">
        <v>219</v>
      </c>
      <c r="Q374" s="15" t="s">
        <v>219</v>
      </c>
      <c r="R374" s="15" t="s">
        <v>219</v>
      </c>
      <c r="S374" s="15" t="s">
        <v>219</v>
      </c>
      <c r="T374" s="15" t="s">
        <v>219</v>
      </c>
      <c r="U374" s="15" t="s">
        <v>219</v>
      </c>
      <c r="V374" s="15" t="s">
        <v>219</v>
      </c>
      <c r="W374" s="15">
        <v>28</v>
      </c>
      <c r="X374" s="15" t="str">
        <f>_xlfn.XLOOKUP(tblMeasure[[#This Row],[id_src]],tblSource[id_src],tblSource[org])</f>
        <v>NHS Digital</v>
      </c>
      <c r="Y374" s="25" t="str">
        <f>_xlfn.XLOOKUP(tblMeasure[[#This Row],[id_src]],tblSource[id_src],tblSource[source])</f>
        <v>Health Survey for England</v>
      </c>
      <c r="Z374" s="25" t="str">
        <f>_xlfn.XLOOKUP(tblMeasure[[#This Row],[id_src]],tblSource[id_src],tblSource[url_source])</f>
        <v>https://digital.nhs.uk/data-and-information/publications/statistical/health-survey-for-england</v>
      </c>
      <c r="AA374" s="25">
        <f>_xlfn.XLOOKUP(tblMeasure[[#This Row],[id_src]],tblSource[id_src],tblSource[year_first_published])</f>
        <v>2004</v>
      </c>
      <c r="AB374" s="25">
        <f>_xlfn.XLOOKUP(tblMeasure[[#This Row],[id_src]],tblSource[id_src],tblSource[year_last_published])</f>
        <v>2018</v>
      </c>
      <c r="AC374" s="25">
        <f>_xlfn.XLOOKUP(tblMeasure[[#This Row],[id_src]],tblSource[id_src],tblSource[discontinuity])</f>
        <v>2009</v>
      </c>
      <c r="AD374" s="25" t="str">
        <f>_xlfn.XLOOKUP(tblMeasure[[#This Row],[id_src]],tblSource[id_src],tblSource[publication_frequency])</f>
        <v>Annual</v>
      </c>
      <c r="AE374" s="15">
        <f>_xlfn.XLOOKUP(tblMeasure[[#This Row],[id_src]],tblSource[id_src],tblSource[publication_lag_months])</f>
        <v>12</v>
      </c>
      <c r="AF374" s="25" t="str">
        <f>_xlfn.XLOOKUP(tblMeasure[[#This Row],[id_src]],tblSource[id_src],tblSource[data_providers])</f>
        <v>NatCen</v>
      </c>
      <c r="AG374" s="25" t="str">
        <f>_xlfn.XLOOKUP(tblMeasure[[#This Row],[id_src]],tblSource[id_src],tblSource[statistic_class])</f>
        <v>National</v>
      </c>
      <c r="AH374" s="25" t="str">
        <f>_xlfn.XLOOKUP(tblMeasure[[#This Row],[id_src]],tblSource[id_src],tblSource[methodology_link])</f>
        <v>https://files.digital.nhs.uk/CA/2393EF/HSE18-Methods-rep.pdf</v>
      </c>
      <c r="AI374" s="25" t="str">
        <f>_xlfn.XLOOKUP(tblMeasure[[#This Row],[id_src]],tblSource[id_src],tblSource[quality_issues])</f>
        <v>https://files.digital.nhs.uk/84/15B76C/HSE18-Data-Quality-v3.pdf</v>
      </c>
      <c r="AJ374" s="25">
        <f>VLOOKUP(tblMeasure[[#This Row],[msr_population_or_survey]],strlu_msr_population_or_survey,2,FALSE)</f>
        <v>0</v>
      </c>
      <c r="AK374" s="25">
        <f>VLOOKUP(tblMeasure[[#This Row],[msr_min_geo_resolution]],strlu_msr_min_geo_resolution,2,FALSE)</f>
        <v>0</v>
      </c>
      <c r="AL374" s="25">
        <f>(MAX(tblMeasure[[#This Row],[src_year_last_published]]-2010+1,0)+MIN(2010-tblMeasure[[#This Row],[src_year_first_published]],0)-MAX(tblMeasure[[#This Row],[src_year_last_published]]-2019,0))/10</f>
        <v>0.9</v>
      </c>
      <c r="AM374" s="25">
        <f>IF(OR(tblMeasure[[#This Row],[src_discontinuity]]="None",tblMeasure[[#This Row],[src_discontinuity]]=0),1,0)</f>
        <v>0</v>
      </c>
      <c r="AN374" s="25">
        <f>VLOOKUP(tblMeasure[[#This Row],[src_pub_frequency]],strlu_src_pub_frequency,2,FALSE)</f>
        <v>0.8</v>
      </c>
      <c r="AO374" s="25">
        <f>VLOOKUP(tblMeasure[[#This Row],[src_pub_lag_months]],strlu_src_pub_lag_months,2,FALSE)</f>
        <v>0</v>
      </c>
      <c r="AP374" s="25">
        <f>VLOOKUP(tblMeasure[[#This Row],[src_statistic_class]],strlu_src_statistic_class,2,FALSE)</f>
        <v>1</v>
      </c>
      <c r="AQ374" s="25">
        <f>IF(tblMeasure[[#This Row],[src_methodology_url]]="TBD",0,1)</f>
        <v>1</v>
      </c>
      <c r="AR374" s="25">
        <f>IF(tblMeasure[[#This Row],[src_quality_url]]="TBD",0,1)</f>
        <v>1</v>
      </c>
      <c r="AS374" s="85" cm="1">
        <f t="array" ref="AS374">SUMPRODUCT(TRANSPOSE(tblMeasure[[#This Row],[str_msr_population_or_survey]:[str_src_quality_url]]),str_weights)/str_weights_total</f>
        <v>0.49230769230769234</v>
      </c>
    </row>
    <row r="375" spans="1:45" hidden="1" x14ac:dyDescent="0.15">
      <c r="A375" s="30">
        <v>359</v>
      </c>
      <c r="B375" s="32">
        <f>COUNTIF(requirement_measure_map!$D$3:$D$1514,measure!A375)</f>
        <v>4</v>
      </c>
      <c r="C375" s="30" t="s">
        <v>1118</v>
      </c>
      <c r="D375" s="15" t="s">
        <v>1239</v>
      </c>
      <c r="E375" s="15" t="s">
        <v>592</v>
      </c>
      <c r="F375" s="15" t="s">
        <v>1249</v>
      </c>
      <c r="G375" s="29" t="s">
        <v>1241</v>
      </c>
      <c r="H375" s="38"/>
      <c r="I375" s="38" t="s">
        <v>429</v>
      </c>
      <c r="J375" s="38" t="s">
        <v>1242</v>
      </c>
      <c r="K375" s="15" t="s">
        <v>1250</v>
      </c>
      <c r="L375" s="15" t="s">
        <v>233</v>
      </c>
      <c r="M375" s="15" t="s">
        <v>220</v>
      </c>
      <c r="N375" s="15" t="s">
        <v>220</v>
      </c>
      <c r="O375" s="15" t="s">
        <v>267</v>
      </c>
      <c r="P375" s="15" t="s">
        <v>219</v>
      </c>
      <c r="Q375" s="15" t="s">
        <v>219</v>
      </c>
      <c r="R375" s="15" t="s">
        <v>219</v>
      </c>
      <c r="S375" s="15" t="s">
        <v>219</v>
      </c>
      <c r="T375" s="15" t="s">
        <v>219</v>
      </c>
      <c r="U375" s="15" t="s">
        <v>219</v>
      </c>
      <c r="V375" s="15" t="s">
        <v>219</v>
      </c>
      <c r="W375" s="15">
        <v>28</v>
      </c>
      <c r="X375" s="15" t="str">
        <f>_xlfn.XLOOKUP(tblMeasure[[#This Row],[id_src]],tblSource[id_src],tblSource[org])</f>
        <v>NHS Digital</v>
      </c>
      <c r="Y375" s="25" t="str">
        <f>_xlfn.XLOOKUP(tblMeasure[[#This Row],[id_src]],tblSource[id_src],tblSource[source])</f>
        <v>Health Survey for England</v>
      </c>
      <c r="Z375" s="25" t="str">
        <f>_xlfn.XLOOKUP(tblMeasure[[#This Row],[id_src]],tblSource[id_src],tblSource[url_source])</f>
        <v>https://digital.nhs.uk/data-and-information/publications/statistical/health-survey-for-england</v>
      </c>
      <c r="AA375" s="25">
        <f>_xlfn.XLOOKUP(tblMeasure[[#This Row],[id_src]],tblSource[id_src],tblSource[year_first_published])</f>
        <v>2004</v>
      </c>
      <c r="AB375" s="25">
        <f>_xlfn.XLOOKUP(tblMeasure[[#This Row],[id_src]],tblSource[id_src],tblSource[year_last_published])</f>
        <v>2018</v>
      </c>
      <c r="AC375" s="25">
        <f>_xlfn.XLOOKUP(tblMeasure[[#This Row],[id_src]],tblSource[id_src],tblSource[discontinuity])</f>
        <v>2009</v>
      </c>
      <c r="AD375" s="25" t="str">
        <f>_xlfn.XLOOKUP(tblMeasure[[#This Row],[id_src]],tblSource[id_src],tblSource[publication_frequency])</f>
        <v>Annual</v>
      </c>
      <c r="AE375" s="15">
        <f>_xlfn.XLOOKUP(tblMeasure[[#This Row],[id_src]],tblSource[id_src],tblSource[publication_lag_months])</f>
        <v>12</v>
      </c>
      <c r="AF375" s="25" t="str">
        <f>_xlfn.XLOOKUP(tblMeasure[[#This Row],[id_src]],tblSource[id_src],tblSource[data_providers])</f>
        <v>NatCen</v>
      </c>
      <c r="AG375" s="25" t="str">
        <f>_xlfn.XLOOKUP(tblMeasure[[#This Row],[id_src]],tblSource[id_src],tblSource[statistic_class])</f>
        <v>National</v>
      </c>
      <c r="AH375" s="25" t="str">
        <f>_xlfn.XLOOKUP(tblMeasure[[#This Row],[id_src]],tblSource[id_src],tblSource[methodology_link])</f>
        <v>https://files.digital.nhs.uk/CA/2393EF/HSE18-Methods-rep.pdf</v>
      </c>
      <c r="AI375" s="25" t="str">
        <f>_xlfn.XLOOKUP(tblMeasure[[#This Row],[id_src]],tblSource[id_src],tblSource[quality_issues])</f>
        <v>https://files.digital.nhs.uk/84/15B76C/HSE18-Data-Quality-v3.pdf</v>
      </c>
      <c r="AJ375" s="25">
        <f>VLOOKUP(tblMeasure[[#This Row],[msr_population_or_survey]],strlu_msr_population_or_survey,2,FALSE)</f>
        <v>0</v>
      </c>
      <c r="AK375" s="25">
        <f>VLOOKUP(tblMeasure[[#This Row],[msr_min_geo_resolution]],strlu_msr_min_geo_resolution,2,FALSE)</f>
        <v>0</v>
      </c>
      <c r="AL375" s="25">
        <f>(MAX(tblMeasure[[#This Row],[src_year_last_published]]-2010+1,0)+MIN(2010-tblMeasure[[#This Row],[src_year_first_published]],0)-MAX(tblMeasure[[#This Row],[src_year_last_published]]-2019,0))/10</f>
        <v>0.9</v>
      </c>
      <c r="AM375" s="25">
        <f>IF(OR(tblMeasure[[#This Row],[src_discontinuity]]="None",tblMeasure[[#This Row],[src_discontinuity]]=0),1,0)</f>
        <v>0</v>
      </c>
      <c r="AN375" s="25">
        <f>VLOOKUP(tblMeasure[[#This Row],[src_pub_frequency]],strlu_src_pub_frequency,2,FALSE)</f>
        <v>0.8</v>
      </c>
      <c r="AO375" s="25">
        <f>VLOOKUP(tblMeasure[[#This Row],[src_pub_lag_months]],strlu_src_pub_lag_months,2,FALSE)</f>
        <v>0</v>
      </c>
      <c r="AP375" s="25">
        <f>VLOOKUP(tblMeasure[[#This Row],[src_statistic_class]],strlu_src_statistic_class,2,FALSE)</f>
        <v>1</v>
      </c>
      <c r="AQ375" s="25">
        <f>IF(tblMeasure[[#This Row],[src_methodology_url]]="TBD",0,1)</f>
        <v>1</v>
      </c>
      <c r="AR375" s="25">
        <f>IF(tblMeasure[[#This Row],[src_quality_url]]="TBD",0,1)</f>
        <v>1</v>
      </c>
      <c r="AS375" s="85" cm="1">
        <f t="array" ref="AS375">SUMPRODUCT(TRANSPOSE(tblMeasure[[#This Row],[str_msr_population_or_survey]:[str_src_quality_url]]),str_weights)/str_weights_total</f>
        <v>0.49230769230769234</v>
      </c>
    </row>
    <row r="376" spans="1:45" hidden="1" x14ac:dyDescent="0.15">
      <c r="A376" s="30">
        <v>360</v>
      </c>
      <c r="B376" s="32">
        <f>COUNTIF(requirement_measure_map!$D$3:$D$1514,measure!A376)</f>
        <v>4</v>
      </c>
      <c r="C376" s="30" t="s">
        <v>1118</v>
      </c>
      <c r="D376" s="15" t="s">
        <v>1239</v>
      </c>
      <c r="E376" s="15" t="s">
        <v>595</v>
      </c>
      <c r="F376" s="15" t="s">
        <v>1251</v>
      </c>
      <c r="G376" s="29" t="s">
        <v>1241</v>
      </c>
      <c r="H376" s="38"/>
      <c r="I376" s="38" t="s">
        <v>429</v>
      </c>
      <c r="J376" s="38" t="s">
        <v>1242</v>
      </c>
      <c r="K376" s="15" t="s">
        <v>1252</v>
      </c>
      <c r="L376" s="15" t="s">
        <v>233</v>
      </c>
      <c r="M376" s="15" t="s">
        <v>220</v>
      </c>
      <c r="N376" s="15" t="s">
        <v>220</v>
      </c>
      <c r="O376" s="15" t="s">
        <v>243</v>
      </c>
      <c r="P376" s="15" t="s">
        <v>219</v>
      </c>
      <c r="Q376" s="15" t="s">
        <v>219</v>
      </c>
      <c r="R376" s="15" t="s">
        <v>219</v>
      </c>
      <c r="S376" s="15" t="s">
        <v>219</v>
      </c>
      <c r="T376" s="15" t="s">
        <v>219</v>
      </c>
      <c r="U376" s="15" t="s">
        <v>219</v>
      </c>
      <c r="V376" s="15" t="s">
        <v>219</v>
      </c>
      <c r="W376" s="15">
        <v>28</v>
      </c>
      <c r="X376" s="15" t="str">
        <f>_xlfn.XLOOKUP(tblMeasure[[#This Row],[id_src]],tblSource[id_src],tblSource[org])</f>
        <v>NHS Digital</v>
      </c>
      <c r="Y376" s="25" t="str">
        <f>_xlfn.XLOOKUP(tblMeasure[[#This Row],[id_src]],tblSource[id_src],tblSource[source])</f>
        <v>Health Survey for England</v>
      </c>
      <c r="Z376" s="25" t="str">
        <f>_xlfn.XLOOKUP(tblMeasure[[#This Row],[id_src]],tblSource[id_src],tblSource[url_source])</f>
        <v>https://digital.nhs.uk/data-and-information/publications/statistical/health-survey-for-england</v>
      </c>
      <c r="AA376" s="25">
        <f>_xlfn.XLOOKUP(tblMeasure[[#This Row],[id_src]],tblSource[id_src],tblSource[year_first_published])</f>
        <v>2004</v>
      </c>
      <c r="AB376" s="25">
        <f>_xlfn.XLOOKUP(tblMeasure[[#This Row],[id_src]],tblSource[id_src],tblSource[year_last_published])</f>
        <v>2018</v>
      </c>
      <c r="AC376" s="25">
        <f>_xlfn.XLOOKUP(tblMeasure[[#This Row],[id_src]],tblSource[id_src],tblSource[discontinuity])</f>
        <v>2009</v>
      </c>
      <c r="AD376" s="25" t="str">
        <f>_xlfn.XLOOKUP(tblMeasure[[#This Row],[id_src]],tblSource[id_src],tblSource[publication_frequency])</f>
        <v>Annual</v>
      </c>
      <c r="AE376" s="15">
        <f>_xlfn.XLOOKUP(tblMeasure[[#This Row],[id_src]],tblSource[id_src],tblSource[publication_lag_months])</f>
        <v>12</v>
      </c>
      <c r="AF376" s="25" t="str">
        <f>_xlfn.XLOOKUP(tblMeasure[[#This Row],[id_src]],tblSource[id_src],tblSource[data_providers])</f>
        <v>NatCen</v>
      </c>
      <c r="AG376" s="25" t="str">
        <f>_xlfn.XLOOKUP(tblMeasure[[#This Row],[id_src]],tblSource[id_src],tblSource[statistic_class])</f>
        <v>National</v>
      </c>
      <c r="AH376" s="25" t="str">
        <f>_xlfn.XLOOKUP(tblMeasure[[#This Row],[id_src]],tblSource[id_src],tblSource[methodology_link])</f>
        <v>https://files.digital.nhs.uk/CA/2393EF/HSE18-Methods-rep.pdf</v>
      </c>
      <c r="AI376" s="25" t="str">
        <f>_xlfn.XLOOKUP(tblMeasure[[#This Row],[id_src]],tblSource[id_src],tblSource[quality_issues])</f>
        <v>https://files.digital.nhs.uk/84/15B76C/HSE18-Data-Quality-v3.pdf</v>
      </c>
      <c r="AJ376" s="25">
        <f>VLOOKUP(tblMeasure[[#This Row],[msr_population_or_survey]],strlu_msr_population_or_survey,2,FALSE)</f>
        <v>0</v>
      </c>
      <c r="AK376" s="25">
        <f>VLOOKUP(tblMeasure[[#This Row],[msr_min_geo_resolution]],strlu_msr_min_geo_resolution,2,FALSE)</f>
        <v>0</v>
      </c>
      <c r="AL376" s="25">
        <f>(MAX(tblMeasure[[#This Row],[src_year_last_published]]-2010+1,0)+MIN(2010-tblMeasure[[#This Row],[src_year_first_published]],0)-MAX(tblMeasure[[#This Row],[src_year_last_published]]-2019,0))/10</f>
        <v>0.9</v>
      </c>
      <c r="AM376" s="25">
        <f>IF(OR(tblMeasure[[#This Row],[src_discontinuity]]="None",tblMeasure[[#This Row],[src_discontinuity]]=0),1,0)</f>
        <v>0</v>
      </c>
      <c r="AN376" s="25">
        <f>VLOOKUP(tblMeasure[[#This Row],[src_pub_frequency]],strlu_src_pub_frequency,2,FALSE)</f>
        <v>0.8</v>
      </c>
      <c r="AO376" s="25">
        <f>VLOOKUP(tblMeasure[[#This Row],[src_pub_lag_months]],strlu_src_pub_lag_months,2,FALSE)</f>
        <v>0</v>
      </c>
      <c r="AP376" s="25">
        <f>VLOOKUP(tblMeasure[[#This Row],[src_statistic_class]],strlu_src_statistic_class,2,FALSE)</f>
        <v>1</v>
      </c>
      <c r="AQ376" s="25">
        <f>IF(tblMeasure[[#This Row],[src_methodology_url]]="TBD",0,1)</f>
        <v>1</v>
      </c>
      <c r="AR376" s="25">
        <f>IF(tblMeasure[[#This Row],[src_quality_url]]="TBD",0,1)</f>
        <v>1</v>
      </c>
      <c r="AS376" s="85" cm="1">
        <f t="array" ref="AS376">SUMPRODUCT(TRANSPOSE(tblMeasure[[#This Row],[str_msr_population_or_survey]:[str_src_quality_url]]),str_weights)/str_weights_total</f>
        <v>0.49230769230769234</v>
      </c>
    </row>
    <row r="377" spans="1:45" hidden="1" x14ac:dyDescent="0.15">
      <c r="A377" s="30">
        <v>361</v>
      </c>
      <c r="B377" s="32">
        <f>COUNTIF(requirement_measure_map!$D$3:$D$1514,measure!A377)</f>
        <v>4</v>
      </c>
      <c r="C377" s="30" t="s">
        <v>1118</v>
      </c>
      <c r="D377" s="15" t="s">
        <v>1239</v>
      </c>
      <c r="E377" s="15" t="s">
        <v>598</v>
      </c>
      <c r="F377" s="15" t="s">
        <v>1253</v>
      </c>
      <c r="G377" s="29" t="s">
        <v>1241</v>
      </c>
      <c r="H377" s="38"/>
      <c r="I377" s="38" t="s">
        <v>429</v>
      </c>
      <c r="J377" s="38" t="s">
        <v>1242</v>
      </c>
      <c r="K377" s="15" t="s">
        <v>1254</v>
      </c>
      <c r="L377" s="15" t="s">
        <v>233</v>
      </c>
      <c r="M377" s="15" t="s">
        <v>220</v>
      </c>
      <c r="N377" s="15" t="s">
        <v>219</v>
      </c>
      <c r="O377" s="15" t="s">
        <v>219</v>
      </c>
      <c r="P377" s="15" t="s">
        <v>219</v>
      </c>
      <c r="Q377" s="15" t="s">
        <v>219</v>
      </c>
      <c r="R377" s="15" t="s">
        <v>219</v>
      </c>
      <c r="S377" s="15" t="s">
        <v>219</v>
      </c>
      <c r="T377" s="15" t="s">
        <v>219</v>
      </c>
      <c r="U377" s="15" t="s">
        <v>219</v>
      </c>
      <c r="V377" s="15" t="s">
        <v>219</v>
      </c>
      <c r="W377" s="15">
        <v>28</v>
      </c>
      <c r="X377" s="15" t="str">
        <f>_xlfn.XLOOKUP(tblMeasure[[#This Row],[id_src]],tblSource[id_src],tblSource[org])</f>
        <v>NHS Digital</v>
      </c>
      <c r="Y377" s="25" t="str">
        <f>_xlfn.XLOOKUP(tblMeasure[[#This Row],[id_src]],tblSource[id_src],tblSource[source])</f>
        <v>Health Survey for England</v>
      </c>
      <c r="Z377" s="25" t="str">
        <f>_xlfn.XLOOKUP(tblMeasure[[#This Row],[id_src]],tblSource[id_src],tblSource[url_source])</f>
        <v>https://digital.nhs.uk/data-and-information/publications/statistical/health-survey-for-england</v>
      </c>
      <c r="AA377" s="25">
        <f>_xlfn.XLOOKUP(tblMeasure[[#This Row],[id_src]],tblSource[id_src],tblSource[year_first_published])</f>
        <v>2004</v>
      </c>
      <c r="AB377" s="25">
        <f>_xlfn.XLOOKUP(tblMeasure[[#This Row],[id_src]],tblSource[id_src],tblSource[year_last_published])</f>
        <v>2018</v>
      </c>
      <c r="AC377" s="25">
        <f>_xlfn.XLOOKUP(tblMeasure[[#This Row],[id_src]],tblSource[id_src],tblSource[discontinuity])</f>
        <v>2009</v>
      </c>
      <c r="AD377" s="25" t="str">
        <f>_xlfn.XLOOKUP(tblMeasure[[#This Row],[id_src]],tblSource[id_src],tblSource[publication_frequency])</f>
        <v>Annual</v>
      </c>
      <c r="AE377" s="15">
        <f>_xlfn.XLOOKUP(tblMeasure[[#This Row],[id_src]],tblSource[id_src],tblSource[publication_lag_months])</f>
        <v>12</v>
      </c>
      <c r="AF377" s="25" t="str">
        <f>_xlfn.XLOOKUP(tblMeasure[[#This Row],[id_src]],tblSource[id_src],tblSource[data_providers])</f>
        <v>NatCen</v>
      </c>
      <c r="AG377" s="25" t="str">
        <f>_xlfn.XLOOKUP(tblMeasure[[#This Row],[id_src]],tblSource[id_src],tblSource[statistic_class])</f>
        <v>National</v>
      </c>
      <c r="AH377" s="25" t="str">
        <f>_xlfn.XLOOKUP(tblMeasure[[#This Row],[id_src]],tblSource[id_src],tblSource[methodology_link])</f>
        <v>https://files.digital.nhs.uk/CA/2393EF/HSE18-Methods-rep.pdf</v>
      </c>
      <c r="AI377" s="25" t="str">
        <f>_xlfn.XLOOKUP(tblMeasure[[#This Row],[id_src]],tblSource[id_src],tblSource[quality_issues])</f>
        <v>https://files.digital.nhs.uk/84/15B76C/HSE18-Data-Quality-v3.pdf</v>
      </c>
      <c r="AJ377" s="25">
        <f>VLOOKUP(tblMeasure[[#This Row],[msr_population_or_survey]],strlu_msr_population_or_survey,2,FALSE)</f>
        <v>0</v>
      </c>
      <c r="AK377" s="25">
        <f>VLOOKUP(tblMeasure[[#This Row],[msr_min_geo_resolution]],strlu_msr_min_geo_resolution,2,FALSE)</f>
        <v>0</v>
      </c>
      <c r="AL377" s="25">
        <f>(MAX(tblMeasure[[#This Row],[src_year_last_published]]-2010+1,0)+MIN(2010-tblMeasure[[#This Row],[src_year_first_published]],0)-MAX(tblMeasure[[#This Row],[src_year_last_published]]-2019,0))/10</f>
        <v>0.9</v>
      </c>
      <c r="AM377" s="25">
        <f>IF(OR(tblMeasure[[#This Row],[src_discontinuity]]="None",tblMeasure[[#This Row],[src_discontinuity]]=0),1,0)</f>
        <v>0</v>
      </c>
      <c r="AN377" s="25">
        <f>VLOOKUP(tblMeasure[[#This Row],[src_pub_frequency]],strlu_src_pub_frequency,2,FALSE)</f>
        <v>0.8</v>
      </c>
      <c r="AO377" s="25">
        <f>VLOOKUP(tblMeasure[[#This Row],[src_pub_lag_months]],strlu_src_pub_lag_months,2,FALSE)</f>
        <v>0</v>
      </c>
      <c r="AP377" s="25">
        <f>VLOOKUP(tblMeasure[[#This Row],[src_statistic_class]],strlu_src_statistic_class,2,FALSE)</f>
        <v>1</v>
      </c>
      <c r="AQ377" s="25">
        <f>IF(tblMeasure[[#This Row],[src_methodology_url]]="TBD",0,1)</f>
        <v>1</v>
      </c>
      <c r="AR377" s="25">
        <f>IF(tblMeasure[[#This Row],[src_quality_url]]="TBD",0,1)</f>
        <v>1</v>
      </c>
      <c r="AS377" s="85" cm="1">
        <f t="array" ref="AS377">SUMPRODUCT(TRANSPOSE(tblMeasure[[#This Row],[str_msr_population_or_survey]:[str_src_quality_url]]),str_weights)/str_weights_total</f>
        <v>0.49230769230769234</v>
      </c>
    </row>
    <row r="378" spans="1:45" hidden="1" x14ac:dyDescent="0.15">
      <c r="A378" s="30">
        <v>362</v>
      </c>
      <c r="B378" s="32">
        <f>COUNTIF(requirement_measure_map!$D$3:$D$1514,measure!A378)</f>
        <v>2</v>
      </c>
      <c r="C378" s="30" t="s">
        <v>1118</v>
      </c>
      <c r="D378" s="15" t="s">
        <v>1239</v>
      </c>
      <c r="E378" s="15" t="s">
        <v>601</v>
      </c>
      <c r="F378" s="15" t="s">
        <v>1255</v>
      </c>
      <c r="G378" s="29" t="s">
        <v>1241</v>
      </c>
      <c r="H378" s="38"/>
      <c r="I378" s="38" t="s">
        <v>429</v>
      </c>
      <c r="J378" s="38" t="s">
        <v>1242</v>
      </c>
      <c r="K378" s="15" t="s">
        <v>1256</v>
      </c>
      <c r="L378" s="15" t="s">
        <v>233</v>
      </c>
      <c r="M378" s="15" t="s">
        <v>220</v>
      </c>
      <c r="N378" s="15" t="s">
        <v>219</v>
      </c>
      <c r="O378" s="15" t="s">
        <v>219</v>
      </c>
      <c r="P378" s="15" t="s">
        <v>219</v>
      </c>
      <c r="Q378" s="15" t="s">
        <v>219</v>
      </c>
      <c r="R378" s="15" t="s">
        <v>219</v>
      </c>
      <c r="S378" s="15" t="s">
        <v>219</v>
      </c>
      <c r="T378" s="15" t="s">
        <v>219</v>
      </c>
      <c r="U378" s="15" t="s">
        <v>219</v>
      </c>
      <c r="V378" s="15" t="s">
        <v>219</v>
      </c>
      <c r="W378" s="15">
        <v>28</v>
      </c>
      <c r="X378" s="15" t="str">
        <f>_xlfn.XLOOKUP(tblMeasure[[#This Row],[id_src]],tblSource[id_src],tblSource[org])</f>
        <v>NHS Digital</v>
      </c>
      <c r="Y378" s="25" t="str">
        <f>_xlfn.XLOOKUP(tblMeasure[[#This Row],[id_src]],tblSource[id_src],tblSource[source])</f>
        <v>Health Survey for England</v>
      </c>
      <c r="Z378" s="25" t="str">
        <f>_xlfn.XLOOKUP(tblMeasure[[#This Row],[id_src]],tblSource[id_src],tblSource[url_source])</f>
        <v>https://digital.nhs.uk/data-and-information/publications/statistical/health-survey-for-england</v>
      </c>
      <c r="AA378" s="25">
        <f>_xlfn.XLOOKUP(tblMeasure[[#This Row],[id_src]],tblSource[id_src],tblSource[year_first_published])</f>
        <v>2004</v>
      </c>
      <c r="AB378" s="25">
        <f>_xlfn.XLOOKUP(tblMeasure[[#This Row],[id_src]],tblSource[id_src],tblSource[year_last_published])</f>
        <v>2018</v>
      </c>
      <c r="AC378" s="25">
        <f>_xlfn.XLOOKUP(tblMeasure[[#This Row],[id_src]],tblSource[id_src],tblSource[discontinuity])</f>
        <v>2009</v>
      </c>
      <c r="AD378" s="25" t="str">
        <f>_xlfn.XLOOKUP(tblMeasure[[#This Row],[id_src]],tblSource[id_src],tblSource[publication_frequency])</f>
        <v>Annual</v>
      </c>
      <c r="AE378" s="15">
        <f>_xlfn.XLOOKUP(tblMeasure[[#This Row],[id_src]],tblSource[id_src],tblSource[publication_lag_months])</f>
        <v>12</v>
      </c>
      <c r="AF378" s="25" t="str">
        <f>_xlfn.XLOOKUP(tblMeasure[[#This Row],[id_src]],tblSource[id_src],tblSource[data_providers])</f>
        <v>NatCen</v>
      </c>
      <c r="AG378" s="25" t="str">
        <f>_xlfn.XLOOKUP(tblMeasure[[#This Row],[id_src]],tblSource[id_src],tblSource[statistic_class])</f>
        <v>National</v>
      </c>
      <c r="AH378" s="25" t="str">
        <f>_xlfn.XLOOKUP(tblMeasure[[#This Row],[id_src]],tblSource[id_src],tblSource[methodology_link])</f>
        <v>https://files.digital.nhs.uk/CA/2393EF/HSE18-Methods-rep.pdf</v>
      </c>
      <c r="AI378" s="25" t="str">
        <f>_xlfn.XLOOKUP(tblMeasure[[#This Row],[id_src]],tblSource[id_src],tblSource[quality_issues])</f>
        <v>https://files.digital.nhs.uk/84/15B76C/HSE18-Data-Quality-v3.pdf</v>
      </c>
      <c r="AJ378" s="25">
        <f>VLOOKUP(tblMeasure[[#This Row],[msr_population_or_survey]],strlu_msr_population_or_survey,2,FALSE)</f>
        <v>0</v>
      </c>
      <c r="AK378" s="25">
        <f>VLOOKUP(tblMeasure[[#This Row],[msr_min_geo_resolution]],strlu_msr_min_geo_resolution,2,FALSE)</f>
        <v>0</v>
      </c>
      <c r="AL378" s="25">
        <f>(MAX(tblMeasure[[#This Row],[src_year_last_published]]-2010+1,0)+MIN(2010-tblMeasure[[#This Row],[src_year_first_published]],0)-MAX(tblMeasure[[#This Row],[src_year_last_published]]-2019,0))/10</f>
        <v>0.9</v>
      </c>
      <c r="AM378" s="25">
        <f>IF(OR(tblMeasure[[#This Row],[src_discontinuity]]="None",tblMeasure[[#This Row],[src_discontinuity]]=0),1,0)</f>
        <v>0</v>
      </c>
      <c r="AN378" s="25">
        <f>VLOOKUP(tblMeasure[[#This Row],[src_pub_frequency]],strlu_src_pub_frequency,2,FALSE)</f>
        <v>0.8</v>
      </c>
      <c r="AO378" s="25">
        <f>VLOOKUP(tblMeasure[[#This Row],[src_pub_lag_months]],strlu_src_pub_lag_months,2,FALSE)</f>
        <v>0</v>
      </c>
      <c r="AP378" s="25">
        <f>VLOOKUP(tblMeasure[[#This Row],[src_statistic_class]],strlu_src_statistic_class,2,FALSE)</f>
        <v>1</v>
      </c>
      <c r="AQ378" s="25">
        <f>IF(tblMeasure[[#This Row],[src_methodology_url]]="TBD",0,1)</f>
        <v>1</v>
      </c>
      <c r="AR378" s="25">
        <f>IF(tblMeasure[[#This Row],[src_quality_url]]="TBD",0,1)</f>
        <v>1</v>
      </c>
      <c r="AS378" s="85" cm="1">
        <f t="array" ref="AS378">SUMPRODUCT(TRANSPOSE(tblMeasure[[#This Row],[str_msr_population_or_survey]:[str_src_quality_url]]),str_weights)/str_weights_total</f>
        <v>0.49230769230769234</v>
      </c>
    </row>
    <row r="379" spans="1:45" hidden="1" x14ac:dyDescent="0.15">
      <c r="A379" s="30">
        <v>363</v>
      </c>
      <c r="B379" s="32">
        <f>COUNTIF(requirement_measure_map!$D$3:$D$1514,measure!A379)</f>
        <v>2</v>
      </c>
      <c r="C379" s="30" t="s">
        <v>1118</v>
      </c>
      <c r="D379" s="15" t="s">
        <v>1239</v>
      </c>
      <c r="E379" s="15" t="s">
        <v>604</v>
      </c>
      <c r="F379" s="15" t="s">
        <v>1257</v>
      </c>
      <c r="G379" s="29" t="s">
        <v>1241</v>
      </c>
      <c r="H379" s="38"/>
      <c r="I379" s="38" t="s">
        <v>429</v>
      </c>
      <c r="J379" s="38" t="s">
        <v>1242</v>
      </c>
      <c r="K379" s="15" t="s">
        <v>1258</v>
      </c>
      <c r="L379" s="15" t="s">
        <v>233</v>
      </c>
      <c r="M379" s="15" t="s">
        <v>218</v>
      </c>
      <c r="N379" s="15" t="s">
        <v>219</v>
      </c>
      <c r="O379" s="15" t="s">
        <v>219</v>
      </c>
      <c r="P379" s="15" t="s">
        <v>219</v>
      </c>
      <c r="Q379" s="15" t="s">
        <v>219</v>
      </c>
      <c r="R379" s="15" t="s">
        <v>219</v>
      </c>
      <c r="S379" s="15" t="s">
        <v>219</v>
      </c>
      <c r="T379" s="15" t="s">
        <v>219</v>
      </c>
      <c r="U379" s="15" t="s">
        <v>219</v>
      </c>
      <c r="V379" s="15" t="s">
        <v>219</v>
      </c>
      <c r="W379" s="15">
        <v>28</v>
      </c>
      <c r="X379" s="15" t="str">
        <f>_xlfn.XLOOKUP(tblMeasure[[#This Row],[id_src]],tblSource[id_src],tblSource[org])</f>
        <v>NHS Digital</v>
      </c>
      <c r="Y379" s="25" t="str">
        <f>_xlfn.XLOOKUP(tblMeasure[[#This Row],[id_src]],tblSource[id_src],tblSource[source])</f>
        <v>Health Survey for England</v>
      </c>
      <c r="Z379" s="25" t="str">
        <f>_xlfn.XLOOKUP(tblMeasure[[#This Row],[id_src]],tblSource[id_src],tblSource[url_source])</f>
        <v>https://digital.nhs.uk/data-and-information/publications/statistical/health-survey-for-england</v>
      </c>
      <c r="AA379" s="25">
        <f>_xlfn.XLOOKUP(tblMeasure[[#This Row],[id_src]],tblSource[id_src],tblSource[year_first_published])</f>
        <v>2004</v>
      </c>
      <c r="AB379" s="25">
        <f>_xlfn.XLOOKUP(tblMeasure[[#This Row],[id_src]],tblSource[id_src],tblSource[year_last_published])</f>
        <v>2018</v>
      </c>
      <c r="AC379" s="25">
        <f>_xlfn.XLOOKUP(tblMeasure[[#This Row],[id_src]],tblSource[id_src],tblSource[discontinuity])</f>
        <v>2009</v>
      </c>
      <c r="AD379" s="25" t="str">
        <f>_xlfn.XLOOKUP(tblMeasure[[#This Row],[id_src]],tblSource[id_src],tblSource[publication_frequency])</f>
        <v>Annual</v>
      </c>
      <c r="AE379" s="15">
        <f>_xlfn.XLOOKUP(tblMeasure[[#This Row],[id_src]],tblSource[id_src],tblSource[publication_lag_months])</f>
        <v>12</v>
      </c>
      <c r="AF379" s="25" t="str">
        <f>_xlfn.XLOOKUP(tblMeasure[[#This Row],[id_src]],tblSource[id_src],tblSource[data_providers])</f>
        <v>NatCen</v>
      </c>
      <c r="AG379" s="25" t="str">
        <f>_xlfn.XLOOKUP(tblMeasure[[#This Row],[id_src]],tblSource[id_src],tblSource[statistic_class])</f>
        <v>National</v>
      </c>
      <c r="AH379" s="25" t="str">
        <f>_xlfn.XLOOKUP(tblMeasure[[#This Row],[id_src]],tblSource[id_src],tblSource[methodology_link])</f>
        <v>https://files.digital.nhs.uk/CA/2393EF/HSE18-Methods-rep.pdf</v>
      </c>
      <c r="AI379" s="25" t="str">
        <f>_xlfn.XLOOKUP(tblMeasure[[#This Row],[id_src]],tblSource[id_src],tblSource[quality_issues])</f>
        <v>https://files.digital.nhs.uk/84/15B76C/HSE18-Data-Quality-v3.pdf</v>
      </c>
      <c r="AJ379" s="25">
        <f>VLOOKUP(tblMeasure[[#This Row],[msr_population_or_survey]],strlu_msr_population_or_survey,2,FALSE)</f>
        <v>0</v>
      </c>
      <c r="AK379" s="25">
        <f>VLOOKUP(tblMeasure[[#This Row],[msr_min_geo_resolution]],strlu_msr_min_geo_resolution,2,FALSE)</f>
        <v>0</v>
      </c>
      <c r="AL379" s="25">
        <f>(MAX(tblMeasure[[#This Row],[src_year_last_published]]-2010+1,0)+MIN(2010-tblMeasure[[#This Row],[src_year_first_published]],0)-MAX(tblMeasure[[#This Row],[src_year_last_published]]-2019,0))/10</f>
        <v>0.9</v>
      </c>
      <c r="AM379" s="25">
        <f>IF(OR(tblMeasure[[#This Row],[src_discontinuity]]="None",tblMeasure[[#This Row],[src_discontinuity]]=0),1,0)</f>
        <v>0</v>
      </c>
      <c r="AN379" s="25">
        <f>VLOOKUP(tblMeasure[[#This Row],[src_pub_frequency]],strlu_src_pub_frequency,2,FALSE)</f>
        <v>0.8</v>
      </c>
      <c r="AO379" s="25">
        <f>VLOOKUP(tblMeasure[[#This Row],[src_pub_lag_months]],strlu_src_pub_lag_months,2,FALSE)</f>
        <v>0</v>
      </c>
      <c r="AP379" s="25">
        <f>VLOOKUP(tblMeasure[[#This Row],[src_statistic_class]],strlu_src_statistic_class,2,FALSE)</f>
        <v>1</v>
      </c>
      <c r="AQ379" s="25">
        <f>IF(tblMeasure[[#This Row],[src_methodology_url]]="TBD",0,1)</f>
        <v>1</v>
      </c>
      <c r="AR379" s="25">
        <f>IF(tblMeasure[[#This Row],[src_quality_url]]="TBD",0,1)</f>
        <v>1</v>
      </c>
      <c r="AS379" s="85" cm="1">
        <f t="array" ref="AS379">SUMPRODUCT(TRANSPOSE(tblMeasure[[#This Row],[str_msr_population_or_survey]:[str_src_quality_url]]),str_weights)/str_weights_total</f>
        <v>0.49230769230769234</v>
      </c>
    </row>
    <row r="380" spans="1:45" hidden="1" x14ac:dyDescent="0.15">
      <c r="A380" s="30">
        <v>364</v>
      </c>
      <c r="B380" s="32">
        <f>COUNTIF(requirement_measure_map!$D$3:$D$1514,measure!A380)</f>
        <v>3</v>
      </c>
      <c r="C380" s="30" t="s">
        <v>1259</v>
      </c>
      <c r="D380" s="15" t="s">
        <v>1260</v>
      </c>
      <c r="E380" s="15" t="s">
        <v>1260</v>
      </c>
      <c r="F380" s="15" t="s">
        <v>1261</v>
      </c>
      <c r="G380" s="29" t="s">
        <v>1262</v>
      </c>
      <c r="H380" s="15"/>
      <c r="I380" s="15" t="s">
        <v>214</v>
      </c>
      <c r="J380" s="15" t="s">
        <v>215</v>
      </c>
      <c r="K380" s="15" t="s">
        <v>1263</v>
      </c>
      <c r="L380" s="15" t="s">
        <v>1264</v>
      </c>
      <c r="M380" s="15" t="s">
        <v>219</v>
      </c>
      <c r="N380" s="15" t="s">
        <v>219</v>
      </c>
      <c r="O380" s="15" t="s">
        <v>219</v>
      </c>
      <c r="P380" s="15" t="s">
        <v>219</v>
      </c>
      <c r="Q380" s="15" t="s">
        <v>219</v>
      </c>
      <c r="R380" s="15" t="s">
        <v>219</v>
      </c>
      <c r="S380" s="15" t="s">
        <v>219</v>
      </c>
      <c r="T380" s="15" t="s">
        <v>219</v>
      </c>
      <c r="U380" s="15" t="s">
        <v>219</v>
      </c>
      <c r="V380" s="15" t="s">
        <v>219</v>
      </c>
      <c r="W380" s="15">
        <v>29</v>
      </c>
      <c r="X380" s="15" t="str">
        <f>_xlfn.XLOOKUP(tblMeasure[[#This Row],[id_src]],tblSource[id_src],tblSource[org])</f>
        <v>NHS England</v>
      </c>
      <c r="Y380" s="25" t="str">
        <f>_xlfn.XLOOKUP(tblMeasure[[#This Row],[id_src]],tblSource[id_src],tblSource[source])</f>
        <v>Better Care Fund: Data Collection and Performance Report</v>
      </c>
      <c r="Z380" s="25" t="str">
        <f>_xlfn.XLOOKUP(tblMeasure[[#This Row],[id_src]],tblSource[id_src],tblSource[url_source])</f>
        <v>https://www.england.nhs.uk/publication/better-care-fund-quarterly-performance-report-2018-19/</v>
      </c>
      <c r="AA380" s="25">
        <f>_xlfn.XLOOKUP(tblMeasure[[#This Row],[id_src]],tblSource[id_src],tblSource[year_first_published])</f>
        <v>2015</v>
      </c>
      <c r="AB380" s="25">
        <f>_xlfn.XLOOKUP(tblMeasure[[#This Row],[id_src]],tblSource[id_src],tblSource[year_last_published])</f>
        <v>2018</v>
      </c>
      <c r="AC380" s="25">
        <f>_xlfn.XLOOKUP(tblMeasure[[#This Row],[id_src]],tblSource[id_src],tblSource[discontinuity])</f>
        <v>0</v>
      </c>
      <c r="AD380" s="25" t="str">
        <f>_xlfn.XLOOKUP(tblMeasure[[#This Row],[id_src]],tblSource[id_src],tblSource[publication_frequency])</f>
        <v>Quarterly</v>
      </c>
      <c r="AE380" s="15">
        <f>_xlfn.XLOOKUP(tblMeasure[[#This Row],[id_src]],tblSource[id_src],tblSource[publication_lag_months])</f>
        <v>7</v>
      </c>
      <c r="AF380" s="25" t="str">
        <f>_xlfn.XLOOKUP(tblMeasure[[#This Row],[id_src]],tblSource[id_src],tblSource[data_providers])</f>
        <v>DHSC, MHCLG, NHS England, LGA, NHS Digital</v>
      </c>
      <c r="AG380" s="25" t="str">
        <f>_xlfn.XLOOKUP(tblMeasure[[#This Row],[id_src]],tblSource[id_src],tblSource[statistic_class])</f>
        <v>Management Information</v>
      </c>
      <c r="AH380" s="25" t="str">
        <f>_xlfn.XLOOKUP(tblMeasure[[#This Row],[id_src]],tblSource[id_src],tblSource[methodology_link])</f>
        <v>TBD</v>
      </c>
      <c r="AI380" s="25" t="str">
        <f>_xlfn.XLOOKUP(tblMeasure[[#This Row],[id_src]],tblSource[id_src],tblSource[quality_issues])</f>
        <v>TBD</v>
      </c>
      <c r="AJ380" s="25">
        <f>VLOOKUP(tblMeasure[[#This Row],[msr_population_or_survey]],strlu_msr_population_or_survey,2,FALSE)</f>
        <v>1</v>
      </c>
      <c r="AK380" s="25">
        <f>VLOOKUP(tblMeasure[[#This Row],[msr_min_geo_resolution]],strlu_msr_min_geo_resolution,2,FALSE)</f>
        <v>1</v>
      </c>
      <c r="AL380" s="25">
        <f>(MAX(tblMeasure[[#This Row],[src_year_last_published]]-2010+1,0)+MIN(2010-tblMeasure[[#This Row],[src_year_first_published]],0)-MAX(tblMeasure[[#This Row],[src_year_last_published]]-2019,0))/10</f>
        <v>0.4</v>
      </c>
      <c r="AM380" s="25">
        <f>IF(OR(tblMeasure[[#This Row],[src_discontinuity]]="None",tblMeasure[[#This Row],[src_discontinuity]]=0),1,0)</f>
        <v>1</v>
      </c>
      <c r="AN380" s="25">
        <f>VLOOKUP(tblMeasure[[#This Row],[src_pub_frequency]],strlu_src_pub_frequency,2,FALSE)</f>
        <v>0.9</v>
      </c>
      <c r="AO380" s="25">
        <f>VLOOKUP(tblMeasure[[#This Row],[src_pub_lag_months]],strlu_src_pub_lag_months,2,FALSE)</f>
        <v>0.3</v>
      </c>
      <c r="AP380" s="25">
        <f>VLOOKUP(tblMeasure[[#This Row],[src_statistic_class]],strlu_src_statistic_class,2,FALSE)</f>
        <v>0.8</v>
      </c>
      <c r="AQ380" s="25">
        <f>IF(tblMeasure[[#This Row],[src_methodology_url]]="TBD",0,1)</f>
        <v>0</v>
      </c>
      <c r="AR380" s="25">
        <f>IF(tblMeasure[[#This Row],[src_quality_url]]="TBD",0,1)</f>
        <v>0</v>
      </c>
      <c r="AS380" s="85" cm="1">
        <f t="array" ref="AS380">SUMPRODUCT(TRANSPOSE(tblMeasure[[#This Row],[str_msr_population_or_survey]:[str_src_quality_url]]),str_weights)/str_weights_total</f>
        <v>0.73076923076923073</v>
      </c>
    </row>
    <row r="381" spans="1:45" hidden="1" x14ac:dyDescent="0.15">
      <c r="A381" s="30">
        <v>365</v>
      </c>
      <c r="B381" s="32">
        <f>COUNTIF(requirement_measure_map!$D$3:$D$1514,measure!A381)</f>
        <v>2</v>
      </c>
      <c r="C381" s="30" t="s">
        <v>1259</v>
      </c>
      <c r="D381" s="15" t="s">
        <v>1265</v>
      </c>
      <c r="E381" s="15" t="s">
        <v>1265</v>
      </c>
      <c r="F381" s="15" t="s">
        <v>1266</v>
      </c>
      <c r="G381" s="29" t="s">
        <v>1262</v>
      </c>
      <c r="H381" s="15"/>
      <c r="I381" s="15" t="s">
        <v>214</v>
      </c>
      <c r="J381" s="15" t="s">
        <v>215</v>
      </c>
      <c r="K381" s="15" t="s">
        <v>1267</v>
      </c>
      <c r="L381" s="15" t="s">
        <v>1264</v>
      </c>
      <c r="M381" s="15" t="s">
        <v>219</v>
      </c>
      <c r="N381" s="15" t="s">
        <v>219</v>
      </c>
      <c r="O381" s="15" t="s">
        <v>219</v>
      </c>
      <c r="P381" s="15" t="s">
        <v>219</v>
      </c>
      <c r="Q381" s="15" t="s">
        <v>219</v>
      </c>
      <c r="R381" s="15" t="s">
        <v>219</v>
      </c>
      <c r="S381" s="15" t="s">
        <v>219</v>
      </c>
      <c r="T381" s="15" t="s">
        <v>219</v>
      </c>
      <c r="U381" s="15" t="s">
        <v>219</v>
      </c>
      <c r="V381" s="15" t="s">
        <v>219</v>
      </c>
      <c r="W381" s="15">
        <v>29</v>
      </c>
      <c r="X381" s="15" t="str">
        <f>_xlfn.XLOOKUP(tblMeasure[[#This Row],[id_src]],tblSource[id_src],tblSource[org])</f>
        <v>NHS England</v>
      </c>
      <c r="Y381" s="25" t="str">
        <f>_xlfn.XLOOKUP(tblMeasure[[#This Row],[id_src]],tblSource[id_src],tblSource[source])</f>
        <v>Better Care Fund: Data Collection and Performance Report</v>
      </c>
      <c r="Z381" s="25" t="str">
        <f>_xlfn.XLOOKUP(tblMeasure[[#This Row],[id_src]],tblSource[id_src],tblSource[url_source])</f>
        <v>https://www.england.nhs.uk/publication/better-care-fund-quarterly-performance-report-2018-19/</v>
      </c>
      <c r="AA381" s="25">
        <f>_xlfn.XLOOKUP(tblMeasure[[#This Row],[id_src]],tblSource[id_src],tblSource[year_first_published])</f>
        <v>2015</v>
      </c>
      <c r="AB381" s="25">
        <f>_xlfn.XLOOKUP(tblMeasure[[#This Row],[id_src]],tblSource[id_src],tblSource[year_last_published])</f>
        <v>2018</v>
      </c>
      <c r="AC381" s="25">
        <f>_xlfn.XLOOKUP(tblMeasure[[#This Row],[id_src]],tblSource[id_src],tblSource[discontinuity])</f>
        <v>0</v>
      </c>
      <c r="AD381" s="25" t="str">
        <f>_xlfn.XLOOKUP(tblMeasure[[#This Row],[id_src]],tblSource[id_src],tblSource[publication_frequency])</f>
        <v>Quarterly</v>
      </c>
      <c r="AE381" s="15">
        <f>_xlfn.XLOOKUP(tblMeasure[[#This Row],[id_src]],tblSource[id_src],tblSource[publication_lag_months])</f>
        <v>7</v>
      </c>
      <c r="AF381" s="25" t="str">
        <f>_xlfn.XLOOKUP(tblMeasure[[#This Row],[id_src]],tblSource[id_src],tblSource[data_providers])</f>
        <v>DHSC, MHCLG, NHS England, LGA, NHS Digital</v>
      </c>
      <c r="AG381" s="25" t="str">
        <f>_xlfn.XLOOKUP(tblMeasure[[#This Row],[id_src]],tblSource[id_src],tblSource[statistic_class])</f>
        <v>Management Information</v>
      </c>
      <c r="AH381" s="25" t="str">
        <f>_xlfn.XLOOKUP(tblMeasure[[#This Row],[id_src]],tblSource[id_src],tblSource[methodology_link])</f>
        <v>TBD</v>
      </c>
      <c r="AI381" s="25" t="str">
        <f>_xlfn.XLOOKUP(tblMeasure[[#This Row],[id_src]],tblSource[id_src],tblSource[quality_issues])</f>
        <v>TBD</v>
      </c>
      <c r="AJ381" s="25">
        <f>VLOOKUP(tblMeasure[[#This Row],[msr_population_or_survey]],strlu_msr_population_or_survey,2,FALSE)</f>
        <v>1</v>
      </c>
      <c r="AK381" s="25">
        <f>VLOOKUP(tblMeasure[[#This Row],[msr_min_geo_resolution]],strlu_msr_min_geo_resolution,2,FALSE)</f>
        <v>1</v>
      </c>
      <c r="AL381" s="25">
        <f>(MAX(tblMeasure[[#This Row],[src_year_last_published]]-2010+1,0)+MIN(2010-tblMeasure[[#This Row],[src_year_first_published]],0)-MAX(tblMeasure[[#This Row],[src_year_last_published]]-2019,0))/10</f>
        <v>0.4</v>
      </c>
      <c r="AM381" s="25">
        <f>IF(OR(tblMeasure[[#This Row],[src_discontinuity]]="None",tblMeasure[[#This Row],[src_discontinuity]]=0),1,0)</f>
        <v>1</v>
      </c>
      <c r="AN381" s="25">
        <f>VLOOKUP(tblMeasure[[#This Row],[src_pub_frequency]],strlu_src_pub_frequency,2,FALSE)</f>
        <v>0.9</v>
      </c>
      <c r="AO381" s="25">
        <f>VLOOKUP(tblMeasure[[#This Row],[src_pub_lag_months]],strlu_src_pub_lag_months,2,FALSE)</f>
        <v>0.3</v>
      </c>
      <c r="AP381" s="25">
        <f>VLOOKUP(tblMeasure[[#This Row],[src_statistic_class]],strlu_src_statistic_class,2,FALSE)</f>
        <v>0.8</v>
      </c>
      <c r="AQ381" s="25">
        <f>IF(tblMeasure[[#This Row],[src_methodology_url]]="TBD",0,1)</f>
        <v>0</v>
      </c>
      <c r="AR381" s="25">
        <f>IF(tblMeasure[[#This Row],[src_quality_url]]="TBD",0,1)</f>
        <v>0</v>
      </c>
      <c r="AS381" s="85" cm="1">
        <f t="array" ref="AS381">SUMPRODUCT(TRANSPOSE(tblMeasure[[#This Row],[str_msr_population_or_survey]:[str_src_quality_url]]),str_weights)/str_weights_total</f>
        <v>0.73076923076923073</v>
      </c>
    </row>
    <row r="382" spans="1:45" hidden="1" x14ac:dyDescent="0.15">
      <c r="A382" s="30">
        <v>366</v>
      </c>
      <c r="B382" s="32">
        <f>COUNTIF(requirement_measure_map!$D$3:$D$1514,measure!A382)</f>
        <v>2</v>
      </c>
      <c r="C382" s="30" t="s">
        <v>1259</v>
      </c>
      <c r="D382" s="15" t="s">
        <v>1268</v>
      </c>
      <c r="E382" s="15" t="s">
        <v>1268</v>
      </c>
      <c r="F382" s="15" t="s">
        <v>1269</v>
      </c>
      <c r="G382" s="29" t="s">
        <v>1262</v>
      </c>
      <c r="H382" s="15"/>
      <c r="I382" s="15" t="s">
        <v>214</v>
      </c>
      <c r="J382" s="15" t="s">
        <v>215</v>
      </c>
      <c r="K382" s="15" t="s">
        <v>1270</v>
      </c>
      <c r="L382" s="15" t="s">
        <v>1264</v>
      </c>
      <c r="M382" s="15" t="s">
        <v>219</v>
      </c>
      <c r="N382" s="15" t="s">
        <v>219</v>
      </c>
      <c r="O382" s="15" t="s">
        <v>219</v>
      </c>
      <c r="P382" s="15" t="s">
        <v>219</v>
      </c>
      <c r="Q382" s="15" t="s">
        <v>219</v>
      </c>
      <c r="R382" s="15" t="s">
        <v>219</v>
      </c>
      <c r="S382" s="15" t="s">
        <v>219</v>
      </c>
      <c r="T382" s="15" t="s">
        <v>219</v>
      </c>
      <c r="U382" s="15" t="s">
        <v>219</v>
      </c>
      <c r="V382" s="15" t="s">
        <v>219</v>
      </c>
      <c r="W382" s="15">
        <v>29</v>
      </c>
      <c r="X382" s="15" t="str">
        <f>_xlfn.XLOOKUP(tblMeasure[[#This Row],[id_src]],tblSource[id_src],tblSource[org])</f>
        <v>NHS England</v>
      </c>
      <c r="Y382" s="25" t="str">
        <f>_xlfn.XLOOKUP(tblMeasure[[#This Row],[id_src]],tblSource[id_src],tblSource[source])</f>
        <v>Better Care Fund: Data Collection and Performance Report</v>
      </c>
      <c r="Z382" s="25" t="str">
        <f>_xlfn.XLOOKUP(tblMeasure[[#This Row],[id_src]],tblSource[id_src],tblSource[url_source])</f>
        <v>https://www.england.nhs.uk/publication/better-care-fund-quarterly-performance-report-2018-19/</v>
      </c>
      <c r="AA382" s="25">
        <f>_xlfn.XLOOKUP(tblMeasure[[#This Row],[id_src]],tblSource[id_src],tblSource[year_first_published])</f>
        <v>2015</v>
      </c>
      <c r="AB382" s="25">
        <f>_xlfn.XLOOKUP(tblMeasure[[#This Row],[id_src]],tblSource[id_src],tblSource[year_last_published])</f>
        <v>2018</v>
      </c>
      <c r="AC382" s="25">
        <f>_xlfn.XLOOKUP(tblMeasure[[#This Row],[id_src]],tblSource[id_src],tblSource[discontinuity])</f>
        <v>0</v>
      </c>
      <c r="AD382" s="25" t="str">
        <f>_xlfn.XLOOKUP(tblMeasure[[#This Row],[id_src]],tblSource[id_src],tblSource[publication_frequency])</f>
        <v>Quarterly</v>
      </c>
      <c r="AE382" s="15">
        <f>_xlfn.XLOOKUP(tblMeasure[[#This Row],[id_src]],tblSource[id_src],tblSource[publication_lag_months])</f>
        <v>7</v>
      </c>
      <c r="AF382" s="25" t="str">
        <f>_xlfn.XLOOKUP(tblMeasure[[#This Row],[id_src]],tblSource[id_src],tblSource[data_providers])</f>
        <v>DHSC, MHCLG, NHS England, LGA, NHS Digital</v>
      </c>
      <c r="AG382" s="25" t="str">
        <f>_xlfn.XLOOKUP(tblMeasure[[#This Row],[id_src]],tblSource[id_src],tblSource[statistic_class])</f>
        <v>Management Information</v>
      </c>
      <c r="AH382" s="25" t="str">
        <f>_xlfn.XLOOKUP(tblMeasure[[#This Row],[id_src]],tblSource[id_src],tblSource[methodology_link])</f>
        <v>TBD</v>
      </c>
      <c r="AI382" s="25" t="str">
        <f>_xlfn.XLOOKUP(tblMeasure[[#This Row],[id_src]],tblSource[id_src],tblSource[quality_issues])</f>
        <v>TBD</v>
      </c>
      <c r="AJ382" s="25">
        <f>VLOOKUP(tblMeasure[[#This Row],[msr_population_or_survey]],strlu_msr_population_or_survey,2,FALSE)</f>
        <v>1</v>
      </c>
      <c r="AK382" s="25">
        <f>VLOOKUP(tblMeasure[[#This Row],[msr_min_geo_resolution]],strlu_msr_min_geo_resolution,2,FALSE)</f>
        <v>1</v>
      </c>
      <c r="AL382" s="25">
        <f>(MAX(tblMeasure[[#This Row],[src_year_last_published]]-2010+1,0)+MIN(2010-tblMeasure[[#This Row],[src_year_first_published]],0)-MAX(tblMeasure[[#This Row],[src_year_last_published]]-2019,0))/10</f>
        <v>0.4</v>
      </c>
      <c r="AM382" s="25">
        <f>IF(OR(tblMeasure[[#This Row],[src_discontinuity]]="None",tblMeasure[[#This Row],[src_discontinuity]]=0),1,0)</f>
        <v>1</v>
      </c>
      <c r="AN382" s="25">
        <f>VLOOKUP(tblMeasure[[#This Row],[src_pub_frequency]],strlu_src_pub_frequency,2,FALSE)</f>
        <v>0.9</v>
      </c>
      <c r="AO382" s="25">
        <f>VLOOKUP(tblMeasure[[#This Row],[src_pub_lag_months]],strlu_src_pub_lag_months,2,FALSE)</f>
        <v>0.3</v>
      </c>
      <c r="AP382" s="25">
        <f>VLOOKUP(tblMeasure[[#This Row],[src_statistic_class]],strlu_src_statistic_class,2,FALSE)</f>
        <v>0.8</v>
      </c>
      <c r="AQ382" s="25">
        <f>IF(tblMeasure[[#This Row],[src_methodology_url]]="TBD",0,1)</f>
        <v>0</v>
      </c>
      <c r="AR382" s="25">
        <f>IF(tblMeasure[[#This Row],[src_quality_url]]="TBD",0,1)</f>
        <v>0</v>
      </c>
      <c r="AS382" s="85" cm="1">
        <f t="array" ref="AS382">SUMPRODUCT(TRANSPOSE(tblMeasure[[#This Row],[str_msr_population_or_survey]:[str_src_quality_url]]),str_weights)/str_weights_total</f>
        <v>0.73076923076923073</v>
      </c>
    </row>
    <row r="383" spans="1:45" hidden="1" x14ac:dyDescent="0.15">
      <c r="A383" s="30">
        <v>367</v>
      </c>
      <c r="B383" s="32">
        <f>COUNTIF(requirement_measure_map!$D$3:$D$1514,measure!A383)</f>
        <v>2</v>
      </c>
      <c r="C383" s="30" t="s">
        <v>1259</v>
      </c>
      <c r="D383" s="15" t="s">
        <v>1271</v>
      </c>
      <c r="E383" s="15" t="s">
        <v>65</v>
      </c>
      <c r="F383" s="15" t="s">
        <v>1272</v>
      </c>
      <c r="G383" s="29" t="s">
        <v>1262</v>
      </c>
      <c r="H383" s="15"/>
      <c r="I383" s="15" t="s">
        <v>214</v>
      </c>
      <c r="J383" s="15" t="s">
        <v>215</v>
      </c>
      <c r="K383" s="15" t="s">
        <v>239</v>
      </c>
      <c r="L383" s="15" t="s">
        <v>1264</v>
      </c>
      <c r="M383" s="15" t="s">
        <v>219</v>
      </c>
      <c r="N383" s="15" t="s">
        <v>219</v>
      </c>
      <c r="O383" s="15" t="s">
        <v>219</v>
      </c>
      <c r="P383" s="15" t="s">
        <v>219</v>
      </c>
      <c r="Q383" s="15" t="s">
        <v>236</v>
      </c>
      <c r="R383" s="15" t="s">
        <v>219</v>
      </c>
      <c r="S383" s="15" t="s">
        <v>219</v>
      </c>
      <c r="T383" s="15" t="s">
        <v>219</v>
      </c>
      <c r="U383" s="15" t="s">
        <v>219</v>
      </c>
      <c r="V383" s="15" t="s">
        <v>219</v>
      </c>
      <c r="W383" s="15">
        <v>29</v>
      </c>
      <c r="X383" s="15" t="str">
        <f>_xlfn.XLOOKUP(tblMeasure[[#This Row],[id_src]],tblSource[id_src],tblSource[org])</f>
        <v>NHS England</v>
      </c>
      <c r="Y383" s="25" t="str">
        <f>_xlfn.XLOOKUP(tblMeasure[[#This Row],[id_src]],tblSource[id_src],tblSource[source])</f>
        <v>Better Care Fund: Data Collection and Performance Report</v>
      </c>
      <c r="Z383" s="25" t="str">
        <f>_xlfn.XLOOKUP(tblMeasure[[#This Row],[id_src]],tblSource[id_src],tblSource[url_source])</f>
        <v>https://www.england.nhs.uk/publication/better-care-fund-quarterly-performance-report-2018-19/</v>
      </c>
      <c r="AA383" s="25">
        <f>_xlfn.XLOOKUP(tblMeasure[[#This Row],[id_src]],tblSource[id_src],tblSource[year_first_published])</f>
        <v>2015</v>
      </c>
      <c r="AB383" s="25">
        <f>_xlfn.XLOOKUP(tblMeasure[[#This Row],[id_src]],tblSource[id_src],tblSource[year_last_published])</f>
        <v>2018</v>
      </c>
      <c r="AC383" s="25">
        <f>_xlfn.XLOOKUP(tblMeasure[[#This Row],[id_src]],tblSource[id_src],tblSource[discontinuity])</f>
        <v>0</v>
      </c>
      <c r="AD383" s="25" t="str">
        <f>_xlfn.XLOOKUP(tblMeasure[[#This Row],[id_src]],tblSource[id_src],tblSource[publication_frequency])</f>
        <v>Quarterly</v>
      </c>
      <c r="AE383" s="15">
        <f>_xlfn.XLOOKUP(tblMeasure[[#This Row],[id_src]],tblSource[id_src],tblSource[publication_lag_months])</f>
        <v>7</v>
      </c>
      <c r="AF383" s="25" t="str">
        <f>_xlfn.XLOOKUP(tblMeasure[[#This Row],[id_src]],tblSource[id_src],tblSource[data_providers])</f>
        <v>DHSC, MHCLG, NHS England, LGA, NHS Digital</v>
      </c>
      <c r="AG383" s="25" t="str">
        <f>_xlfn.XLOOKUP(tblMeasure[[#This Row],[id_src]],tblSource[id_src],tblSource[statistic_class])</f>
        <v>Management Information</v>
      </c>
      <c r="AH383" s="25" t="str">
        <f>_xlfn.XLOOKUP(tblMeasure[[#This Row],[id_src]],tblSource[id_src],tblSource[methodology_link])</f>
        <v>TBD</v>
      </c>
      <c r="AI383" s="25" t="str">
        <f>_xlfn.XLOOKUP(tblMeasure[[#This Row],[id_src]],tblSource[id_src],tblSource[quality_issues])</f>
        <v>TBD</v>
      </c>
      <c r="AJ383" s="25">
        <f>VLOOKUP(tblMeasure[[#This Row],[msr_population_or_survey]],strlu_msr_population_or_survey,2,FALSE)</f>
        <v>1</v>
      </c>
      <c r="AK383" s="25">
        <f>VLOOKUP(tblMeasure[[#This Row],[msr_min_geo_resolution]],strlu_msr_min_geo_resolution,2,FALSE)</f>
        <v>1</v>
      </c>
      <c r="AL383" s="25">
        <f>(MAX(tblMeasure[[#This Row],[src_year_last_published]]-2010+1,0)+MIN(2010-tblMeasure[[#This Row],[src_year_first_published]],0)-MAX(tblMeasure[[#This Row],[src_year_last_published]]-2019,0))/10</f>
        <v>0.4</v>
      </c>
      <c r="AM383" s="25">
        <f>IF(OR(tblMeasure[[#This Row],[src_discontinuity]]="None",tblMeasure[[#This Row],[src_discontinuity]]=0),1,0)</f>
        <v>1</v>
      </c>
      <c r="AN383" s="25">
        <f>VLOOKUP(tblMeasure[[#This Row],[src_pub_frequency]],strlu_src_pub_frequency,2,FALSE)</f>
        <v>0.9</v>
      </c>
      <c r="AO383" s="25">
        <f>VLOOKUP(tblMeasure[[#This Row],[src_pub_lag_months]],strlu_src_pub_lag_months,2,FALSE)</f>
        <v>0.3</v>
      </c>
      <c r="AP383" s="25">
        <f>VLOOKUP(tblMeasure[[#This Row],[src_statistic_class]],strlu_src_statistic_class,2,FALSE)</f>
        <v>0.8</v>
      </c>
      <c r="AQ383" s="25">
        <f>IF(tblMeasure[[#This Row],[src_methodology_url]]="TBD",0,1)</f>
        <v>0</v>
      </c>
      <c r="AR383" s="25">
        <f>IF(tblMeasure[[#This Row],[src_quality_url]]="TBD",0,1)</f>
        <v>0</v>
      </c>
      <c r="AS383" s="85" cm="1">
        <f t="array" ref="AS383">SUMPRODUCT(TRANSPOSE(tblMeasure[[#This Row],[str_msr_population_or_survey]:[str_src_quality_url]]),str_weights)/str_weights_total</f>
        <v>0.73076923076923073</v>
      </c>
    </row>
    <row r="384" spans="1:45" hidden="1" x14ac:dyDescent="0.15">
      <c r="A384" s="30">
        <v>368</v>
      </c>
      <c r="B384" s="32">
        <f>COUNTIF(requirement_measure_map!$D$3:$D$1514,measure!A384)</f>
        <v>2</v>
      </c>
      <c r="C384" s="30" t="s">
        <v>1259</v>
      </c>
      <c r="D384" s="15" t="s">
        <v>1271</v>
      </c>
      <c r="E384" s="15" t="s">
        <v>64</v>
      </c>
      <c r="F384" s="15" t="s">
        <v>1273</v>
      </c>
      <c r="G384" s="29" t="s">
        <v>1262</v>
      </c>
      <c r="H384" s="15"/>
      <c r="I384" s="15" t="s">
        <v>214</v>
      </c>
      <c r="J384" s="15" t="s">
        <v>215</v>
      </c>
      <c r="K384" s="15" t="s">
        <v>232</v>
      </c>
      <c r="L384" s="15" t="s">
        <v>1264</v>
      </c>
      <c r="M384" s="15" t="s">
        <v>219</v>
      </c>
      <c r="N384" s="15" t="s">
        <v>219</v>
      </c>
      <c r="O384" s="15" t="s">
        <v>219</v>
      </c>
      <c r="P384" s="15" t="s">
        <v>219</v>
      </c>
      <c r="Q384" s="15" t="s">
        <v>219</v>
      </c>
      <c r="R384" s="15" t="s">
        <v>219</v>
      </c>
      <c r="S384" s="15" t="s">
        <v>219</v>
      </c>
      <c r="T384" s="15" t="s">
        <v>219</v>
      </c>
      <c r="U384" s="15" t="s">
        <v>219</v>
      </c>
      <c r="V384" s="15" t="s">
        <v>219</v>
      </c>
      <c r="W384" s="15">
        <v>29</v>
      </c>
      <c r="X384" s="15" t="str">
        <f>_xlfn.XLOOKUP(tblMeasure[[#This Row],[id_src]],tblSource[id_src],tblSource[org])</f>
        <v>NHS England</v>
      </c>
      <c r="Y384" s="25" t="str">
        <f>_xlfn.XLOOKUP(tblMeasure[[#This Row],[id_src]],tblSource[id_src],tblSource[source])</f>
        <v>Better Care Fund: Data Collection and Performance Report</v>
      </c>
      <c r="Z384" s="25" t="str">
        <f>_xlfn.XLOOKUP(tblMeasure[[#This Row],[id_src]],tblSource[id_src],tblSource[url_source])</f>
        <v>https://www.england.nhs.uk/publication/better-care-fund-quarterly-performance-report-2018-19/</v>
      </c>
      <c r="AA384" s="25">
        <f>_xlfn.XLOOKUP(tblMeasure[[#This Row],[id_src]],tblSource[id_src],tblSource[year_first_published])</f>
        <v>2015</v>
      </c>
      <c r="AB384" s="25">
        <f>_xlfn.XLOOKUP(tblMeasure[[#This Row],[id_src]],tblSource[id_src],tblSource[year_last_published])</f>
        <v>2018</v>
      </c>
      <c r="AC384" s="25">
        <f>_xlfn.XLOOKUP(tblMeasure[[#This Row],[id_src]],tblSource[id_src],tblSource[discontinuity])</f>
        <v>0</v>
      </c>
      <c r="AD384" s="25" t="str">
        <f>_xlfn.XLOOKUP(tblMeasure[[#This Row],[id_src]],tblSource[id_src],tblSource[publication_frequency])</f>
        <v>Quarterly</v>
      </c>
      <c r="AE384" s="15">
        <f>_xlfn.XLOOKUP(tblMeasure[[#This Row],[id_src]],tblSource[id_src],tblSource[publication_lag_months])</f>
        <v>7</v>
      </c>
      <c r="AF384" s="25" t="str">
        <f>_xlfn.XLOOKUP(tblMeasure[[#This Row],[id_src]],tblSource[id_src],tblSource[data_providers])</f>
        <v>DHSC, MHCLG, NHS England, LGA, NHS Digital</v>
      </c>
      <c r="AG384" s="25" t="str">
        <f>_xlfn.XLOOKUP(tblMeasure[[#This Row],[id_src]],tblSource[id_src],tblSource[statistic_class])</f>
        <v>Management Information</v>
      </c>
      <c r="AH384" s="25" t="str">
        <f>_xlfn.XLOOKUP(tblMeasure[[#This Row],[id_src]],tblSource[id_src],tblSource[methodology_link])</f>
        <v>TBD</v>
      </c>
      <c r="AI384" s="25" t="str">
        <f>_xlfn.XLOOKUP(tblMeasure[[#This Row],[id_src]],tblSource[id_src],tblSource[quality_issues])</f>
        <v>TBD</v>
      </c>
      <c r="AJ384" s="25">
        <f>VLOOKUP(tblMeasure[[#This Row],[msr_population_or_survey]],strlu_msr_population_or_survey,2,FALSE)</f>
        <v>1</v>
      </c>
      <c r="AK384" s="25">
        <f>VLOOKUP(tblMeasure[[#This Row],[msr_min_geo_resolution]],strlu_msr_min_geo_resolution,2,FALSE)</f>
        <v>1</v>
      </c>
      <c r="AL384" s="25">
        <f>(MAX(tblMeasure[[#This Row],[src_year_last_published]]-2010+1,0)+MIN(2010-tblMeasure[[#This Row],[src_year_first_published]],0)-MAX(tblMeasure[[#This Row],[src_year_last_published]]-2019,0))/10</f>
        <v>0.4</v>
      </c>
      <c r="AM384" s="25">
        <f>IF(OR(tblMeasure[[#This Row],[src_discontinuity]]="None",tblMeasure[[#This Row],[src_discontinuity]]=0),1,0)</f>
        <v>1</v>
      </c>
      <c r="AN384" s="25">
        <f>VLOOKUP(tblMeasure[[#This Row],[src_pub_frequency]],strlu_src_pub_frequency,2,FALSE)</f>
        <v>0.9</v>
      </c>
      <c r="AO384" s="25">
        <f>VLOOKUP(tblMeasure[[#This Row],[src_pub_lag_months]],strlu_src_pub_lag_months,2,FALSE)</f>
        <v>0.3</v>
      </c>
      <c r="AP384" s="25">
        <f>VLOOKUP(tblMeasure[[#This Row],[src_statistic_class]],strlu_src_statistic_class,2,FALSE)</f>
        <v>0.8</v>
      </c>
      <c r="AQ384" s="25">
        <f>IF(tblMeasure[[#This Row],[src_methodology_url]]="TBD",0,1)</f>
        <v>0</v>
      </c>
      <c r="AR384" s="25">
        <f>IF(tblMeasure[[#This Row],[src_quality_url]]="TBD",0,1)</f>
        <v>0</v>
      </c>
      <c r="AS384" s="85" cm="1">
        <f t="array" ref="AS384">SUMPRODUCT(TRANSPOSE(tblMeasure[[#This Row],[str_msr_population_or_survey]:[str_src_quality_url]]),str_weights)/str_weights_total</f>
        <v>0.73076923076923073</v>
      </c>
    </row>
    <row r="385" spans="1:45" hidden="1" x14ac:dyDescent="0.15">
      <c r="A385" s="30">
        <v>369</v>
      </c>
      <c r="B385" s="32">
        <f>COUNTIF(requirement_measure_map!$D$3:$D$1514,measure!A385)</f>
        <v>3</v>
      </c>
      <c r="C385" s="30" t="s">
        <v>1259</v>
      </c>
      <c r="D385" s="15" t="s">
        <v>1274</v>
      </c>
      <c r="E385" s="15" t="s">
        <v>1275</v>
      </c>
      <c r="F385" s="15" t="s">
        <v>1276</v>
      </c>
      <c r="G385" s="29" t="s">
        <v>1262</v>
      </c>
      <c r="H385" s="15"/>
      <c r="I385" s="15" t="s">
        <v>214</v>
      </c>
      <c r="J385" s="15" t="s">
        <v>215</v>
      </c>
      <c r="K385" s="15" t="s">
        <v>1277</v>
      </c>
      <c r="L385" s="15" t="s">
        <v>1264</v>
      </c>
      <c r="M385" s="15" t="s">
        <v>219</v>
      </c>
      <c r="N385" s="15" t="s">
        <v>219</v>
      </c>
      <c r="O385" s="15" t="s">
        <v>219</v>
      </c>
      <c r="P385" s="15" t="s">
        <v>219</v>
      </c>
      <c r="Q385" s="15" t="s">
        <v>219</v>
      </c>
      <c r="R385" s="15" t="s">
        <v>219</v>
      </c>
      <c r="S385" s="15" t="s">
        <v>219</v>
      </c>
      <c r="T385" s="15" t="s">
        <v>219</v>
      </c>
      <c r="U385" s="15" t="s">
        <v>219</v>
      </c>
      <c r="V385" s="15" t="s">
        <v>219</v>
      </c>
      <c r="W385" s="15">
        <v>29</v>
      </c>
      <c r="X385" s="15" t="str">
        <f>_xlfn.XLOOKUP(tblMeasure[[#This Row],[id_src]],tblSource[id_src],tblSource[org])</f>
        <v>NHS England</v>
      </c>
      <c r="Y385" s="25" t="str">
        <f>_xlfn.XLOOKUP(tblMeasure[[#This Row],[id_src]],tblSource[id_src],tblSource[source])</f>
        <v>Better Care Fund: Data Collection and Performance Report</v>
      </c>
      <c r="Z385" s="25" t="str">
        <f>_xlfn.XLOOKUP(tblMeasure[[#This Row],[id_src]],tblSource[id_src],tblSource[url_source])</f>
        <v>https://www.england.nhs.uk/publication/better-care-fund-quarterly-performance-report-2018-19/</v>
      </c>
      <c r="AA385" s="25">
        <f>_xlfn.XLOOKUP(tblMeasure[[#This Row],[id_src]],tblSource[id_src],tblSource[year_first_published])</f>
        <v>2015</v>
      </c>
      <c r="AB385" s="25">
        <f>_xlfn.XLOOKUP(tblMeasure[[#This Row],[id_src]],tblSource[id_src],tblSource[year_last_published])</f>
        <v>2018</v>
      </c>
      <c r="AC385" s="25">
        <f>_xlfn.XLOOKUP(tblMeasure[[#This Row],[id_src]],tblSource[id_src],tblSource[discontinuity])</f>
        <v>0</v>
      </c>
      <c r="AD385" s="25" t="str">
        <f>_xlfn.XLOOKUP(tblMeasure[[#This Row],[id_src]],tblSource[id_src],tblSource[publication_frequency])</f>
        <v>Quarterly</v>
      </c>
      <c r="AE385" s="15">
        <f>_xlfn.XLOOKUP(tblMeasure[[#This Row],[id_src]],tblSource[id_src],tblSource[publication_lag_months])</f>
        <v>7</v>
      </c>
      <c r="AF385" s="25" t="str">
        <f>_xlfn.XLOOKUP(tblMeasure[[#This Row],[id_src]],tblSource[id_src],tblSource[data_providers])</f>
        <v>DHSC, MHCLG, NHS England, LGA, NHS Digital</v>
      </c>
      <c r="AG385" s="25" t="str">
        <f>_xlfn.XLOOKUP(tblMeasure[[#This Row],[id_src]],tblSource[id_src],tblSource[statistic_class])</f>
        <v>Management Information</v>
      </c>
      <c r="AH385" s="25" t="str">
        <f>_xlfn.XLOOKUP(tblMeasure[[#This Row],[id_src]],tblSource[id_src],tblSource[methodology_link])</f>
        <v>TBD</v>
      </c>
      <c r="AI385" s="25" t="str">
        <f>_xlfn.XLOOKUP(tblMeasure[[#This Row],[id_src]],tblSource[id_src],tblSource[quality_issues])</f>
        <v>TBD</v>
      </c>
      <c r="AJ385" s="25">
        <f>VLOOKUP(tblMeasure[[#This Row],[msr_population_or_survey]],strlu_msr_population_or_survey,2,FALSE)</f>
        <v>1</v>
      </c>
      <c r="AK385" s="25">
        <f>VLOOKUP(tblMeasure[[#This Row],[msr_min_geo_resolution]],strlu_msr_min_geo_resolution,2,FALSE)</f>
        <v>1</v>
      </c>
      <c r="AL385" s="25">
        <f>(MAX(tblMeasure[[#This Row],[src_year_last_published]]-2010+1,0)+MIN(2010-tblMeasure[[#This Row],[src_year_first_published]],0)-MAX(tblMeasure[[#This Row],[src_year_last_published]]-2019,0))/10</f>
        <v>0.4</v>
      </c>
      <c r="AM385" s="25">
        <f>IF(OR(tblMeasure[[#This Row],[src_discontinuity]]="None",tblMeasure[[#This Row],[src_discontinuity]]=0),1,0)</f>
        <v>1</v>
      </c>
      <c r="AN385" s="25">
        <f>VLOOKUP(tblMeasure[[#This Row],[src_pub_frequency]],strlu_src_pub_frequency,2,FALSE)</f>
        <v>0.9</v>
      </c>
      <c r="AO385" s="25">
        <f>VLOOKUP(tblMeasure[[#This Row],[src_pub_lag_months]],strlu_src_pub_lag_months,2,FALSE)</f>
        <v>0.3</v>
      </c>
      <c r="AP385" s="25">
        <f>VLOOKUP(tblMeasure[[#This Row],[src_statistic_class]],strlu_src_statistic_class,2,FALSE)</f>
        <v>0.8</v>
      </c>
      <c r="AQ385" s="25">
        <f>IF(tblMeasure[[#This Row],[src_methodology_url]]="TBD",0,1)</f>
        <v>0</v>
      </c>
      <c r="AR385" s="25">
        <f>IF(tblMeasure[[#This Row],[src_quality_url]]="TBD",0,1)</f>
        <v>0</v>
      </c>
      <c r="AS385" s="85" cm="1">
        <f t="array" ref="AS385">SUMPRODUCT(TRANSPOSE(tblMeasure[[#This Row],[str_msr_population_or_survey]:[str_src_quality_url]]),str_weights)/str_weights_total</f>
        <v>0.73076923076923073</v>
      </c>
    </row>
    <row r="386" spans="1:45" hidden="1" x14ac:dyDescent="0.15">
      <c r="A386" s="30">
        <v>370</v>
      </c>
      <c r="B386" s="32">
        <f>COUNTIF(requirement_measure_map!$D$3:$D$1514,measure!A386)</f>
        <v>0</v>
      </c>
      <c r="C386" s="30" t="s">
        <v>800</v>
      </c>
      <c r="D386" s="15" t="s">
        <v>1274</v>
      </c>
      <c r="E386" s="15" t="s">
        <v>1278</v>
      </c>
      <c r="F386" s="15" t="s">
        <v>1279</v>
      </c>
      <c r="G386" s="29" t="s">
        <v>1262</v>
      </c>
      <c r="H386" s="15"/>
      <c r="I386" s="15" t="s">
        <v>214</v>
      </c>
      <c r="J386" s="15" t="s">
        <v>215</v>
      </c>
      <c r="K386" s="15" t="s">
        <v>1280</v>
      </c>
      <c r="L386" s="15" t="s">
        <v>1264</v>
      </c>
      <c r="M386" s="15" t="s">
        <v>219</v>
      </c>
      <c r="N386" s="15" t="s">
        <v>219</v>
      </c>
      <c r="O386" s="15" t="s">
        <v>219</v>
      </c>
      <c r="P386" s="15" t="s">
        <v>219</v>
      </c>
      <c r="Q386" s="15" t="s">
        <v>219</v>
      </c>
      <c r="R386" s="15" t="s">
        <v>219</v>
      </c>
      <c r="S386" s="15" t="s">
        <v>219</v>
      </c>
      <c r="T386" s="15" t="s">
        <v>219</v>
      </c>
      <c r="U386" s="15" t="s">
        <v>219</v>
      </c>
      <c r="V386" s="15" t="s">
        <v>219</v>
      </c>
      <c r="W386" s="15">
        <v>29</v>
      </c>
      <c r="X386" s="15" t="str">
        <f>_xlfn.XLOOKUP(tblMeasure[[#This Row],[id_src]],tblSource[id_src],tblSource[org])</f>
        <v>NHS England</v>
      </c>
      <c r="Y386" s="25" t="str">
        <f>_xlfn.XLOOKUP(tblMeasure[[#This Row],[id_src]],tblSource[id_src],tblSource[source])</f>
        <v>Better Care Fund: Data Collection and Performance Report</v>
      </c>
      <c r="Z386" s="25" t="str">
        <f>_xlfn.XLOOKUP(tblMeasure[[#This Row],[id_src]],tblSource[id_src],tblSource[url_source])</f>
        <v>https://www.england.nhs.uk/publication/better-care-fund-quarterly-performance-report-2018-19/</v>
      </c>
      <c r="AA386" s="25">
        <f>_xlfn.XLOOKUP(tblMeasure[[#This Row],[id_src]],tblSource[id_src],tblSource[year_first_published])</f>
        <v>2015</v>
      </c>
      <c r="AB386" s="25">
        <f>_xlfn.XLOOKUP(tblMeasure[[#This Row],[id_src]],tblSource[id_src],tblSource[year_last_published])</f>
        <v>2018</v>
      </c>
      <c r="AC386" s="25">
        <f>_xlfn.XLOOKUP(tblMeasure[[#This Row],[id_src]],tblSource[id_src],tblSource[discontinuity])</f>
        <v>0</v>
      </c>
      <c r="AD386" s="25" t="str">
        <f>_xlfn.XLOOKUP(tblMeasure[[#This Row],[id_src]],tblSource[id_src],tblSource[publication_frequency])</f>
        <v>Quarterly</v>
      </c>
      <c r="AE386" s="15">
        <f>_xlfn.XLOOKUP(tblMeasure[[#This Row],[id_src]],tblSource[id_src],tblSource[publication_lag_months])</f>
        <v>7</v>
      </c>
      <c r="AF386" s="25" t="str">
        <f>_xlfn.XLOOKUP(tblMeasure[[#This Row],[id_src]],tblSource[id_src],tblSource[data_providers])</f>
        <v>DHSC, MHCLG, NHS England, LGA, NHS Digital</v>
      </c>
      <c r="AG386" s="25" t="str">
        <f>_xlfn.XLOOKUP(tblMeasure[[#This Row],[id_src]],tblSource[id_src],tblSource[statistic_class])</f>
        <v>Management Information</v>
      </c>
      <c r="AH386" s="25" t="str">
        <f>_xlfn.XLOOKUP(tblMeasure[[#This Row],[id_src]],tblSource[id_src],tblSource[methodology_link])</f>
        <v>TBD</v>
      </c>
      <c r="AI386" s="25" t="str">
        <f>_xlfn.XLOOKUP(tblMeasure[[#This Row],[id_src]],tblSource[id_src],tblSource[quality_issues])</f>
        <v>TBD</v>
      </c>
      <c r="AJ386" s="25">
        <f>VLOOKUP(tblMeasure[[#This Row],[msr_population_or_survey]],strlu_msr_population_or_survey,2,FALSE)</f>
        <v>1</v>
      </c>
      <c r="AK386" s="25">
        <f>VLOOKUP(tblMeasure[[#This Row],[msr_min_geo_resolution]],strlu_msr_min_geo_resolution,2,FALSE)</f>
        <v>1</v>
      </c>
      <c r="AL386" s="25">
        <f>(MAX(tblMeasure[[#This Row],[src_year_last_published]]-2010+1,0)+MIN(2010-tblMeasure[[#This Row],[src_year_first_published]],0)-MAX(tblMeasure[[#This Row],[src_year_last_published]]-2019,0))/10</f>
        <v>0.4</v>
      </c>
      <c r="AM386" s="25">
        <f>IF(OR(tblMeasure[[#This Row],[src_discontinuity]]="None",tblMeasure[[#This Row],[src_discontinuity]]=0),1,0)</f>
        <v>1</v>
      </c>
      <c r="AN386" s="25">
        <f>VLOOKUP(tblMeasure[[#This Row],[src_pub_frequency]],strlu_src_pub_frequency,2,FALSE)</f>
        <v>0.9</v>
      </c>
      <c r="AO386" s="25">
        <f>VLOOKUP(tblMeasure[[#This Row],[src_pub_lag_months]],strlu_src_pub_lag_months,2,FALSE)</f>
        <v>0.3</v>
      </c>
      <c r="AP386" s="25">
        <f>VLOOKUP(tblMeasure[[#This Row],[src_statistic_class]],strlu_src_statistic_class,2,FALSE)</f>
        <v>0.8</v>
      </c>
      <c r="AQ386" s="25">
        <f>IF(tblMeasure[[#This Row],[src_methodology_url]]="TBD",0,1)</f>
        <v>0</v>
      </c>
      <c r="AR386" s="25">
        <f>IF(tblMeasure[[#This Row],[src_quality_url]]="TBD",0,1)</f>
        <v>0</v>
      </c>
      <c r="AS386" s="85" cm="1">
        <f t="array" ref="AS386">SUMPRODUCT(TRANSPOSE(tblMeasure[[#This Row],[str_msr_population_or_survey]:[str_src_quality_url]]),str_weights)/str_weights_total</f>
        <v>0.73076923076923073</v>
      </c>
    </row>
    <row r="387" spans="1:45" hidden="1" x14ac:dyDescent="0.15">
      <c r="A387" s="30">
        <v>371</v>
      </c>
      <c r="B387" s="32">
        <f>COUNTIF(requirement_measure_map!$D$3:$D$1514,measure!A387)</f>
        <v>0</v>
      </c>
      <c r="C387" s="30" t="s">
        <v>800</v>
      </c>
      <c r="D387" s="15" t="s">
        <v>1281</v>
      </c>
      <c r="E387" s="15" t="s">
        <v>1282</v>
      </c>
      <c r="F387" s="15" t="s">
        <v>1283</v>
      </c>
      <c r="G387" s="29" t="s">
        <v>1262</v>
      </c>
      <c r="H387" s="15"/>
      <c r="I387" s="15" t="s">
        <v>214</v>
      </c>
      <c r="J387" s="15" t="s">
        <v>215</v>
      </c>
      <c r="K387" s="15" t="s">
        <v>1284</v>
      </c>
      <c r="L387" s="15" t="s">
        <v>1264</v>
      </c>
      <c r="M387" s="15" t="s">
        <v>219</v>
      </c>
      <c r="N387" s="15" t="s">
        <v>219</v>
      </c>
      <c r="O387" s="15" t="s">
        <v>219</v>
      </c>
      <c r="P387" s="15" t="s">
        <v>219</v>
      </c>
      <c r="Q387" s="15" t="s">
        <v>219</v>
      </c>
      <c r="R387" s="15" t="s">
        <v>219</v>
      </c>
      <c r="S387" s="15" t="s">
        <v>219</v>
      </c>
      <c r="T387" s="15" t="s">
        <v>219</v>
      </c>
      <c r="U387" s="15" t="s">
        <v>219</v>
      </c>
      <c r="V387" s="15" t="s">
        <v>219</v>
      </c>
      <c r="W387" s="15">
        <v>29</v>
      </c>
      <c r="X387" s="15" t="str">
        <f>_xlfn.XLOOKUP(tblMeasure[[#This Row],[id_src]],tblSource[id_src],tblSource[org])</f>
        <v>NHS England</v>
      </c>
      <c r="Y387" s="25" t="str">
        <f>_xlfn.XLOOKUP(tblMeasure[[#This Row],[id_src]],tblSource[id_src],tblSource[source])</f>
        <v>Better Care Fund: Data Collection and Performance Report</v>
      </c>
      <c r="Z387" s="25" t="str">
        <f>_xlfn.XLOOKUP(tblMeasure[[#This Row],[id_src]],tblSource[id_src],tblSource[url_source])</f>
        <v>https://www.england.nhs.uk/publication/better-care-fund-quarterly-performance-report-2018-19/</v>
      </c>
      <c r="AA387" s="25">
        <f>_xlfn.XLOOKUP(tblMeasure[[#This Row],[id_src]],tblSource[id_src],tblSource[year_first_published])</f>
        <v>2015</v>
      </c>
      <c r="AB387" s="25">
        <f>_xlfn.XLOOKUP(tblMeasure[[#This Row],[id_src]],tblSource[id_src],tblSource[year_last_published])</f>
        <v>2018</v>
      </c>
      <c r="AC387" s="25">
        <f>_xlfn.XLOOKUP(tblMeasure[[#This Row],[id_src]],tblSource[id_src],tblSource[discontinuity])</f>
        <v>0</v>
      </c>
      <c r="AD387" s="25" t="str">
        <f>_xlfn.XLOOKUP(tblMeasure[[#This Row],[id_src]],tblSource[id_src],tblSource[publication_frequency])</f>
        <v>Quarterly</v>
      </c>
      <c r="AE387" s="15">
        <f>_xlfn.XLOOKUP(tblMeasure[[#This Row],[id_src]],tblSource[id_src],tblSource[publication_lag_months])</f>
        <v>7</v>
      </c>
      <c r="AF387" s="25" t="str">
        <f>_xlfn.XLOOKUP(tblMeasure[[#This Row],[id_src]],tblSource[id_src],tblSource[data_providers])</f>
        <v>DHSC, MHCLG, NHS England, LGA, NHS Digital</v>
      </c>
      <c r="AG387" s="25" t="str">
        <f>_xlfn.XLOOKUP(tblMeasure[[#This Row],[id_src]],tblSource[id_src],tblSource[statistic_class])</f>
        <v>Management Information</v>
      </c>
      <c r="AH387" s="25" t="str">
        <f>_xlfn.XLOOKUP(tblMeasure[[#This Row],[id_src]],tblSource[id_src],tblSource[methodology_link])</f>
        <v>TBD</v>
      </c>
      <c r="AI387" s="25" t="str">
        <f>_xlfn.XLOOKUP(tblMeasure[[#This Row],[id_src]],tblSource[id_src],tblSource[quality_issues])</f>
        <v>TBD</v>
      </c>
      <c r="AJ387" s="25">
        <f>VLOOKUP(tblMeasure[[#This Row],[msr_population_or_survey]],strlu_msr_population_or_survey,2,FALSE)</f>
        <v>1</v>
      </c>
      <c r="AK387" s="25">
        <f>VLOOKUP(tblMeasure[[#This Row],[msr_min_geo_resolution]],strlu_msr_min_geo_resolution,2,FALSE)</f>
        <v>1</v>
      </c>
      <c r="AL387" s="25">
        <f>(MAX(tblMeasure[[#This Row],[src_year_last_published]]-2010+1,0)+MIN(2010-tblMeasure[[#This Row],[src_year_first_published]],0)-MAX(tblMeasure[[#This Row],[src_year_last_published]]-2019,0))/10</f>
        <v>0.4</v>
      </c>
      <c r="AM387" s="25">
        <f>IF(OR(tblMeasure[[#This Row],[src_discontinuity]]="None",tblMeasure[[#This Row],[src_discontinuity]]=0),1,0)</f>
        <v>1</v>
      </c>
      <c r="AN387" s="25">
        <f>VLOOKUP(tblMeasure[[#This Row],[src_pub_frequency]],strlu_src_pub_frequency,2,FALSE)</f>
        <v>0.9</v>
      </c>
      <c r="AO387" s="25">
        <f>VLOOKUP(tblMeasure[[#This Row],[src_pub_lag_months]],strlu_src_pub_lag_months,2,FALSE)</f>
        <v>0.3</v>
      </c>
      <c r="AP387" s="25">
        <f>VLOOKUP(tblMeasure[[#This Row],[src_statistic_class]],strlu_src_statistic_class,2,FALSE)</f>
        <v>0.8</v>
      </c>
      <c r="AQ387" s="25">
        <f>IF(tblMeasure[[#This Row],[src_methodology_url]]="TBD",0,1)</f>
        <v>0</v>
      </c>
      <c r="AR387" s="25">
        <f>IF(tblMeasure[[#This Row],[src_quality_url]]="TBD",0,1)</f>
        <v>0</v>
      </c>
      <c r="AS387" s="85" cm="1">
        <f t="array" ref="AS387">SUMPRODUCT(TRANSPOSE(tblMeasure[[#This Row],[str_msr_population_or_survey]:[str_src_quality_url]]),str_weights)/str_weights_total</f>
        <v>0.73076923076923073</v>
      </c>
    </row>
    <row r="388" spans="1:45" hidden="1" x14ac:dyDescent="0.15">
      <c r="A388" s="30">
        <v>372</v>
      </c>
      <c r="B388" s="32">
        <f>COUNTIF(requirement_measure_map!$D$3:$D$1514,measure!A388)</f>
        <v>0</v>
      </c>
      <c r="C388" s="30" t="s">
        <v>800</v>
      </c>
      <c r="D388" s="15" t="s">
        <v>1285</v>
      </c>
      <c r="E388" s="15" t="s">
        <v>1286</v>
      </c>
      <c r="F388" s="15" t="s">
        <v>1287</v>
      </c>
      <c r="G388" s="29" t="s">
        <v>1262</v>
      </c>
      <c r="H388" s="15"/>
      <c r="I388" s="15" t="s">
        <v>214</v>
      </c>
      <c r="J388" s="15" t="s">
        <v>215</v>
      </c>
      <c r="K388" s="15" t="s">
        <v>1288</v>
      </c>
      <c r="L388" s="15" t="s">
        <v>1264</v>
      </c>
      <c r="M388" s="15" t="s">
        <v>219</v>
      </c>
      <c r="N388" s="15" t="s">
        <v>219</v>
      </c>
      <c r="O388" s="15" t="s">
        <v>219</v>
      </c>
      <c r="P388" s="15" t="s">
        <v>219</v>
      </c>
      <c r="Q388" s="15" t="s">
        <v>219</v>
      </c>
      <c r="R388" s="15" t="s">
        <v>219</v>
      </c>
      <c r="S388" s="15" t="s">
        <v>219</v>
      </c>
      <c r="T388" s="15" t="s">
        <v>219</v>
      </c>
      <c r="U388" s="15" t="s">
        <v>219</v>
      </c>
      <c r="V388" s="15" t="s">
        <v>219</v>
      </c>
      <c r="W388" s="15">
        <v>29</v>
      </c>
      <c r="X388" s="15" t="str">
        <f>_xlfn.XLOOKUP(tblMeasure[[#This Row],[id_src]],tblSource[id_src],tblSource[org])</f>
        <v>NHS England</v>
      </c>
      <c r="Y388" s="25" t="str">
        <f>_xlfn.XLOOKUP(tblMeasure[[#This Row],[id_src]],tblSource[id_src],tblSource[source])</f>
        <v>Better Care Fund: Data Collection and Performance Report</v>
      </c>
      <c r="Z388" s="25" t="str">
        <f>_xlfn.XLOOKUP(tblMeasure[[#This Row],[id_src]],tblSource[id_src],tblSource[url_source])</f>
        <v>https://www.england.nhs.uk/publication/better-care-fund-quarterly-performance-report-2018-19/</v>
      </c>
      <c r="AA388" s="25">
        <f>_xlfn.XLOOKUP(tblMeasure[[#This Row],[id_src]],tblSource[id_src],tblSource[year_first_published])</f>
        <v>2015</v>
      </c>
      <c r="AB388" s="25">
        <f>_xlfn.XLOOKUP(tblMeasure[[#This Row],[id_src]],tblSource[id_src],tblSource[year_last_published])</f>
        <v>2018</v>
      </c>
      <c r="AC388" s="25">
        <f>_xlfn.XLOOKUP(tblMeasure[[#This Row],[id_src]],tblSource[id_src],tblSource[discontinuity])</f>
        <v>0</v>
      </c>
      <c r="AD388" s="25" t="str">
        <f>_xlfn.XLOOKUP(tblMeasure[[#This Row],[id_src]],tblSource[id_src],tblSource[publication_frequency])</f>
        <v>Quarterly</v>
      </c>
      <c r="AE388" s="15">
        <f>_xlfn.XLOOKUP(tblMeasure[[#This Row],[id_src]],tblSource[id_src],tblSource[publication_lag_months])</f>
        <v>7</v>
      </c>
      <c r="AF388" s="25" t="str">
        <f>_xlfn.XLOOKUP(tblMeasure[[#This Row],[id_src]],tblSource[id_src],tblSource[data_providers])</f>
        <v>DHSC, MHCLG, NHS England, LGA, NHS Digital</v>
      </c>
      <c r="AG388" s="25" t="str">
        <f>_xlfn.XLOOKUP(tblMeasure[[#This Row],[id_src]],tblSource[id_src],tblSource[statistic_class])</f>
        <v>Management Information</v>
      </c>
      <c r="AH388" s="25" t="str">
        <f>_xlfn.XLOOKUP(tblMeasure[[#This Row],[id_src]],tblSource[id_src],tblSource[methodology_link])</f>
        <v>TBD</v>
      </c>
      <c r="AI388" s="25" t="str">
        <f>_xlfn.XLOOKUP(tblMeasure[[#This Row],[id_src]],tblSource[id_src],tblSource[quality_issues])</f>
        <v>TBD</v>
      </c>
      <c r="AJ388" s="25">
        <f>VLOOKUP(tblMeasure[[#This Row],[msr_population_or_survey]],strlu_msr_population_or_survey,2,FALSE)</f>
        <v>1</v>
      </c>
      <c r="AK388" s="25">
        <f>VLOOKUP(tblMeasure[[#This Row],[msr_min_geo_resolution]],strlu_msr_min_geo_resolution,2,FALSE)</f>
        <v>1</v>
      </c>
      <c r="AL388" s="25">
        <f>(MAX(tblMeasure[[#This Row],[src_year_last_published]]-2010+1,0)+MIN(2010-tblMeasure[[#This Row],[src_year_first_published]],0)-MAX(tblMeasure[[#This Row],[src_year_last_published]]-2019,0))/10</f>
        <v>0.4</v>
      </c>
      <c r="AM388" s="25">
        <f>IF(OR(tblMeasure[[#This Row],[src_discontinuity]]="None",tblMeasure[[#This Row],[src_discontinuity]]=0),1,0)</f>
        <v>1</v>
      </c>
      <c r="AN388" s="25">
        <f>VLOOKUP(tblMeasure[[#This Row],[src_pub_frequency]],strlu_src_pub_frequency,2,FALSE)</f>
        <v>0.9</v>
      </c>
      <c r="AO388" s="25">
        <f>VLOOKUP(tblMeasure[[#This Row],[src_pub_lag_months]],strlu_src_pub_lag_months,2,FALSE)</f>
        <v>0.3</v>
      </c>
      <c r="AP388" s="25">
        <f>VLOOKUP(tblMeasure[[#This Row],[src_statistic_class]],strlu_src_statistic_class,2,FALSE)</f>
        <v>0.8</v>
      </c>
      <c r="AQ388" s="25">
        <f>IF(tblMeasure[[#This Row],[src_methodology_url]]="TBD",0,1)</f>
        <v>0</v>
      </c>
      <c r="AR388" s="25">
        <f>IF(tblMeasure[[#This Row],[src_quality_url]]="TBD",0,1)</f>
        <v>0</v>
      </c>
      <c r="AS388" s="85" cm="1">
        <f t="array" ref="AS388">SUMPRODUCT(TRANSPOSE(tblMeasure[[#This Row],[str_msr_population_or_survey]:[str_src_quality_url]]),str_weights)/str_weights_total</f>
        <v>0.73076923076923073</v>
      </c>
    </row>
    <row r="389" spans="1:45" hidden="1" x14ac:dyDescent="0.15">
      <c r="A389" s="30">
        <v>373</v>
      </c>
      <c r="B389" s="32">
        <f>COUNTIF(requirement_measure_map!$D$3:$D$1514,measure!A389)</f>
        <v>0</v>
      </c>
      <c r="C389" s="30" t="s">
        <v>800</v>
      </c>
      <c r="D389" s="15" t="s">
        <v>1285</v>
      </c>
      <c r="E389" s="15" t="s">
        <v>1289</v>
      </c>
      <c r="F389" s="15" t="s">
        <v>1290</v>
      </c>
      <c r="G389" s="29" t="s">
        <v>1262</v>
      </c>
      <c r="H389" s="15"/>
      <c r="I389" s="15" t="s">
        <v>214</v>
      </c>
      <c r="J389" s="15" t="s">
        <v>215</v>
      </c>
      <c r="K389" s="15" t="s">
        <v>1291</v>
      </c>
      <c r="L389" s="15" t="s">
        <v>1264</v>
      </c>
      <c r="M389" s="15" t="s">
        <v>219</v>
      </c>
      <c r="N389" s="15" t="s">
        <v>219</v>
      </c>
      <c r="O389" s="15" t="s">
        <v>219</v>
      </c>
      <c r="P389" s="15" t="s">
        <v>219</v>
      </c>
      <c r="Q389" s="15" t="s">
        <v>219</v>
      </c>
      <c r="R389" s="15" t="s">
        <v>219</v>
      </c>
      <c r="S389" s="15" t="s">
        <v>219</v>
      </c>
      <c r="T389" s="15" t="s">
        <v>219</v>
      </c>
      <c r="U389" s="15" t="s">
        <v>219</v>
      </c>
      <c r="V389" s="15" t="s">
        <v>219</v>
      </c>
      <c r="W389" s="15">
        <v>29</v>
      </c>
      <c r="X389" s="15" t="str">
        <f>_xlfn.XLOOKUP(tblMeasure[[#This Row],[id_src]],tblSource[id_src],tblSource[org])</f>
        <v>NHS England</v>
      </c>
      <c r="Y389" s="25" t="str">
        <f>_xlfn.XLOOKUP(tblMeasure[[#This Row],[id_src]],tblSource[id_src],tblSource[source])</f>
        <v>Better Care Fund: Data Collection and Performance Report</v>
      </c>
      <c r="Z389" s="25" t="str">
        <f>_xlfn.XLOOKUP(tblMeasure[[#This Row],[id_src]],tblSource[id_src],tblSource[url_source])</f>
        <v>https://www.england.nhs.uk/publication/better-care-fund-quarterly-performance-report-2018-19/</v>
      </c>
      <c r="AA389" s="25">
        <f>_xlfn.XLOOKUP(tblMeasure[[#This Row],[id_src]],tblSource[id_src],tblSource[year_first_published])</f>
        <v>2015</v>
      </c>
      <c r="AB389" s="25">
        <f>_xlfn.XLOOKUP(tblMeasure[[#This Row],[id_src]],tblSource[id_src],tblSource[year_last_published])</f>
        <v>2018</v>
      </c>
      <c r="AC389" s="25">
        <f>_xlfn.XLOOKUP(tblMeasure[[#This Row],[id_src]],tblSource[id_src],tblSource[discontinuity])</f>
        <v>0</v>
      </c>
      <c r="AD389" s="25" t="str">
        <f>_xlfn.XLOOKUP(tblMeasure[[#This Row],[id_src]],tblSource[id_src],tblSource[publication_frequency])</f>
        <v>Quarterly</v>
      </c>
      <c r="AE389" s="15">
        <f>_xlfn.XLOOKUP(tblMeasure[[#This Row],[id_src]],tblSource[id_src],tblSource[publication_lag_months])</f>
        <v>7</v>
      </c>
      <c r="AF389" s="25" t="str">
        <f>_xlfn.XLOOKUP(tblMeasure[[#This Row],[id_src]],tblSource[id_src],tblSource[data_providers])</f>
        <v>DHSC, MHCLG, NHS England, LGA, NHS Digital</v>
      </c>
      <c r="AG389" s="25" t="str">
        <f>_xlfn.XLOOKUP(tblMeasure[[#This Row],[id_src]],tblSource[id_src],tblSource[statistic_class])</f>
        <v>Management Information</v>
      </c>
      <c r="AH389" s="25" t="str">
        <f>_xlfn.XLOOKUP(tblMeasure[[#This Row],[id_src]],tblSource[id_src],tblSource[methodology_link])</f>
        <v>TBD</v>
      </c>
      <c r="AI389" s="25" t="str">
        <f>_xlfn.XLOOKUP(tblMeasure[[#This Row],[id_src]],tblSource[id_src],tblSource[quality_issues])</f>
        <v>TBD</v>
      </c>
      <c r="AJ389" s="25">
        <f>VLOOKUP(tblMeasure[[#This Row],[msr_population_or_survey]],strlu_msr_population_or_survey,2,FALSE)</f>
        <v>1</v>
      </c>
      <c r="AK389" s="25">
        <f>VLOOKUP(tblMeasure[[#This Row],[msr_min_geo_resolution]],strlu_msr_min_geo_resolution,2,FALSE)</f>
        <v>1</v>
      </c>
      <c r="AL389" s="25">
        <f>(MAX(tblMeasure[[#This Row],[src_year_last_published]]-2010+1,0)+MIN(2010-tblMeasure[[#This Row],[src_year_first_published]],0)-MAX(tblMeasure[[#This Row],[src_year_last_published]]-2019,0))/10</f>
        <v>0.4</v>
      </c>
      <c r="AM389" s="25">
        <f>IF(OR(tblMeasure[[#This Row],[src_discontinuity]]="None",tblMeasure[[#This Row],[src_discontinuity]]=0),1,0)</f>
        <v>1</v>
      </c>
      <c r="AN389" s="25">
        <f>VLOOKUP(tblMeasure[[#This Row],[src_pub_frequency]],strlu_src_pub_frequency,2,FALSE)</f>
        <v>0.9</v>
      </c>
      <c r="AO389" s="25">
        <f>VLOOKUP(tblMeasure[[#This Row],[src_pub_lag_months]],strlu_src_pub_lag_months,2,FALSE)</f>
        <v>0.3</v>
      </c>
      <c r="AP389" s="25">
        <f>VLOOKUP(tblMeasure[[#This Row],[src_statistic_class]],strlu_src_statistic_class,2,FALSE)</f>
        <v>0.8</v>
      </c>
      <c r="AQ389" s="25">
        <f>IF(tblMeasure[[#This Row],[src_methodology_url]]="TBD",0,1)</f>
        <v>0</v>
      </c>
      <c r="AR389" s="25">
        <f>IF(tblMeasure[[#This Row],[src_quality_url]]="TBD",0,1)</f>
        <v>0</v>
      </c>
      <c r="AS389" s="85" cm="1">
        <f t="array" ref="AS389">SUMPRODUCT(TRANSPOSE(tblMeasure[[#This Row],[str_msr_population_or_survey]:[str_src_quality_url]]),str_weights)/str_weights_total</f>
        <v>0.73076923076923073</v>
      </c>
    </row>
    <row r="390" spans="1:45" hidden="1" x14ac:dyDescent="0.15">
      <c r="A390" s="30">
        <v>374</v>
      </c>
      <c r="B390" s="32">
        <f>COUNTIF(requirement_measure_map!$D$3:$D$1514,measure!A390)</f>
        <v>0</v>
      </c>
      <c r="C390" s="30" t="s">
        <v>800</v>
      </c>
      <c r="D390" s="15" t="s">
        <v>1285</v>
      </c>
      <c r="E390" s="15" t="s">
        <v>1292</v>
      </c>
      <c r="F390" s="15" t="s">
        <v>1293</v>
      </c>
      <c r="G390" s="29" t="s">
        <v>1262</v>
      </c>
      <c r="H390" s="15"/>
      <c r="I390" s="15" t="s">
        <v>214</v>
      </c>
      <c r="J390" s="15" t="s">
        <v>215</v>
      </c>
      <c r="K390" s="15" t="s">
        <v>1291</v>
      </c>
      <c r="L390" s="15" t="s">
        <v>1264</v>
      </c>
      <c r="M390" s="15" t="s">
        <v>219</v>
      </c>
      <c r="N390" s="15" t="s">
        <v>219</v>
      </c>
      <c r="O390" s="15" t="s">
        <v>219</v>
      </c>
      <c r="P390" s="15" t="s">
        <v>219</v>
      </c>
      <c r="Q390" s="15" t="s">
        <v>219</v>
      </c>
      <c r="R390" s="15" t="s">
        <v>219</v>
      </c>
      <c r="S390" s="15" t="s">
        <v>219</v>
      </c>
      <c r="T390" s="15" t="s">
        <v>219</v>
      </c>
      <c r="U390" s="15" t="s">
        <v>219</v>
      </c>
      <c r="V390" s="15" t="s">
        <v>219</v>
      </c>
      <c r="W390" s="15">
        <v>29</v>
      </c>
      <c r="X390" s="15" t="str">
        <f>_xlfn.XLOOKUP(tblMeasure[[#This Row],[id_src]],tblSource[id_src],tblSource[org])</f>
        <v>NHS England</v>
      </c>
      <c r="Y390" s="25" t="str">
        <f>_xlfn.XLOOKUP(tblMeasure[[#This Row],[id_src]],tblSource[id_src],tblSource[source])</f>
        <v>Better Care Fund: Data Collection and Performance Report</v>
      </c>
      <c r="Z390" s="25" t="str">
        <f>_xlfn.XLOOKUP(tblMeasure[[#This Row],[id_src]],tblSource[id_src],tblSource[url_source])</f>
        <v>https://www.england.nhs.uk/publication/better-care-fund-quarterly-performance-report-2018-19/</v>
      </c>
      <c r="AA390" s="25">
        <f>_xlfn.XLOOKUP(tblMeasure[[#This Row],[id_src]],tblSource[id_src],tblSource[year_first_published])</f>
        <v>2015</v>
      </c>
      <c r="AB390" s="25">
        <f>_xlfn.XLOOKUP(tblMeasure[[#This Row],[id_src]],tblSource[id_src],tblSource[year_last_published])</f>
        <v>2018</v>
      </c>
      <c r="AC390" s="25">
        <f>_xlfn.XLOOKUP(tblMeasure[[#This Row],[id_src]],tblSource[id_src],tblSource[discontinuity])</f>
        <v>0</v>
      </c>
      <c r="AD390" s="25" t="str">
        <f>_xlfn.XLOOKUP(tblMeasure[[#This Row],[id_src]],tblSource[id_src],tblSource[publication_frequency])</f>
        <v>Quarterly</v>
      </c>
      <c r="AE390" s="15">
        <f>_xlfn.XLOOKUP(tblMeasure[[#This Row],[id_src]],tblSource[id_src],tblSource[publication_lag_months])</f>
        <v>7</v>
      </c>
      <c r="AF390" s="25" t="str">
        <f>_xlfn.XLOOKUP(tblMeasure[[#This Row],[id_src]],tblSource[id_src],tblSource[data_providers])</f>
        <v>DHSC, MHCLG, NHS England, LGA, NHS Digital</v>
      </c>
      <c r="AG390" s="25" t="str">
        <f>_xlfn.XLOOKUP(tblMeasure[[#This Row],[id_src]],tblSource[id_src],tblSource[statistic_class])</f>
        <v>Management Information</v>
      </c>
      <c r="AH390" s="25" t="str">
        <f>_xlfn.XLOOKUP(tblMeasure[[#This Row],[id_src]],tblSource[id_src],tblSource[methodology_link])</f>
        <v>TBD</v>
      </c>
      <c r="AI390" s="25" t="str">
        <f>_xlfn.XLOOKUP(tblMeasure[[#This Row],[id_src]],tblSource[id_src],tblSource[quality_issues])</f>
        <v>TBD</v>
      </c>
      <c r="AJ390" s="25">
        <f>VLOOKUP(tblMeasure[[#This Row],[msr_population_or_survey]],strlu_msr_population_or_survey,2,FALSE)</f>
        <v>1</v>
      </c>
      <c r="AK390" s="25">
        <f>VLOOKUP(tblMeasure[[#This Row],[msr_min_geo_resolution]],strlu_msr_min_geo_resolution,2,FALSE)</f>
        <v>1</v>
      </c>
      <c r="AL390" s="25">
        <f>(MAX(tblMeasure[[#This Row],[src_year_last_published]]-2010+1,0)+MIN(2010-tblMeasure[[#This Row],[src_year_first_published]],0)-MAX(tblMeasure[[#This Row],[src_year_last_published]]-2019,0))/10</f>
        <v>0.4</v>
      </c>
      <c r="AM390" s="25">
        <f>IF(OR(tblMeasure[[#This Row],[src_discontinuity]]="None",tblMeasure[[#This Row],[src_discontinuity]]=0),1,0)</f>
        <v>1</v>
      </c>
      <c r="AN390" s="25">
        <f>VLOOKUP(tblMeasure[[#This Row],[src_pub_frequency]],strlu_src_pub_frequency,2,FALSE)</f>
        <v>0.9</v>
      </c>
      <c r="AO390" s="25">
        <f>VLOOKUP(tblMeasure[[#This Row],[src_pub_lag_months]],strlu_src_pub_lag_months,2,FALSE)</f>
        <v>0.3</v>
      </c>
      <c r="AP390" s="25">
        <f>VLOOKUP(tblMeasure[[#This Row],[src_statistic_class]],strlu_src_statistic_class,2,FALSE)</f>
        <v>0.8</v>
      </c>
      <c r="AQ390" s="25">
        <f>IF(tblMeasure[[#This Row],[src_methodology_url]]="TBD",0,1)</f>
        <v>0</v>
      </c>
      <c r="AR390" s="25">
        <f>IF(tblMeasure[[#This Row],[src_quality_url]]="TBD",0,1)</f>
        <v>0</v>
      </c>
      <c r="AS390" s="85" cm="1">
        <f t="array" ref="AS390">SUMPRODUCT(TRANSPOSE(tblMeasure[[#This Row],[str_msr_population_or_survey]:[str_src_quality_url]]),str_weights)/str_weights_total</f>
        <v>0.73076923076923073</v>
      </c>
    </row>
    <row r="391" spans="1:45" hidden="1" x14ac:dyDescent="0.15">
      <c r="A391" s="30">
        <v>375</v>
      </c>
      <c r="B391" s="32">
        <f>COUNTIF(requirement_measure_map!$D$3:$D$1514,measure!A391)</f>
        <v>0</v>
      </c>
      <c r="C391" s="30" t="s">
        <v>800</v>
      </c>
      <c r="D391" s="15" t="s">
        <v>1294</v>
      </c>
      <c r="E391" s="15" t="s">
        <v>1295</v>
      </c>
      <c r="F391" s="15" t="s">
        <v>1296</v>
      </c>
      <c r="G391" s="29" t="s">
        <v>1262</v>
      </c>
      <c r="H391" s="15"/>
      <c r="I391" s="15" t="s">
        <v>214</v>
      </c>
      <c r="J391" s="15" t="s">
        <v>215</v>
      </c>
      <c r="K391" s="15" t="s">
        <v>1288</v>
      </c>
      <c r="L391" s="15" t="s">
        <v>1264</v>
      </c>
      <c r="M391" s="15" t="s">
        <v>219</v>
      </c>
      <c r="N391" s="15" t="s">
        <v>219</v>
      </c>
      <c r="O391" s="15" t="s">
        <v>219</v>
      </c>
      <c r="P391" s="15" t="s">
        <v>219</v>
      </c>
      <c r="Q391" s="15" t="s">
        <v>219</v>
      </c>
      <c r="R391" s="15" t="s">
        <v>219</v>
      </c>
      <c r="S391" s="15" t="s">
        <v>219</v>
      </c>
      <c r="T391" s="15" t="s">
        <v>219</v>
      </c>
      <c r="U391" s="15" t="s">
        <v>219</v>
      </c>
      <c r="V391" s="15" t="s">
        <v>219</v>
      </c>
      <c r="W391" s="15">
        <v>29</v>
      </c>
      <c r="X391" s="15" t="str">
        <f>_xlfn.XLOOKUP(tblMeasure[[#This Row],[id_src]],tblSource[id_src],tblSource[org])</f>
        <v>NHS England</v>
      </c>
      <c r="Y391" s="25" t="str">
        <f>_xlfn.XLOOKUP(tblMeasure[[#This Row],[id_src]],tblSource[id_src],tblSource[source])</f>
        <v>Better Care Fund: Data Collection and Performance Report</v>
      </c>
      <c r="Z391" s="25" t="str">
        <f>_xlfn.XLOOKUP(tblMeasure[[#This Row],[id_src]],tblSource[id_src],tblSource[url_source])</f>
        <v>https://www.england.nhs.uk/publication/better-care-fund-quarterly-performance-report-2018-19/</v>
      </c>
      <c r="AA391" s="25">
        <f>_xlfn.XLOOKUP(tblMeasure[[#This Row],[id_src]],tblSource[id_src],tblSource[year_first_published])</f>
        <v>2015</v>
      </c>
      <c r="AB391" s="25">
        <f>_xlfn.XLOOKUP(tblMeasure[[#This Row],[id_src]],tblSource[id_src],tblSource[year_last_published])</f>
        <v>2018</v>
      </c>
      <c r="AC391" s="25">
        <f>_xlfn.XLOOKUP(tblMeasure[[#This Row],[id_src]],tblSource[id_src],tblSource[discontinuity])</f>
        <v>0</v>
      </c>
      <c r="AD391" s="25" t="str">
        <f>_xlfn.XLOOKUP(tblMeasure[[#This Row],[id_src]],tblSource[id_src],tblSource[publication_frequency])</f>
        <v>Quarterly</v>
      </c>
      <c r="AE391" s="15">
        <f>_xlfn.XLOOKUP(tblMeasure[[#This Row],[id_src]],tblSource[id_src],tblSource[publication_lag_months])</f>
        <v>7</v>
      </c>
      <c r="AF391" s="25" t="str">
        <f>_xlfn.XLOOKUP(tblMeasure[[#This Row],[id_src]],tblSource[id_src],tblSource[data_providers])</f>
        <v>DHSC, MHCLG, NHS England, LGA, NHS Digital</v>
      </c>
      <c r="AG391" s="25" t="str">
        <f>_xlfn.XLOOKUP(tblMeasure[[#This Row],[id_src]],tblSource[id_src],tblSource[statistic_class])</f>
        <v>Management Information</v>
      </c>
      <c r="AH391" s="25" t="str">
        <f>_xlfn.XLOOKUP(tblMeasure[[#This Row],[id_src]],tblSource[id_src],tblSource[methodology_link])</f>
        <v>TBD</v>
      </c>
      <c r="AI391" s="25" t="str">
        <f>_xlfn.XLOOKUP(tblMeasure[[#This Row],[id_src]],tblSource[id_src],tblSource[quality_issues])</f>
        <v>TBD</v>
      </c>
      <c r="AJ391" s="25">
        <f>VLOOKUP(tblMeasure[[#This Row],[msr_population_or_survey]],strlu_msr_population_or_survey,2,FALSE)</f>
        <v>1</v>
      </c>
      <c r="AK391" s="25">
        <f>VLOOKUP(tblMeasure[[#This Row],[msr_min_geo_resolution]],strlu_msr_min_geo_resolution,2,FALSE)</f>
        <v>1</v>
      </c>
      <c r="AL391" s="25">
        <f>(MAX(tblMeasure[[#This Row],[src_year_last_published]]-2010+1,0)+MIN(2010-tblMeasure[[#This Row],[src_year_first_published]],0)-MAX(tblMeasure[[#This Row],[src_year_last_published]]-2019,0))/10</f>
        <v>0.4</v>
      </c>
      <c r="AM391" s="25">
        <f>IF(OR(tblMeasure[[#This Row],[src_discontinuity]]="None",tblMeasure[[#This Row],[src_discontinuity]]=0),1,0)</f>
        <v>1</v>
      </c>
      <c r="AN391" s="25">
        <f>VLOOKUP(tblMeasure[[#This Row],[src_pub_frequency]],strlu_src_pub_frequency,2,FALSE)</f>
        <v>0.9</v>
      </c>
      <c r="AO391" s="25">
        <f>VLOOKUP(tblMeasure[[#This Row],[src_pub_lag_months]],strlu_src_pub_lag_months,2,FALSE)</f>
        <v>0.3</v>
      </c>
      <c r="AP391" s="25">
        <f>VLOOKUP(tblMeasure[[#This Row],[src_statistic_class]],strlu_src_statistic_class,2,FALSE)</f>
        <v>0.8</v>
      </c>
      <c r="AQ391" s="25">
        <f>IF(tblMeasure[[#This Row],[src_methodology_url]]="TBD",0,1)</f>
        <v>0</v>
      </c>
      <c r="AR391" s="25">
        <f>IF(tblMeasure[[#This Row],[src_quality_url]]="TBD",0,1)</f>
        <v>0</v>
      </c>
      <c r="AS391" s="85" cm="1">
        <f t="array" ref="AS391">SUMPRODUCT(TRANSPOSE(tblMeasure[[#This Row],[str_msr_population_or_survey]:[str_src_quality_url]]),str_weights)/str_weights_total</f>
        <v>0.73076923076923073</v>
      </c>
    </row>
    <row r="392" spans="1:45" hidden="1" x14ac:dyDescent="0.15">
      <c r="A392" s="30">
        <v>376</v>
      </c>
      <c r="B392" s="32">
        <f>COUNTIF(requirement_measure_map!$D$3:$D$1514,measure!A392)</f>
        <v>0</v>
      </c>
      <c r="C392" s="30" t="s">
        <v>800</v>
      </c>
      <c r="D392" s="15" t="s">
        <v>1294</v>
      </c>
      <c r="E392" s="15" t="s">
        <v>1297</v>
      </c>
      <c r="F392" s="15" t="s">
        <v>1298</v>
      </c>
      <c r="G392" s="29" t="s">
        <v>1262</v>
      </c>
      <c r="H392" s="15"/>
      <c r="I392" s="15" t="s">
        <v>214</v>
      </c>
      <c r="J392" s="15" t="s">
        <v>215</v>
      </c>
      <c r="K392" s="15" t="s">
        <v>1291</v>
      </c>
      <c r="L392" s="15" t="s">
        <v>1264</v>
      </c>
      <c r="M392" s="15" t="s">
        <v>219</v>
      </c>
      <c r="N392" s="15" t="s">
        <v>219</v>
      </c>
      <c r="O392" s="15" t="s">
        <v>219</v>
      </c>
      <c r="P392" s="15" t="s">
        <v>219</v>
      </c>
      <c r="Q392" s="15" t="s">
        <v>219</v>
      </c>
      <c r="R392" s="15" t="s">
        <v>219</v>
      </c>
      <c r="S392" s="15" t="s">
        <v>219</v>
      </c>
      <c r="T392" s="15" t="s">
        <v>219</v>
      </c>
      <c r="U392" s="15" t="s">
        <v>219</v>
      </c>
      <c r="V392" s="15" t="s">
        <v>219</v>
      </c>
      <c r="W392" s="15">
        <v>29</v>
      </c>
      <c r="X392" s="15" t="str">
        <f>_xlfn.XLOOKUP(tblMeasure[[#This Row],[id_src]],tblSource[id_src],tblSource[org])</f>
        <v>NHS England</v>
      </c>
      <c r="Y392" s="25" t="str">
        <f>_xlfn.XLOOKUP(tblMeasure[[#This Row],[id_src]],tblSource[id_src],tblSource[source])</f>
        <v>Better Care Fund: Data Collection and Performance Report</v>
      </c>
      <c r="Z392" s="25" t="str">
        <f>_xlfn.XLOOKUP(tblMeasure[[#This Row],[id_src]],tblSource[id_src],tblSource[url_source])</f>
        <v>https://www.england.nhs.uk/publication/better-care-fund-quarterly-performance-report-2018-19/</v>
      </c>
      <c r="AA392" s="25">
        <f>_xlfn.XLOOKUP(tblMeasure[[#This Row],[id_src]],tblSource[id_src],tblSource[year_first_published])</f>
        <v>2015</v>
      </c>
      <c r="AB392" s="25">
        <f>_xlfn.XLOOKUP(tblMeasure[[#This Row],[id_src]],tblSource[id_src],tblSource[year_last_published])</f>
        <v>2018</v>
      </c>
      <c r="AC392" s="25">
        <f>_xlfn.XLOOKUP(tblMeasure[[#This Row],[id_src]],tblSource[id_src],tblSource[discontinuity])</f>
        <v>0</v>
      </c>
      <c r="AD392" s="25" t="str">
        <f>_xlfn.XLOOKUP(tblMeasure[[#This Row],[id_src]],tblSource[id_src],tblSource[publication_frequency])</f>
        <v>Quarterly</v>
      </c>
      <c r="AE392" s="15">
        <f>_xlfn.XLOOKUP(tblMeasure[[#This Row],[id_src]],tblSource[id_src],tblSource[publication_lag_months])</f>
        <v>7</v>
      </c>
      <c r="AF392" s="25" t="str">
        <f>_xlfn.XLOOKUP(tblMeasure[[#This Row],[id_src]],tblSource[id_src],tblSource[data_providers])</f>
        <v>DHSC, MHCLG, NHS England, LGA, NHS Digital</v>
      </c>
      <c r="AG392" s="25" t="str">
        <f>_xlfn.XLOOKUP(tblMeasure[[#This Row],[id_src]],tblSource[id_src],tblSource[statistic_class])</f>
        <v>Management Information</v>
      </c>
      <c r="AH392" s="25" t="str">
        <f>_xlfn.XLOOKUP(tblMeasure[[#This Row],[id_src]],tblSource[id_src],tblSource[methodology_link])</f>
        <v>TBD</v>
      </c>
      <c r="AI392" s="25" t="str">
        <f>_xlfn.XLOOKUP(tblMeasure[[#This Row],[id_src]],tblSource[id_src],tblSource[quality_issues])</f>
        <v>TBD</v>
      </c>
      <c r="AJ392" s="25">
        <f>VLOOKUP(tblMeasure[[#This Row],[msr_population_or_survey]],strlu_msr_population_or_survey,2,FALSE)</f>
        <v>1</v>
      </c>
      <c r="AK392" s="25">
        <f>VLOOKUP(tblMeasure[[#This Row],[msr_min_geo_resolution]],strlu_msr_min_geo_resolution,2,FALSE)</f>
        <v>1</v>
      </c>
      <c r="AL392" s="25">
        <f>(MAX(tblMeasure[[#This Row],[src_year_last_published]]-2010+1,0)+MIN(2010-tblMeasure[[#This Row],[src_year_first_published]],0)-MAX(tblMeasure[[#This Row],[src_year_last_published]]-2019,0))/10</f>
        <v>0.4</v>
      </c>
      <c r="AM392" s="25">
        <f>IF(OR(tblMeasure[[#This Row],[src_discontinuity]]="None",tblMeasure[[#This Row],[src_discontinuity]]=0),1,0)</f>
        <v>1</v>
      </c>
      <c r="AN392" s="25">
        <f>VLOOKUP(tblMeasure[[#This Row],[src_pub_frequency]],strlu_src_pub_frequency,2,FALSE)</f>
        <v>0.9</v>
      </c>
      <c r="AO392" s="25">
        <f>VLOOKUP(tblMeasure[[#This Row],[src_pub_lag_months]],strlu_src_pub_lag_months,2,FALSE)</f>
        <v>0.3</v>
      </c>
      <c r="AP392" s="25">
        <f>VLOOKUP(tblMeasure[[#This Row],[src_statistic_class]],strlu_src_statistic_class,2,FALSE)</f>
        <v>0.8</v>
      </c>
      <c r="AQ392" s="25">
        <f>IF(tblMeasure[[#This Row],[src_methodology_url]]="TBD",0,1)</f>
        <v>0</v>
      </c>
      <c r="AR392" s="25">
        <f>IF(tblMeasure[[#This Row],[src_quality_url]]="TBD",0,1)</f>
        <v>0</v>
      </c>
      <c r="AS392" s="85" cm="1">
        <f t="array" ref="AS392">SUMPRODUCT(TRANSPOSE(tblMeasure[[#This Row],[str_msr_population_or_survey]:[str_src_quality_url]]),str_weights)/str_weights_total</f>
        <v>0.73076923076923073</v>
      </c>
    </row>
    <row r="393" spans="1:45" hidden="1" x14ac:dyDescent="0.15">
      <c r="A393" s="30">
        <v>377</v>
      </c>
      <c r="B393" s="32">
        <f>COUNTIF(requirement_measure_map!$D$3:$D$1514,measure!A393)</f>
        <v>0</v>
      </c>
      <c r="C393" s="30" t="s">
        <v>800</v>
      </c>
      <c r="D393" s="15" t="s">
        <v>1294</v>
      </c>
      <c r="E393" s="15" t="s">
        <v>1299</v>
      </c>
      <c r="F393" s="15" t="s">
        <v>1300</v>
      </c>
      <c r="G393" s="29" t="s">
        <v>1262</v>
      </c>
      <c r="H393" s="15"/>
      <c r="I393" s="15" t="s">
        <v>214</v>
      </c>
      <c r="J393" s="15" t="s">
        <v>215</v>
      </c>
      <c r="K393" s="15" t="s">
        <v>1291</v>
      </c>
      <c r="L393" s="15" t="s">
        <v>1264</v>
      </c>
      <c r="M393" s="15" t="s">
        <v>219</v>
      </c>
      <c r="N393" s="15" t="s">
        <v>219</v>
      </c>
      <c r="O393" s="15" t="s">
        <v>219</v>
      </c>
      <c r="P393" s="15" t="s">
        <v>219</v>
      </c>
      <c r="Q393" s="15" t="s">
        <v>219</v>
      </c>
      <c r="R393" s="15" t="s">
        <v>219</v>
      </c>
      <c r="S393" s="15" t="s">
        <v>219</v>
      </c>
      <c r="T393" s="15" t="s">
        <v>219</v>
      </c>
      <c r="U393" s="15" t="s">
        <v>219</v>
      </c>
      <c r="V393" s="15" t="s">
        <v>219</v>
      </c>
      <c r="W393" s="15">
        <v>29</v>
      </c>
      <c r="X393" s="15" t="str">
        <f>_xlfn.XLOOKUP(tblMeasure[[#This Row],[id_src]],tblSource[id_src],tblSource[org])</f>
        <v>NHS England</v>
      </c>
      <c r="Y393" s="25" t="str">
        <f>_xlfn.XLOOKUP(tblMeasure[[#This Row],[id_src]],tblSource[id_src],tblSource[source])</f>
        <v>Better Care Fund: Data Collection and Performance Report</v>
      </c>
      <c r="Z393" s="25" t="str">
        <f>_xlfn.XLOOKUP(tblMeasure[[#This Row],[id_src]],tblSource[id_src],tblSource[url_source])</f>
        <v>https://www.england.nhs.uk/publication/better-care-fund-quarterly-performance-report-2018-19/</v>
      </c>
      <c r="AA393" s="25">
        <f>_xlfn.XLOOKUP(tblMeasure[[#This Row],[id_src]],tblSource[id_src],tblSource[year_first_published])</f>
        <v>2015</v>
      </c>
      <c r="AB393" s="25">
        <f>_xlfn.XLOOKUP(tblMeasure[[#This Row],[id_src]],tblSource[id_src],tblSource[year_last_published])</f>
        <v>2018</v>
      </c>
      <c r="AC393" s="25">
        <f>_xlfn.XLOOKUP(tblMeasure[[#This Row],[id_src]],tblSource[id_src],tblSource[discontinuity])</f>
        <v>0</v>
      </c>
      <c r="AD393" s="25" t="str">
        <f>_xlfn.XLOOKUP(tblMeasure[[#This Row],[id_src]],tblSource[id_src],tblSource[publication_frequency])</f>
        <v>Quarterly</v>
      </c>
      <c r="AE393" s="15">
        <f>_xlfn.XLOOKUP(tblMeasure[[#This Row],[id_src]],tblSource[id_src],tblSource[publication_lag_months])</f>
        <v>7</v>
      </c>
      <c r="AF393" s="25" t="str">
        <f>_xlfn.XLOOKUP(tblMeasure[[#This Row],[id_src]],tblSource[id_src],tblSource[data_providers])</f>
        <v>DHSC, MHCLG, NHS England, LGA, NHS Digital</v>
      </c>
      <c r="AG393" s="25" t="str">
        <f>_xlfn.XLOOKUP(tblMeasure[[#This Row],[id_src]],tblSource[id_src],tblSource[statistic_class])</f>
        <v>Management Information</v>
      </c>
      <c r="AH393" s="25" t="str">
        <f>_xlfn.XLOOKUP(tblMeasure[[#This Row],[id_src]],tblSource[id_src],tblSource[methodology_link])</f>
        <v>TBD</v>
      </c>
      <c r="AI393" s="25" t="str">
        <f>_xlfn.XLOOKUP(tblMeasure[[#This Row],[id_src]],tblSource[id_src],tblSource[quality_issues])</f>
        <v>TBD</v>
      </c>
      <c r="AJ393" s="25">
        <f>VLOOKUP(tblMeasure[[#This Row],[msr_population_or_survey]],strlu_msr_population_or_survey,2,FALSE)</f>
        <v>1</v>
      </c>
      <c r="AK393" s="25">
        <f>VLOOKUP(tblMeasure[[#This Row],[msr_min_geo_resolution]],strlu_msr_min_geo_resolution,2,FALSE)</f>
        <v>1</v>
      </c>
      <c r="AL393" s="25">
        <f>(MAX(tblMeasure[[#This Row],[src_year_last_published]]-2010+1,0)+MIN(2010-tblMeasure[[#This Row],[src_year_first_published]],0)-MAX(tblMeasure[[#This Row],[src_year_last_published]]-2019,0))/10</f>
        <v>0.4</v>
      </c>
      <c r="AM393" s="25">
        <f>IF(OR(tblMeasure[[#This Row],[src_discontinuity]]="None",tblMeasure[[#This Row],[src_discontinuity]]=0),1,0)</f>
        <v>1</v>
      </c>
      <c r="AN393" s="25">
        <f>VLOOKUP(tblMeasure[[#This Row],[src_pub_frequency]],strlu_src_pub_frequency,2,FALSE)</f>
        <v>0.9</v>
      </c>
      <c r="AO393" s="25">
        <f>VLOOKUP(tblMeasure[[#This Row],[src_pub_lag_months]],strlu_src_pub_lag_months,2,FALSE)</f>
        <v>0.3</v>
      </c>
      <c r="AP393" s="25">
        <f>VLOOKUP(tblMeasure[[#This Row],[src_statistic_class]],strlu_src_statistic_class,2,FALSE)</f>
        <v>0.8</v>
      </c>
      <c r="AQ393" s="25">
        <f>IF(tblMeasure[[#This Row],[src_methodology_url]]="TBD",0,1)</f>
        <v>0</v>
      </c>
      <c r="AR393" s="25">
        <f>IF(tblMeasure[[#This Row],[src_quality_url]]="TBD",0,1)</f>
        <v>0</v>
      </c>
      <c r="AS393" s="85" cm="1">
        <f t="array" ref="AS393">SUMPRODUCT(TRANSPOSE(tblMeasure[[#This Row],[str_msr_population_or_survey]:[str_src_quality_url]]),str_weights)/str_weights_total</f>
        <v>0.73076923076923073</v>
      </c>
    </row>
    <row r="394" spans="1:45" hidden="1" x14ac:dyDescent="0.15">
      <c r="A394" s="30">
        <v>378</v>
      </c>
      <c r="B394" s="32">
        <f>COUNTIF(requirement_measure_map!$D$3:$D$1514,measure!A394)</f>
        <v>1</v>
      </c>
      <c r="C394" s="30" t="s">
        <v>1259</v>
      </c>
      <c r="D394" s="15" t="s">
        <v>1301</v>
      </c>
      <c r="E394" s="15" t="s">
        <v>1301</v>
      </c>
      <c r="F394" s="15" t="s">
        <v>1302</v>
      </c>
      <c r="G394" s="29" t="s">
        <v>1262</v>
      </c>
      <c r="H394" s="15" t="s">
        <v>487</v>
      </c>
      <c r="I394" s="15" t="s">
        <v>214</v>
      </c>
      <c r="J394" s="15" t="s">
        <v>215</v>
      </c>
      <c r="K394" s="15" t="s">
        <v>1303</v>
      </c>
      <c r="L394" s="15" t="s">
        <v>1264</v>
      </c>
      <c r="M394" s="15" t="s">
        <v>219</v>
      </c>
      <c r="N394" s="15" t="s">
        <v>219</v>
      </c>
      <c r="O394" s="15" t="s">
        <v>219</v>
      </c>
      <c r="P394" s="15" t="s">
        <v>219</v>
      </c>
      <c r="Q394" s="15" t="s">
        <v>219</v>
      </c>
      <c r="R394" s="15" t="s">
        <v>219</v>
      </c>
      <c r="S394" s="15" t="s">
        <v>219</v>
      </c>
      <c r="T394" s="15" t="s">
        <v>219</v>
      </c>
      <c r="U394" s="15" t="s">
        <v>219</v>
      </c>
      <c r="V394" s="15" t="s">
        <v>219</v>
      </c>
      <c r="W394" s="15">
        <v>29</v>
      </c>
      <c r="X394" s="15" t="str">
        <f>_xlfn.XLOOKUP(tblMeasure[[#This Row],[id_src]],tblSource[id_src],tblSource[org])</f>
        <v>NHS England</v>
      </c>
      <c r="Y394" s="25" t="str">
        <f>_xlfn.XLOOKUP(tblMeasure[[#This Row],[id_src]],tblSource[id_src],tblSource[source])</f>
        <v>Better Care Fund: Data Collection and Performance Report</v>
      </c>
      <c r="Z394" s="25" t="str">
        <f>_xlfn.XLOOKUP(tblMeasure[[#This Row],[id_src]],tblSource[id_src],tblSource[url_source])</f>
        <v>https://www.england.nhs.uk/publication/better-care-fund-quarterly-performance-report-2018-19/</v>
      </c>
      <c r="AA394" s="25">
        <f>_xlfn.XLOOKUP(tblMeasure[[#This Row],[id_src]],tblSource[id_src],tblSource[year_first_published])</f>
        <v>2015</v>
      </c>
      <c r="AB394" s="25">
        <f>_xlfn.XLOOKUP(tblMeasure[[#This Row],[id_src]],tblSource[id_src],tblSource[year_last_published])</f>
        <v>2018</v>
      </c>
      <c r="AC394" s="25">
        <f>_xlfn.XLOOKUP(tblMeasure[[#This Row],[id_src]],tblSource[id_src],tblSource[discontinuity])</f>
        <v>0</v>
      </c>
      <c r="AD394" s="25" t="str">
        <f>_xlfn.XLOOKUP(tblMeasure[[#This Row],[id_src]],tblSource[id_src],tblSource[publication_frequency])</f>
        <v>Quarterly</v>
      </c>
      <c r="AE394" s="15">
        <f>_xlfn.XLOOKUP(tblMeasure[[#This Row],[id_src]],tblSource[id_src],tblSource[publication_lag_months])</f>
        <v>7</v>
      </c>
      <c r="AF394" s="25" t="str">
        <f>_xlfn.XLOOKUP(tblMeasure[[#This Row],[id_src]],tblSource[id_src],tblSource[data_providers])</f>
        <v>DHSC, MHCLG, NHS England, LGA, NHS Digital</v>
      </c>
      <c r="AG394" s="25" t="str">
        <f>_xlfn.XLOOKUP(tblMeasure[[#This Row],[id_src]],tblSource[id_src],tblSource[statistic_class])</f>
        <v>Management Information</v>
      </c>
      <c r="AH394" s="25" t="str">
        <f>_xlfn.XLOOKUP(tblMeasure[[#This Row],[id_src]],tblSource[id_src],tblSource[methodology_link])</f>
        <v>TBD</v>
      </c>
      <c r="AI394" s="25" t="str">
        <f>_xlfn.XLOOKUP(tblMeasure[[#This Row],[id_src]],tblSource[id_src],tblSource[quality_issues])</f>
        <v>TBD</v>
      </c>
      <c r="AJ394" s="25">
        <f>VLOOKUP(tblMeasure[[#This Row],[msr_population_or_survey]],strlu_msr_population_or_survey,2,FALSE)</f>
        <v>1</v>
      </c>
      <c r="AK394" s="25">
        <f>VLOOKUP(tblMeasure[[#This Row],[msr_min_geo_resolution]],strlu_msr_min_geo_resolution,2,FALSE)</f>
        <v>1</v>
      </c>
      <c r="AL394" s="25">
        <f>(MAX(tblMeasure[[#This Row],[src_year_last_published]]-2010+1,0)+MIN(2010-tblMeasure[[#This Row],[src_year_first_published]],0)-MAX(tblMeasure[[#This Row],[src_year_last_published]]-2019,0))/10</f>
        <v>0.4</v>
      </c>
      <c r="AM394" s="25">
        <f>IF(OR(tblMeasure[[#This Row],[src_discontinuity]]="None",tblMeasure[[#This Row],[src_discontinuity]]=0),1,0)</f>
        <v>1</v>
      </c>
      <c r="AN394" s="25">
        <f>VLOOKUP(tblMeasure[[#This Row],[src_pub_frequency]],strlu_src_pub_frequency,2,FALSE)</f>
        <v>0.9</v>
      </c>
      <c r="AO394" s="25">
        <f>VLOOKUP(tblMeasure[[#This Row],[src_pub_lag_months]],strlu_src_pub_lag_months,2,FALSE)</f>
        <v>0.3</v>
      </c>
      <c r="AP394" s="25">
        <f>VLOOKUP(tblMeasure[[#This Row],[src_statistic_class]],strlu_src_statistic_class,2,FALSE)</f>
        <v>0.8</v>
      </c>
      <c r="AQ394" s="25">
        <f>IF(tblMeasure[[#This Row],[src_methodology_url]]="TBD",0,1)</f>
        <v>0</v>
      </c>
      <c r="AR394" s="25">
        <f>IF(tblMeasure[[#This Row],[src_quality_url]]="TBD",0,1)</f>
        <v>0</v>
      </c>
      <c r="AS394" s="85" cm="1">
        <f t="array" ref="AS394">SUMPRODUCT(TRANSPOSE(tblMeasure[[#This Row],[str_msr_population_or_survey]:[str_src_quality_url]]),str_weights)/str_weights_total</f>
        <v>0.73076923076923073</v>
      </c>
    </row>
    <row r="395" spans="1:45" hidden="1" x14ac:dyDescent="0.15">
      <c r="A395" s="30">
        <v>379</v>
      </c>
      <c r="B395" s="32">
        <f>COUNTIF(requirement_measure_map!$D$3:$D$1514,measure!A395)</f>
        <v>1</v>
      </c>
      <c r="C395" s="30" t="s">
        <v>1259</v>
      </c>
      <c r="D395" s="15" t="s">
        <v>1301</v>
      </c>
      <c r="E395" s="15" t="s">
        <v>1304</v>
      </c>
      <c r="F395" s="15" t="s">
        <v>1305</v>
      </c>
      <c r="G395" s="29" t="s">
        <v>1262</v>
      </c>
      <c r="H395" s="15" t="s">
        <v>487</v>
      </c>
      <c r="I395" s="15" t="s">
        <v>214</v>
      </c>
      <c r="J395" s="15" t="s">
        <v>215</v>
      </c>
      <c r="K395" s="15" t="s">
        <v>1303</v>
      </c>
      <c r="L395" s="15" t="s">
        <v>1264</v>
      </c>
      <c r="M395" s="15" t="s">
        <v>219</v>
      </c>
      <c r="N395" s="15" t="s">
        <v>219</v>
      </c>
      <c r="O395" s="15" t="s">
        <v>219</v>
      </c>
      <c r="P395" s="15" t="s">
        <v>219</v>
      </c>
      <c r="Q395" s="15" t="s">
        <v>219</v>
      </c>
      <c r="R395" s="15" t="s">
        <v>219</v>
      </c>
      <c r="S395" s="15" t="s">
        <v>219</v>
      </c>
      <c r="T395" s="15" t="s">
        <v>219</v>
      </c>
      <c r="U395" s="15" t="s">
        <v>219</v>
      </c>
      <c r="V395" s="15" t="s">
        <v>219</v>
      </c>
      <c r="W395" s="15">
        <v>29</v>
      </c>
      <c r="X395" s="15" t="str">
        <f>_xlfn.XLOOKUP(tblMeasure[[#This Row],[id_src]],tblSource[id_src],tblSource[org])</f>
        <v>NHS England</v>
      </c>
      <c r="Y395" s="25" t="str">
        <f>_xlfn.XLOOKUP(tblMeasure[[#This Row],[id_src]],tblSource[id_src],tblSource[source])</f>
        <v>Better Care Fund: Data Collection and Performance Report</v>
      </c>
      <c r="Z395" s="25" t="str">
        <f>_xlfn.XLOOKUP(tblMeasure[[#This Row],[id_src]],tblSource[id_src],tblSource[url_source])</f>
        <v>https://www.england.nhs.uk/publication/better-care-fund-quarterly-performance-report-2018-19/</v>
      </c>
      <c r="AA395" s="25">
        <f>_xlfn.XLOOKUP(tblMeasure[[#This Row],[id_src]],tblSource[id_src],tblSource[year_first_published])</f>
        <v>2015</v>
      </c>
      <c r="AB395" s="25">
        <f>_xlfn.XLOOKUP(tblMeasure[[#This Row],[id_src]],tblSource[id_src],tblSource[year_last_published])</f>
        <v>2018</v>
      </c>
      <c r="AC395" s="25">
        <f>_xlfn.XLOOKUP(tblMeasure[[#This Row],[id_src]],tblSource[id_src],tblSource[discontinuity])</f>
        <v>0</v>
      </c>
      <c r="AD395" s="25" t="str">
        <f>_xlfn.XLOOKUP(tblMeasure[[#This Row],[id_src]],tblSource[id_src],tblSource[publication_frequency])</f>
        <v>Quarterly</v>
      </c>
      <c r="AE395" s="15">
        <f>_xlfn.XLOOKUP(tblMeasure[[#This Row],[id_src]],tblSource[id_src],tblSource[publication_lag_months])</f>
        <v>7</v>
      </c>
      <c r="AF395" s="25" t="str">
        <f>_xlfn.XLOOKUP(tblMeasure[[#This Row],[id_src]],tblSource[id_src],tblSource[data_providers])</f>
        <v>DHSC, MHCLG, NHS England, LGA, NHS Digital</v>
      </c>
      <c r="AG395" s="25" t="str">
        <f>_xlfn.XLOOKUP(tblMeasure[[#This Row],[id_src]],tblSource[id_src],tblSource[statistic_class])</f>
        <v>Management Information</v>
      </c>
      <c r="AH395" s="25" t="str">
        <f>_xlfn.XLOOKUP(tblMeasure[[#This Row],[id_src]],tblSource[id_src],tblSource[methodology_link])</f>
        <v>TBD</v>
      </c>
      <c r="AI395" s="25" t="str">
        <f>_xlfn.XLOOKUP(tblMeasure[[#This Row],[id_src]],tblSource[id_src],tblSource[quality_issues])</f>
        <v>TBD</v>
      </c>
      <c r="AJ395" s="25">
        <f>VLOOKUP(tblMeasure[[#This Row],[msr_population_or_survey]],strlu_msr_population_or_survey,2,FALSE)</f>
        <v>1</v>
      </c>
      <c r="AK395" s="25">
        <f>VLOOKUP(tblMeasure[[#This Row],[msr_min_geo_resolution]],strlu_msr_min_geo_resolution,2,FALSE)</f>
        <v>1</v>
      </c>
      <c r="AL395" s="25">
        <f>(MAX(tblMeasure[[#This Row],[src_year_last_published]]-2010+1,0)+MIN(2010-tblMeasure[[#This Row],[src_year_first_published]],0)-MAX(tblMeasure[[#This Row],[src_year_last_published]]-2019,0))/10</f>
        <v>0.4</v>
      </c>
      <c r="AM395" s="25">
        <f>IF(OR(tblMeasure[[#This Row],[src_discontinuity]]="None",tblMeasure[[#This Row],[src_discontinuity]]=0),1,0)</f>
        <v>1</v>
      </c>
      <c r="AN395" s="25">
        <f>VLOOKUP(tblMeasure[[#This Row],[src_pub_frequency]],strlu_src_pub_frequency,2,FALSE)</f>
        <v>0.9</v>
      </c>
      <c r="AO395" s="25">
        <f>VLOOKUP(tblMeasure[[#This Row],[src_pub_lag_months]],strlu_src_pub_lag_months,2,FALSE)</f>
        <v>0.3</v>
      </c>
      <c r="AP395" s="25">
        <f>VLOOKUP(tblMeasure[[#This Row],[src_statistic_class]],strlu_src_statistic_class,2,FALSE)</f>
        <v>0.8</v>
      </c>
      <c r="AQ395" s="25">
        <f>IF(tblMeasure[[#This Row],[src_methodology_url]]="TBD",0,1)</f>
        <v>0</v>
      </c>
      <c r="AR395" s="25">
        <f>IF(tblMeasure[[#This Row],[src_quality_url]]="TBD",0,1)</f>
        <v>0</v>
      </c>
      <c r="AS395" s="85" cm="1">
        <f t="array" ref="AS395">SUMPRODUCT(TRANSPOSE(tblMeasure[[#This Row],[str_msr_population_or_survey]:[str_src_quality_url]]),str_weights)/str_weights_total</f>
        <v>0.73076923076923073</v>
      </c>
    </row>
    <row r="396" spans="1:45" hidden="1" x14ac:dyDescent="0.15">
      <c r="A396" s="30">
        <v>380</v>
      </c>
      <c r="B396" s="32">
        <f>COUNTIF(requirement_measure_map!$D$3:$D$1514,measure!A396)</f>
        <v>3</v>
      </c>
      <c r="C396" s="30" t="s">
        <v>1259</v>
      </c>
      <c r="D396" s="15" t="s">
        <v>1306</v>
      </c>
      <c r="E396" s="15" t="s">
        <v>1307</v>
      </c>
      <c r="F396" s="15" t="s">
        <v>1308</v>
      </c>
      <c r="G396" s="29" t="s">
        <v>1262</v>
      </c>
      <c r="H396" s="15" t="s">
        <v>1309</v>
      </c>
      <c r="I396" s="15" t="s">
        <v>214</v>
      </c>
      <c r="J396" s="15" t="s">
        <v>215</v>
      </c>
      <c r="K396" s="15" t="s">
        <v>1310</v>
      </c>
      <c r="L396" s="15" t="s">
        <v>1264</v>
      </c>
      <c r="M396" s="15" t="s">
        <v>219</v>
      </c>
      <c r="N396" s="15" t="s">
        <v>219</v>
      </c>
      <c r="O396" s="15" t="s">
        <v>219</v>
      </c>
      <c r="P396" s="15" t="s">
        <v>219</v>
      </c>
      <c r="Q396" s="15" t="s">
        <v>219</v>
      </c>
      <c r="R396" s="15" t="s">
        <v>219</v>
      </c>
      <c r="S396" s="15" t="s">
        <v>219</v>
      </c>
      <c r="T396" s="15" t="s">
        <v>219</v>
      </c>
      <c r="U396" s="15" t="s">
        <v>219</v>
      </c>
      <c r="V396" s="15" t="s">
        <v>219</v>
      </c>
      <c r="W396" s="15">
        <v>29</v>
      </c>
      <c r="X396" s="15" t="str">
        <f>_xlfn.XLOOKUP(tblMeasure[[#This Row],[id_src]],tblSource[id_src],tblSource[org])</f>
        <v>NHS England</v>
      </c>
      <c r="Y396" s="25" t="str">
        <f>_xlfn.XLOOKUP(tblMeasure[[#This Row],[id_src]],tblSource[id_src],tblSource[source])</f>
        <v>Better Care Fund: Data Collection and Performance Report</v>
      </c>
      <c r="Z396" s="25" t="str">
        <f>_xlfn.XLOOKUP(tblMeasure[[#This Row],[id_src]],tblSource[id_src],tblSource[url_source])</f>
        <v>https://www.england.nhs.uk/publication/better-care-fund-quarterly-performance-report-2018-19/</v>
      </c>
      <c r="AA396" s="25">
        <f>_xlfn.XLOOKUP(tblMeasure[[#This Row],[id_src]],tblSource[id_src],tblSource[year_first_published])</f>
        <v>2015</v>
      </c>
      <c r="AB396" s="25">
        <f>_xlfn.XLOOKUP(tblMeasure[[#This Row],[id_src]],tblSource[id_src],tblSource[year_last_published])</f>
        <v>2018</v>
      </c>
      <c r="AC396" s="25">
        <f>_xlfn.XLOOKUP(tblMeasure[[#This Row],[id_src]],tblSource[id_src],tblSource[discontinuity])</f>
        <v>0</v>
      </c>
      <c r="AD396" s="25" t="str">
        <f>_xlfn.XLOOKUP(tblMeasure[[#This Row],[id_src]],tblSource[id_src],tblSource[publication_frequency])</f>
        <v>Quarterly</v>
      </c>
      <c r="AE396" s="15">
        <f>_xlfn.XLOOKUP(tblMeasure[[#This Row],[id_src]],tblSource[id_src],tblSource[publication_lag_months])</f>
        <v>7</v>
      </c>
      <c r="AF396" s="25" t="str">
        <f>_xlfn.XLOOKUP(tblMeasure[[#This Row],[id_src]],tblSource[id_src],tblSource[data_providers])</f>
        <v>DHSC, MHCLG, NHS England, LGA, NHS Digital</v>
      </c>
      <c r="AG396" s="25" t="str">
        <f>_xlfn.XLOOKUP(tblMeasure[[#This Row],[id_src]],tblSource[id_src],tblSource[statistic_class])</f>
        <v>Management Information</v>
      </c>
      <c r="AH396" s="25" t="str">
        <f>_xlfn.XLOOKUP(tblMeasure[[#This Row],[id_src]],tblSource[id_src],tblSource[methodology_link])</f>
        <v>TBD</v>
      </c>
      <c r="AI396" s="25" t="str">
        <f>_xlfn.XLOOKUP(tblMeasure[[#This Row],[id_src]],tblSource[id_src],tblSource[quality_issues])</f>
        <v>TBD</v>
      </c>
      <c r="AJ396" s="25">
        <f>VLOOKUP(tblMeasure[[#This Row],[msr_population_or_survey]],strlu_msr_population_or_survey,2,FALSE)</f>
        <v>1</v>
      </c>
      <c r="AK396" s="25">
        <f>VLOOKUP(tblMeasure[[#This Row],[msr_min_geo_resolution]],strlu_msr_min_geo_resolution,2,FALSE)</f>
        <v>1</v>
      </c>
      <c r="AL396" s="25">
        <f>(MAX(tblMeasure[[#This Row],[src_year_last_published]]-2010+1,0)+MIN(2010-tblMeasure[[#This Row],[src_year_first_published]],0)-MAX(tblMeasure[[#This Row],[src_year_last_published]]-2019,0))/10</f>
        <v>0.4</v>
      </c>
      <c r="AM396" s="25">
        <f>IF(OR(tblMeasure[[#This Row],[src_discontinuity]]="None",tblMeasure[[#This Row],[src_discontinuity]]=0),1,0)</f>
        <v>1</v>
      </c>
      <c r="AN396" s="25">
        <f>VLOOKUP(tblMeasure[[#This Row],[src_pub_frequency]],strlu_src_pub_frequency,2,FALSE)</f>
        <v>0.9</v>
      </c>
      <c r="AO396" s="25">
        <f>VLOOKUP(tblMeasure[[#This Row],[src_pub_lag_months]],strlu_src_pub_lag_months,2,FALSE)</f>
        <v>0.3</v>
      </c>
      <c r="AP396" s="25">
        <f>VLOOKUP(tblMeasure[[#This Row],[src_statistic_class]],strlu_src_statistic_class,2,FALSE)</f>
        <v>0.8</v>
      </c>
      <c r="AQ396" s="25">
        <f>IF(tblMeasure[[#This Row],[src_methodology_url]]="TBD",0,1)</f>
        <v>0</v>
      </c>
      <c r="AR396" s="25">
        <f>IF(tblMeasure[[#This Row],[src_quality_url]]="TBD",0,1)</f>
        <v>0</v>
      </c>
      <c r="AS396" s="85" cm="1">
        <f t="array" ref="AS396">SUMPRODUCT(TRANSPOSE(tblMeasure[[#This Row],[str_msr_population_or_survey]:[str_src_quality_url]]),str_weights)/str_weights_total</f>
        <v>0.73076923076923073</v>
      </c>
    </row>
    <row r="397" spans="1:45" hidden="1" x14ac:dyDescent="0.15">
      <c r="A397" s="30">
        <v>381</v>
      </c>
      <c r="B397" s="32">
        <f>COUNTIF(requirement_measure_map!$D$3:$D$1514,measure!A397)</f>
        <v>1</v>
      </c>
      <c r="C397" s="30" t="s">
        <v>1259</v>
      </c>
      <c r="D397" s="15" t="s">
        <v>1306</v>
      </c>
      <c r="E397" s="15" t="s">
        <v>1311</v>
      </c>
      <c r="F397" s="15" t="s">
        <v>1312</v>
      </c>
      <c r="G397" s="29" t="s">
        <v>1262</v>
      </c>
      <c r="H397" s="15"/>
      <c r="I397" s="15" t="s">
        <v>214</v>
      </c>
      <c r="J397" s="15" t="s">
        <v>215</v>
      </c>
      <c r="K397" s="15" t="s">
        <v>1313</v>
      </c>
      <c r="L397" s="15" t="s">
        <v>1264</v>
      </c>
      <c r="M397" s="15" t="s">
        <v>219</v>
      </c>
      <c r="N397" s="15" t="s">
        <v>219</v>
      </c>
      <c r="O397" s="15" t="s">
        <v>219</v>
      </c>
      <c r="P397" s="15" t="s">
        <v>219</v>
      </c>
      <c r="Q397" s="15" t="s">
        <v>219</v>
      </c>
      <c r="R397" s="15" t="s">
        <v>219</v>
      </c>
      <c r="S397" s="15" t="s">
        <v>219</v>
      </c>
      <c r="T397" s="15" t="s">
        <v>219</v>
      </c>
      <c r="U397" s="15" t="s">
        <v>219</v>
      </c>
      <c r="V397" s="15" t="s">
        <v>219</v>
      </c>
      <c r="W397" s="15">
        <v>29</v>
      </c>
      <c r="X397" s="15" t="str">
        <f>_xlfn.XLOOKUP(tblMeasure[[#This Row],[id_src]],tblSource[id_src],tblSource[org])</f>
        <v>NHS England</v>
      </c>
      <c r="Y397" s="25" t="str">
        <f>_xlfn.XLOOKUP(tblMeasure[[#This Row],[id_src]],tblSource[id_src],tblSource[source])</f>
        <v>Better Care Fund: Data Collection and Performance Report</v>
      </c>
      <c r="Z397" s="25" t="str">
        <f>_xlfn.XLOOKUP(tblMeasure[[#This Row],[id_src]],tblSource[id_src],tblSource[url_source])</f>
        <v>https://www.england.nhs.uk/publication/better-care-fund-quarterly-performance-report-2018-19/</v>
      </c>
      <c r="AA397" s="25">
        <f>_xlfn.XLOOKUP(tblMeasure[[#This Row],[id_src]],tblSource[id_src],tblSource[year_first_published])</f>
        <v>2015</v>
      </c>
      <c r="AB397" s="25">
        <f>_xlfn.XLOOKUP(tblMeasure[[#This Row],[id_src]],tblSource[id_src],tblSource[year_last_published])</f>
        <v>2018</v>
      </c>
      <c r="AC397" s="25">
        <f>_xlfn.XLOOKUP(tblMeasure[[#This Row],[id_src]],tblSource[id_src],tblSource[discontinuity])</f>
        <v>0</v>
      </c>
      <c r="AD397" s="25" t="str">
        <f>_xlfn.XLOOKUP(tblMeasure[[#This Row],[id_src]],tblSource[id_src],tblSource[publication_frequency])</f>
        <v>Quarterly</v>
      </c>
      <c r="AE397" s="15">
        <f>_xlfn.XLOOKUP(tblMeasure[[#This Row],[id_src]],tblSource[id_src],tblSource[publication_lag_months])</f>
        <v>7</v>
      </c>
      <c r="AF397" s="25" t="str">
        <f>_xlfn.XLOOKUP(tblMeasure[[#This Row],[id_src]],tblSource[id_src],tblSource[data_providers])</f>
        <v>DHSC, MHCLG, NHS England, LGA, NHS Digital</v>
      </c>
      <c r="AG397" s="25" t="str">
        <f>_xlfn.XLOOKUP(tblMeasure[[#This Row],[id_src]],tblSource[id_src],tblSource[statistic_class])</f>
        <v>Management Information</v>
      </c>
      <c r="AH397" s="25" t="str">
        <f>_xlfn.XLOOKUP(tblMeasure[[#This Row],[id_src]],tblSource[id_src],tblSource[methodology_link])</f>
        <v>TBD</v>
      </c>
      <c r="AI397" s="25" t="str">
        <f>_xlfn.XLOOKUP(tblMeasure[[#This Row],[id_src]],tblSource[id_src],tblSource[quality_issues])</f>
        <v>TBD</v>
      </c>
      <c r="AJ397" s="25">
        <f>VLOOKUP(tblMeasure[[#This Row],[msr_population_or_survey]],strlu_msr_population_or_survey,2,FALSE)</f>
        <v>1</v>
      </c>
      <c r="AK397" s="25">
        <f>VLOOKUP(tblMeasure[[#This Row],[msr_min_geo_resolution]],strlu_msr_min_geo_resolution,2,FALSE)</f>
        <v>1</v>
      </c>
      <c r="AL397" s="25">
        <f>(MAX(tblMeasure[[#This Row],[src_year_last_published]]-2010+1,0)+MIN(2010-tblMeasure[[#This Row],[src_year_first_published]],0)-MAX(tblMeasure[[#This Row],[src_year_last_published]]-2019,0))/10</f>
        <v>0.4</v>
      </c>
      <c r="AM397" s="25">
        <f>IF(OR(tblMeasure[[#This Row],[src_discontinuity]]="None",tblMeasure[[#This Row],[src_discontinuity]]=0),1,0)</f>
        <v>1</v>
      </c>
      <c r="AN397" s="25">
        <f>VLOOKUP(tblMeasure[[#This Row],[src_pub_frequency]],strlu_src_pub_frequency,2,FALSE)</f>
        <v>0.9</v>
      </c>
      <c r="AO397" s="25">
        <f>VLOOKUP(tblMeasure[[#This Row],[src_pub_lag_months]],strlu_src_pub_lag_months,2,FALSE)</f>
        <v>0.3</v>
      </c>
      <c r="AP397" s="25">
        <f>VLOOKUP(tblMeasure[[#This Row],[src_statistic_class]],strlu_src_statistic_class,2,FALSE)</f>
        <v>0.8</v>
      </c>
      <c r="AQ397" s="25">
        <f>IF(tblMeasure[[#This Row],[src_methodology_url]]="TBD",0,1)</f>
        <v>0</v>
      </c>
      <c r="AR397" s="25">
        <f>IF(tblMeasure[[#This Row],[src_quality_url]]="TBD",0,1)</f>
        <v>0</v>
      </c>
      <c r="AS397" s="85" cm="1">
        <f t="array" ref="AS397">SUMPRODUCT(TRANSPOSE(tblMeasure[[#This Row],[str_msr_population_or_survey]:[str_src_quality_url]]),str_weights)/str_weights_total</f>
        <v>0.73076923076923073</v>
      </c>
    </row>
    <row r="398" spans="1:45" hidden="1" x14ac:dyDescent="0.15">
      <c r="A398" s="30">
        <v>382</v>
      </c>
      <c r="B398" s="32">
        <f>COUNTIF(requirement_measure_map!$D$3:$D$1514,measure!A398)</f>
        <v>0</v>
      </c>
      <c r="C398" s="30" t="s">
        <v>800</v>
      </c>
      <c r="D398" s="15" t="s">
        <v>1314</v>
      </c>
      <c r="E398" s="15" t="s">
        <v>1315</v>
      </c>
      <c r="F398" s="15" t="s">
        <v>1316</v>
      </c>
      <c r="G398" s="29" t="s">
        <v>1262</v>
      </c>
      <c r="H398" s="15"/>
      <c r="I398" s="15" t="s">
        <v>214</v>
      </c>
      <c r="J398" s="15" t="s">
        <v>215</v>
      </c>
      <c r="K398" s="15" t="s">
        <v>1317</v>
      </c>
      <c r="L398" s="15" t="s">
        <v>1264</v>
      </c>
      <c r="M398" s="15" t="s">
        <v>219</v>
      </c>
      <c r="N398" s="15" t="s">
        <v>219</v>
      </c>
      <c r="O398" s="15" t="s">
        <v>219</v>
      </c>
      <c r="P398" s="15" t="s">
        <v>219</v>
      </c>
      <c r="Q398" s="15" t="s">
        <v>219</v>
      </c>
      <c r="R398" s="15" t="s">
        <v>219</v>
      </c>
      <c r="S398" s="15" t="s">
        <v>219</v>
      </c>
      <c r="T398" s="15" t="s">
        <v>219</v>
      </c>
      <c r="U398" s="15" t="s">
        <v>219</v>
      </c>
      <c r="V398" s="15" t="s">
        <v>219</v>
      </c>
      <c r="W398" s="15">
        <v>29</v>
      </c>
      <c r="X398" s="15" t="str">
        <f>_xlfn.XLOOKUP(tblMeasure[[#This Row],[id_src]],tblSource[id_src],tblSource[org])</f>
        <v>NHS England</v>
      </c>
      <c r="Y398" s="25" t="str">
        <f>_xlfn.XLOOKUP(tblMeasure[[#This Row],[id_src]],tblSource[id_src],tblSource[source])</f>
        <v>Better Care Fund: Data Collection and Performance Report</v>
      </c>
      <c r="Z398" s="25" t="str">
        <f>_xlfn.XLOOKUP(tblMeasure[[#This Row],[id_src]],tblSource[id_src],tblSource[url_source])</f>
        <v>https://www.england.nhs.uk/publication/better-care-fund-quarterly-performance-report-2018-19/</v>
      </c>
      <c r="AA398" s="25">
        <f>_xlfn.XLOOKUP(tblMeasure[[#This Row],[id_src]],tblSource[id_src],tblSource[year_first_published])</f>
        <v>2015</v>
      </c>
      <c r="AB398" s="25">
        <f>_xlfn.XLOOKUP(tblMeasure[[#This Row],[id_src]],tblSource[id_src],tblSource[year_last_published])</f>
        <v>2018</v>
      </c>
      <c r="AC398" s="25">
        <f>_xlfn.XLOOKUP(tblMeasure[[#This Row],[id_src]],tblSource[id_src],tblSource[discontinuity])</f>
        <v>0</v>
      </c>
      <c r="AD398" s="25" t="str">
        <f>_xlfn.XLOOKUP(tblMeasure[[#This Row],[id_src]],tblSource[id_src],tblSource[publication_frequency])</f>
        <v>Quarterly</v>
      </c>
      <c r="AE398" s="15">
        <f>_xlfn.XLOOKUP(tblMeasure[[#This Row],[id_src]],tblSource[id_src],tblSource[publication_lag_months])</f>
        <v>7</v>
      </c>
      <c r="AF398" s="25" t="str">
        <f>_xlfn.XLOOKUP(tblMeasure[[#This Row],[id_src]],tblSource[id_src],tblSource[data_providers])</f>
        <v>DHSC, MHCLG, NHS England, LGA, NHS Digital</v>
      </c>
      <c r="AG398" s="25" t="str">
        <f>_xlfn.XLOOKUP(tblMeasure[[#This Row],[id_src]],tblSource[id_src],tblSource[statistic_class])</f>
        <v>Management Information</v>
      </c>
      <c r="AH398" s="25" t="str">
        <f>_xlfn.XLOOKUP(tblMeasure[[#This Row],[id_src]],tblSource[id_src],tblSource[methodology_link])</f>
        <v>TBD</v>
      </c>
      <c r="AI398" s="25" t="str">
        <f>_xlfn.XLOOKUP(tblMeasure[[#This Row],[id_src]],tblSource[id_src],tblSource[quality_issues])</f>
        <v>TBD</v>
      </c>
      <c r="AJ398" s="25">
        <f>VLOOKUP(tblMeasure[[#This Row],[msr_population_or_survey]],strlu_msr_population_or_survey,2,FALSE)</f>
        <v>1</v>
      </c>
      <c r="AK398" s="25">
        <f>VLOOKUP(tblMeasure[[#This Row],[msr_min_geo_resolution]],strlu_msr_min_geo_resolution,2,FALSE)</f>
        <v>1</v>
      </c>
      <c r="AL398" s="25">
        <f>(MAX(tblMeasure[[#This Row],[src_year_last_published]]-2010+1,0)+MIN(2010-tblMeasure[[#This Row],[src_year_first_published]],0)-MAX(tblMeasure[[#This Row],[src_year_last_published]]-2019,0))/10</f>
        <v>0.4</v>
      </c>
      <c r="AM398" s="25">
        <f>IF(OR(tblMeasure[[#This Row],[src_discontinuity]]="None",tblMeasure[[#This Row],[src_discontinuity]]=0),1,0)</f>
        <v>1</v>
      </c>
      <c r="AN398" s="25">
        <f>VLOOKUP(tblMeasure[[#This Row],[src_pub_frequency]],strlu_src_pub_frequency,2,FALSE)</f>
        <v>0.9</v>
      </c>
      <c r="AO398" s="25">
        <f>VLOOKUP(tblMeasure[[#This Row],[src_pub_lag_months]],strlu_src_pub_lag_months,2,FALSE)</f>
        <v>0.3</v>
      </c>
      <c r="AP398" s="25">
        <f>VLOOKUP(tblMeasure[[#This Row],[src_statistic_class]],strlu_src_statistic_class,2,FALSE)</f>
        <v>0.8</v>
      </c>
      <c r="AQ398" s="25">
        <f>IF(tblMeasure[[#This Row],[src_methodology_url]]="TBD",0,1)</f>
        <v>0</v>
      </c>
      <c r="AR398" s="25">
        <f>IF(tblMeasure[[#This Row],[src_quality_url]]="TBD",0,1)</f>
        <v>0</v>
      </c>
      <c r="AS398" s="85" cm="1">
        <f t="array" ref="AS398">SUMPRODUCT(TRANSPOSE(tblMeasure[[#This Row],[str_msr_population_or_survey]:[str_src_quality_url]]),str_weights)/str_weights_total</f>
        <v>0.73076923076923073</v>
      </c>
    </row>
    <row r="399" spans="1:45" hidden="1" x14ac:dyDescent="0.15">
      <c r="A399" s="30">
        <v>383</v>
      </c>
      <c r="B399" s="32">
        <f>COUNTIF(requirement_measure_map!$D$3:$D$1514,measure!A399)</f>
        <v>2</v>
      </c>
      <c r="C399" s="30" t="s">
        <v>1259</v>
      </c>
      <c r="D399" s="15" t="s">
        <v>1318</v>
      </c>
      <c r="E399" s="15" t="s">
        <v>1183</v>
      </c>
      <c r="F399" s="15" t="s">
        <v>1319</v>
      </c>
      <c r="G399" s="29" t="s">
        <v>1320</v>
      </c>
      <c r="H399" s="15"/>
      <c r="I399" s="15" t="s">
        <v>214</v>
      </c>
      <c r="J399" s="15" t="s">
        <v>215</v>
      </c>
      <c r="K399" s="15" t="s">
        <v>1321</v>
      </c>
      <c r="L399" s="15" t="s">
        <v>1264</v>
      </c>
      <c r="M399" s="15" t="s">
        <v>219</v>
      </c>
      <c r="N399" s="15" t="s">
        <v>219</v>
      </c>
      <c r="O399" s="15" t="s">
        <v>219</v>
      </c>
      <c r="P399" s="15" t="s">
        <v>219</v>
      </c>
      <c r="Q399" s="15" t="s">
        <v>219</v>
      </c>
      <c r="R399" s="15" t="s">
        <v>219</v>
      </c>
      <c r="S399" s="15" t="s">
        <v>219</v>
      </c>
      <c r="T399" s="15" t="s">
        <v>219</v>
      </c>
      <c r="U399" s="15" t="s">
        <v>219</v>
      </c>
      <c r="V399" s="15" t="s">
        <v>219</v>
      </c>
      <c r="W399" s="15">
        <v>30</v>
      </c>
      <c r="X399" s="15" t="str">
        <f>_xlfn.XLOOKUP(tblMeasure[[#This Row],[id_src]],tblSource[id_src],tblSource[org])</f>
        <v>Ministry of Housing, Communities &amp; Local Government</v>
      </c>
      <c r="Y399" s="25" t="str">
        <f>_xlfn.XLOOKUP(tblMeasure[[#This Row],[id_src]],tblSource[id_src],tblSource[source])</f>
        <v>Improved Better Care Fund (iBCF): Quarterly and year-end reporting</v>
      </c>
      <c r="Z399" s="25" t="str">
        <f>_xlfn.XLOOKUP(tblMeasure[[#This Row],[id_src]],tblSource[id_src],tblSource[url_source])</f>
        <v>https://www.gov.uk/government/publications/improved-better-care-fund-2018-19-quarterly-and-year-end-reporting</v>
      </c>
      <c r="AA399" s="25">
        <f>_xlfn.XLOOKUP(tblMeasure[[#This Row],[id_src]],tblSource[id_src],tblSource[year_first_published])</f>
        <v>2015</v>
      </c>
      <c r="AB399" s="25">
        <f>_xlfn.XLOOKUP(tblMeasure[[#This Row],[id_src]],tblSource[id_src],tblSource[year_last_published])</f>
        <v>2018</v>
      </c>
      <c r="AC399" s="25">
        <f>_xlfn.XLOOKUP(tblMeasure[[#This Row],[id_src]],tblSource[id_src],tblSource[discontinuity])</f>
        <v>0</v>
      </c>
      <c r="AD399" s="25" t="str">
        <f>_xlfn.XLOOKUP(tblMeasure[[#This Row],[id_src]],tblSource[id_src],tblSource[publication_frequency])</f>
        <v>Annual</v>
      </c>
      <c r="AE399" s="15" t="str">
        <f>_xlfn.XLOOKUP(tblMeasure[[#This Row],[id_src]],tblSource[id_src],tblSource[publication_lag_months])</f>
        <v>TBD</v>
      </c>
      <c r="AF399" s="25" t="str">
        <f>_xlfn.XLOOKUP(tblMeasure[[#This Row],[id_src]],tblSource[id_src],tblSource[data_providers])</f>
        <v>Ministry of Housing, Communities &amp; Local Government</v>
      </c>
      <c r="AG399" s="25" t="str">
        <f>_xlfn.XLOOKUP(tblMeasure[[#This Row],[id_src]],tblSource[id_src],tblSource[statistic_class])</f>
        <v>Management Information</v>
      </c>
      <c r="AH399" s="25" t="str">
        <f>_xlfn.XLOOKUP(tblMeasure[[#This Row],[id_src]],tblSource[id_src],tblSource[methodology_link])</f>
        <v>TBD</v>
      </c>
      <c r="AI399" s="25" t="str">
        <f>_xlfn.XLOOKUP(tblMeasure[[#This Row],[id_src]],tblSource[id_src],tblSource[quality_issues])</f>
        <v>TBD</v>
      </c>
      <c r="AJ399" s="25">
        <f>VLOOKUP(tblMeasure[[#This Row],[msr_population_or_survey]],strlu_msr_population_or_survey,2,FALSE)</f>
        <v>1</v>
      </c>
      <c r="AK399" s="25">
        <f>VLOOKUP(tblMeasure[[#This Row],[msr_min_geo_resolution]],strlu_msr_min_geo_resolution,2,FALSE)</f>
        <v>1</v>
      </c>
      <c r="AL399" s="25">
        <f>(MAX(tblMeasure[[#This Row],[src_year_last_published]]-2010+1,0)+MIN(2010-tblMeasure[[#This Row],[src_year_first_published]],0)-MAX(tblMeasure[[#This Row],[src_year_last_published]]-2019,0))/10</f>
        <v>0.4</v>
      </c>
      <c r="AM399" s="25">
        <f>IF(OR(tblMeasure[[#This Row],[src_discontinuity]]="None",tblMeasure[[#This Row],[src_discontinuity]]=0),1,0)</f>
        <v>1</v>
      </c>
      <c r="AN399" s="25">
        <f>VLOOKUP(tblMeasure[[#This Row],[src_pub_frequency]],strlu_src_pub_frequency,2,FALSE)</f>
        <v>0.8</v>
      </c>
      <c r="AO399" s="25">
        <f>VLOOKUP(tblMeasure[[#This Row],[src_pub_lag_months]],strlu_src_pub_lag_months,2,FALSE)</f>
        <v>0</v>
      </c>
      <c r="AP399" s="25">
        <f>VLOOKUP(tblMeasure[[#This Row],[src_statistic_class]],strlu_src_statistic_class,2,FALSE)</f>
        <v>0.8</v>
      </c>
      <c r="AQ399" s="25">
        <f>IF(tblMeasure[[#This Row],[src_methodology_url]]="TBD",0,1)</f>
        <v>0</v>
      </c>
      <c r="AR399" s="25">
        <f>IF(tblMeasure[[#This Row],[src_quality_url]]="TBD",0,1)</f>
        <v>0</v>
      </c>
      <c r="AS399" s="85" cm="1">
        <f t="array" ref="AS399">SUMPRODUCT(TRANSPOSE(tblMeasure[[#This Row],[str_msr_population_or_survey]:[str_src_quality_url]]),str_weights)/str_weights_total</f>
        <v>0.69230769230769229</v>
      </c>
    </row>
    <row r="400" spans="1:45" hidden="1" x14ac:dyDescent="0.15">
      <c r="A400" s="30">
        <v>384</v>
      </c>
      <c r="B400" s="32">
        <f>COUNTIF(requirement_measure_map!$D$3:$D$1514,measure!A400)</f>
        <v>4</v>
      </c>
      <c r="C400" s="30" t="s">
        <v>1259</v>
      </c>
      <c r="D400" s="15" t="s">
        <v>1322</v>
      </c>
      <c r="E400" s="15" t="s">
        <v>1323</v>
      </c>
      <c r="F400" s="15" t="s">
        <v>1324</v>
      </c>
      <c r="G400" s="29" t="s">
        <v>1320</v>
      </c>
      <c r="H400" s="15"/>
      <c r="I400" s="15" t="s">
        <v>214</v>
      </c>
      <c r="J400" s="15" t="s">
        <v>215</v>
      </c>
      <c r="K400" s="15" t="s">
        <v>1325</v>
      </c>
      <c r="L400" s="15" t="s">
        <v>1264</v>
      </c>
      <c r="M400" s="15" t="s">
        <v>219</v>
      </c>
      <c r="N400" s="15" t="s">
        <v>219</v>
      </c>
      <c r="O400" s="15" t="s">
        <v>219</v>
      </c>
      <c r="P400" s="15" t="s">
        <v>219</v>
      </c>
      <c r="Q400" s="15" t="s">
        <v>219</v>
      </c>
      <c r="R400" s="15" t="s">
        <v>219</v>
      </c>
      <c r="S400" s="15" t="s">
        <v>219</v>
      </c>
      <c r="T400" s="15" t="s">
        <v>219</v>
      </c>
      <c r="U400" s="15" t="s">
        <v>267</v>
      </c>
      <c r="V400" s="15" t="s">
        <v>219</v>
      </c>
      <c r="W400" s="15">
        <v>30</v>
      </c>
      <c r="X400" s="15" t="str">
        <f>_xlfn.XLOOKUP(tblMeasure[[#This Row],[id_src]],tblSource[id_src],tblSource[org])</f>
        <v>Ministry of Housing, Communities &amp; Local Government</v>
      </c>
      <c r="Y400" s="25" t="str">
        <f>_xlfn.XLOOKUP(tblMeasure[[#This Row],[id_src]],tblSource[id_src],tblSource[source])</f>
        <v>Improved Better Care Fund (iBCF): Quarterly and year-end reporting</v>
      </c>
      <c r="Z400" s="25" t="str">
        <f>_xlfn.XLOOKUP(tblMeasure[[#This Row],[id_src]],tblSource[id_src],tblSource[url_source])</f>
        <v>https://www.gov.uk/government/publications/improved-better-care-fund-2018-19-quarterly-and-year-end-reporting</v>
      </c>
      <c r="AA400" s="25">
        <f>_xlfn.XLOOKUP(tblMeasure[[#This Row],[id_src]],tblSource[id_src],tblSource[year_first_published])</f>
        <v>2015</v>
      </c>
      <c r="AB400" s="25">
        <f>_xlfn.XLOOKUP(tblMeasure[[#This Row],[id_src]],tblSource[id_src],tblSource[year_last_published])</f>
        <v>2018</v>
      </c>
      <c r="AC400" s="25">
        <f>_xlfn.XLOOKUP(tblMeasure[[#This Row],[id_src]],tblSource[id_src],tblSource[discontinuity])</f>
        <v>0</v>
      </c>
      <c r="AD400" s="25" t="str">
        <f>_xlfn.XLOOKUP(tblMeasure[[#This Row],[id_src]],tblSource[id_src],tblSource[publication_frequency])</f>
        <v>Annual</v>
      </c>
      <c r="AE400" s="15" t="str">
        <f>_xlfn.XLOOKUP(tblMeasure[[#This Row],[id_src]],tblSource[id_src],tblSource[publication_lag_months])</f>
        <v>TBD</v>
      </c>
      <c r="AF400" s="25" t="str">
        <f>_xlfn.XLOOKUP(tblMeasure[[#This Row],[id_src]],tblSource[id_src],tblSource[data_providers])</f>
        <v>Ministry of Housing, Communities &amp; Local Government</v>
      </c>
      <c r="AG400" s="25" t="str">
        <f>_xlfn.XLOOKUP(tblMeasure[[#This Row],[id_src]],tblSource[id_src],tblSource[statistic_class])</f>
        <v>Management Information</v>
      </c>
      <c r="AH400" s="25" t="str">
        <f>_xlfn.XLOOKUP(tblMeasure[[#This Row],[id_src]],tblSource[id_src],tblSource[methodology_link])</f>
        <v>TBD</v>
      </c>
      <c r="AI400" s="25" t="str">
        <f>_xlfn.XLOOKUP(tblMeasure[[#This Row],[id_src]],tblSource[id_src],tblSource[quality_issues])</f>
        <v>TBD</v>
      </c>
      <c r="AJ400" s="25">
        <f>VLOOKUP(tblMeasure[[#This Row],[msr_population_or_survey]],strlu_msr_population_or_survey,2,FALSE)</f>
        <v>1</v>
      </c>
      <c r="AK400" s="25">
        <f>VLOOKUP(tblMeasure[[#This Row],[msr_min_geo_resolution]],strlu_msr_min_geo_resolution,2,FALSE)</f>
        <v>1</v>
      </c>
      <c r="AL400" s="25">
        <f>(MAX(tblMeasure[[#This Row],[src_year_last_published]]-2010+1,0)+MIN(2010-tblMeasure[[#This Row],[src_year_first_published]],0)-MAX(tblMeasure[[#This Row],[src_year_last_published]]-2019,0))/10</f>
        <v>0.4</v>
      </c>
      <c r="AM400" s="25">
        <f>IF(OR(tblMeasure[[#This Row],[src_discontinuity]]="None",tblMeasure[[#This Row],[src_discontinuity]]=0),1,0)</f>
        <v>1</v>
      </c>
      <c r="AN400" s="25">
        <f>VLOOKUP(tblMeasure[[#This Row],[src_pub_frequency]],strlu_src_pub_frequency,2,FALSE)</f>
        <v>0.8</v>
      </c>
      <c r="AO400" s="25">
        <f>VLOOKUP(tblMeasure[[#This Row],[src_pub_lag_months]],strlu_src_pub_lag_months,2,FALSE)</f>
        <v>0</v>
      </c>
      <c r="AP400" s="25">
        <f>VLOOKUP(tblMeasure[[#This Row],[src_statistic_class]],strlu_src_statistic_class,2,FALSE)</f>
        <v>0.8</v>
      </c>
      <c r="AQ400" s="25">
        <f>IF(tblMeasure[[#This Row],[src_methodology_url]]="TBD",0,1)</f>
        <v>0</v>
      </c>
      <c r="AR400" s="25">
        <f>IF(tblMeasure[[#This Row],[src_quality_url]]="TBD",0,1)</f>
        <v>0</v>
      </c>
      <c r="AS400" s="85" cm="1">
        <f t="array" ref="AS400">SUMPRODUCT(TRANSPOSE(tblMeasure[[#This Row],[str_msr_population_or_survey]:[str_src_quality_url]]),str_weights)/str_weights_total</f>
        <v>0.69230769230769229</v>
      </c>
    </row>
    <row r="401" spans="1:45" hidden="1" x14ac:dyDescent="0.15">
      <c r="A401" s="30">
        <v>385</v>
      </c>
      <c r="B401" s="32">
        <f>COUNTIF(requirement_measure_map!$D$3:$D$1514,measure!A401)</f>
        <v>3</v>
      </c>
      <c r="C401" s="30" t="s">
        <v>1259</v>
      </c>
      <c r="D401" s="15" t="s">
        <v>1326</v>
      </c>
      <c r="E401" s="15" t="s">
        <v>1327</v>
      </c>
      <c r="F401" s="15" t="s">
        <v>1328</v>
      </c>
      <c r="G401" s="29" t="s">
        <v>1320</v>
      </c>
      <c r="H401" s="15"/>
      <c r="I401" s="15" t="s">
        <v>214</v>
      </c>
      <c r="J401" s="15" t="s">
        <v>215</v>
      </c>
      <c r="K401" s="15" t="s">
        <v>1329</v>
      </c>
      <c r="L401" s="15" t="s">
        <v>1264</v>
      </c>
      <c r="M401" s="15" t="s">
        <v>219</v>
      </c>
      <c r="N401" s="15" t="s">
        <v>219</v>
      </c>
      <c r="O401" s="15" t="s">
        <v>219</v>
      </c>
      <c r="P401" s="15" t="s">
        <v>219</v>
      </c>
      <c r="Q401" s="15" t="s">
        <v>219</v>
      </c>
      <c r="R401" s="15" t="s">
        <v>219</v>
      </c>
      <c r="S401" s="15" t="s">
        <v>219</v>
      </c>
      <c r="T401" s="15" t="s">
        <v>219</v>
      </c>
      <c r="U401" s="15" t="s">
        <v>267</v>
      </c>
      <c r="V401" s="15" t="s">
        <v>219</v>
      </c>
      <c r="W401" s="15">
        <v>30</v>
      </c>
      <c r="X401" s="15" t="str">
        <f>_xlfn.XLOOKUP(tblMeasure[[#This Row],[id_src]],tblSource[id_src],tblSource[org])</f>
        <v>Ministry of Housing, Communities &amp; Local Government</v>
      </c>
      <c r="Y401" s="25" t="str">
        <f>_xlfn.XLOOKUP(tblMeasure[[#This Row],[id_src]],tblSource[id_src],tblSource[source])</f>
        <v>Improved Better Care Fund (iBCF): Quarterly and year-end reporting</v>
      </c>
      <c r="Z401" s="25" t="str">
        <f>_xlfn.XLOOKUP(tblMeasure[[#This Row],[id_src]],tblSource[id_src],tblSource[url_source])</f>
        <v>https://www.gov.uk/government/publications/improved-better-care-fund-2018-19-quarterly-and-year-end-reporting</v>
      </c>
      <c r="AA401" s="25">
        <f>_xlfn.XLOOKUP(tblMeasure[[#This Row],[id_src]],tblSource[id_src],tblSource[year_first_published])</f>
        <v>2015</v>
      </c>
      <c r="AB401" s="25">
        <f>_xlfn.XLOOKUP(tblMeasure[[#This Row],[id_src]],tblSource[id_src],tblSource[year_last_published])</f>
        <v>2018</v>
      </c>
      <c r="AC401" s="25">
        <f>_xlfn.XLOOKUP(tblMeasure[[#This Row],[id_src]],tblSource[id_src],tblSource[discontinuity])</f>
        <v>0</v>
      </c>
      <c r="AD401" s="25" t="str">
        <f>_xlfn.XLOOKUP(tblMeasure[[#This Row],[id_src]],tblSource[id_src],tblSource[publication_frequency])</f>
        <v>Annual</v>
      </c>
      <c r="AE401" s="15" t="str">
        <f>_xlfn.XLOOKUP(tblMeasure[[#This Row],[id_src]],tblSource[id_src],tblSource[publication_lag_months])</f>
        <v>TBD</v>
      </c>
      <c r="AF401" s="25" t="str">
        <f>_xlfn.XLOOKUP(tblMeasure[[#This Row],[id_src]],tblSource[id_src],tblSource[data_providers])</f>
        <v>Ministry of Housing, Communities &amp; Local Government</v>
      </c>
      <c r="AG401" s="25" t="str">
        <f>_xlfn.XLOOKUP(tblMeasure[[#This Row],[id_src]],tblSource[id_src],tblSource[statistic_class])</f>
        <v>Management Information</v>
      </c>
      <c r="AH401" s="25" t="str">
        <f>_xlfn.XLOOKUP(tblMeasure[[#This Row],[id_src]],tblSource[id_src],tblSource[methodology_link])</f>
        <v>TBD</v>
      </c>
      <c r="AI401" s="25" t="str">
        <f>_xlfn.XLOOKUP(tblMeasure[[#This Row],[id_src]],tblSource[id_src],tblSource[quality_issues])</f>
        <v>TBD</v>
      </c>
      <c r="AJ401" s="25">
        <f>VLOOKUP(tblMeasure[[#This Row],[msr_population_or_survey]],strlu_msr_population_or_survey,2,FALSE)</f>
        <v>1</v>
      </c>
      <c r="AK401" s="25">
        <f>VLOOKUP(tblMeasure[[#This Row],[msr_min_geo_resolution]],strlu_msr_min_geo_resolution,2,FALSE)</f>
        <v>1</v>
      </c>
      <c r="AL401" s="25">
        <f>(MAX(tblMeasure[[#This Row],[src_year_last_published]]-2010+1,0)+MIN(2010-tblMeasure[[#This Row],[src_year_first_published]],0)-MAX(tblMeasure[[#This Row],[src_year_last_published]]-2019,0))/10</f>
        <v>0.4</v>
      </c>
      <c r="AM401" s="25">
        <f>IF(OR(tblMeasure[[#This Row],[src_discontinuity]]="None",tblMeasure[[#This Row],[src_discontinuity]]=0),1,0)</f>
        <v>1</v>
      </c>
      <c r="AN401" s="25">
        <f>VLOOKUP(tblMeasure[[#This Row],[src_pub_frequency]],strlu_src_pub_frequency,2,FALSE)</f>
        <v>0.8</v>
      </c>
      <c r="AO401" s="25">
        <f>VLOOKUP(tblMeasure[[#This Row],[src_pub_lag_months]],strlu_src_pub_lag_months,2,FALSE)</f>
        <v>0</v>
      </c>
      <c r="AP401" s="25">
        <f>VLOOKUP(tblMeasure[[#This Row],[src_statistic_class]],strlu_src_statistic_class,2,FALSE)</f>
        <v>0.8</v>
      </c>
      <c r="AQ401" s="25">
        <f>IF(tblMeasure[[#This Row],[src_methodology_url]]="TBD",0,1)</f>
        <v>0</v>
      </c>
      <c r="AR401" s="25">
        <f>IF(tblMeasure[[#This Row],[src_quality_url]]="TBD",0,1)</f>
        <v>0</v>
      </c>
      <c r="AS401" s="85" cm="1">
        <f t="array" ref="AS401">SUMPRODUCT(TRANSPOSE(tblMeasure[[#This Row],[str_msr_population_or_survey]:[str_src_quality_url]]),str_weights)/str_weights_total</f>
        <v>0.69230769230769229</v>
      </c>
    </row>
    <row r="402" spans="1:45" hidden="1" x14ac:dyDescent="0.15">
      <c r="A402" s="30">
        <v>386</v>
      </c>
      <c r="B402" s="32">
        <f>COUNTIF(requirement_measure_map!$D$3:$D$1514,measure!A402)</f>
        <v>0</v>
      </c>
      <c r="C402" s="30" t="s">
        <v>800</v>
      </c>
      <c r="D402" s="15" t="s">
        <v>1330</v>
      </c>
      <c r="E402" s="15" t="s">
        <v>1331</v>
      </c>
      <c r="F402" s="15" t="s">
        <v>1332</v>
      </c>
      <c r="G402" s="29" t="s">
        <v>1320</v>
      </c>
      <c r="H402" s="15"/>
      <c r="I402" s="15" t="s">
        <v>214</v>
      </c>
      <c r="J402" s="15" t="s">
        <v>215</v>
      </c>
      <c r="K402" s="15" t="s">
        <v>1333</v>
      </c>
      <c r="L402" s="15" t="s">
        <v>1264</v>
      </c>
      <c r="M402" s="15" t="s">
        <v>219</v>
      </c>
      <c r="N402" s="15" t="s">
        <v>219</v>
      </c>
      <c r="O402" s="15" t="s">
        <v>219</v>
      </c>
      <c r="P402" s="15" t="s">
        <v>219</v>
      </c>
      <c r="Q402" s="15" t="s">
        <v>219</v>
      </c>
      <c r="R402" s="15" t="s">
        <v>219</v>
      </c>
      <c r="S402" s="15" t="s">
        <v>219</v>
      </c>
      <c r="T402" s="15" t="s">
        <v>219</v>
      </c>
      <c r="U402" s="15" t="s">
        <v>219</v>
      </c>
      <c r="V402" s="15" t="s">
        <v>219</v>
      </c>
      <c r="W402" s="15">
        <v>30</v>
      </c>
      <c r="X402" s="15" t="str">
        <f>_xlfn.XLOOKUP(tblMeasure[[#This Row],[id_src]],tblSource[id_src],tblSource[org])</f>
        <v>Ministry of Housing, Communities &amp; Local Government</v>
      </c>
      <c r="Y402" s="25" t="str">
        <f>_xlfn.XLOOKUP(tblMeasure[[#This Row],[id_src]],tblSource[id_src],tblSource[source])</f>
        <v>Improved Better Care Fund (iBCF): Quarterly and year-end reporting</v>
      </c>
      <c r="Z402" s="25" t="str">
        <f>_xlfn.XLOOKUP(tblMeasure[[#This Row],[id_src]],tblSource[id_src],tblSource[url_source])</f>
        <v>https://www.gov.uk/government/publications/improved-better-care-fund-2018-19-quarterly-and-year-end-reporting</v>
      </c>
      <c r="AA402" s="25">
        <f>_xlfn.XLOOKUP(tblMeasure[[#This Row],[id_src]],tblSource[id_src],tblSource[year_first_published])</f>
        <v>2015</v>
      </c>
      <c r="AB402" s="25">
        <f>_xlfn.XLOOKUP(tblMeasure[[#This Row],[id_src]],tblSource[id_src],tblSource[year_last_published])</f>
        <v>2018</v>
      </c>
      <c r="AC402" s="25">
        <f>_xlfn.XLOOKUP(tblMeasure[[#This Row],[id_src]],tblSource[id_src],tblSource[discontinuity])</f>
        <v>0</v>
      </c>
      <c r="AD402" s="25" t="str">
        <f>_xlfn.XLOOKUP(tblMeasure[[#This Row],[id_src]],tblSource[id_src],tblSource[publication_frequency])</f>
        <v>Annual</v>
      </c>
      <c r="AE402" s="15" t="str">
        <f>_xlfn.XLOOKUP(tblMeasure[[#This Row],[id_src]],tblSource[id_src],tblSource[publication_lag_months])</f>
        <v>TBD</v>
      </c>
      <c r="AF402" s="25" t="str">
        <f>_xlfn.XLOOKUP(tblMeasure[[#This Row],[id_src]],tblSource[id_src],tblSource[data_providers])</f>
        <v>Ministry of Housing, Communities &amp; Local Government</v>
      </c>
      <c r="AG402" s="25" t="str">
        <f>_xlfn.XLOOKUP(tblMeasure[[#This Row],[id_src]],tblSource[id_src],tblSource[statistic_class])</f>
        <v>Management Information</v>
      </c>
      <c r="AH402" s="25" t="str">
        <f>_xlfn.XLOOKUP(tblMeasure[[#This Row],[id_src]],tblSource[id_src],tblSource[methodology_link])</f>
        <v>TBD</v>
      </c>
      <c r="AI402" s="25" t="str">
        <f>_xlfn.XLOOKUP(tblMeasure[[#This Row],[id_src]],tblSource[id_src],tblSource[quality_issues])</f>
        <v>TBD</v>
      </c>
      <c r="AJ402" s="25">
        <f>VLOOKUP(tblMeasure[[#This Row],[msr_population_or_survey]],strlu_msr_population_or_survey,2,FALSE)</f>
        <v>1</v>
      </c>
      <c r="AK402" s="25">
        <f>VLOOKUP(tblMeasure[[#This Row],[msr_min_geo_resolution]],strlu_msr_min_geo_resolution,2,FALSE)</f>
        <v>1</v>
      </c>
      <c r="AL402" s="25">
        <f>(MAX(tblMeasure[[#This Row],[src_year_last_published]]-2010+1,0)+MIN(2010-tblMeasure[[#This Row],[src_year_first_published]],0)-MAX(tblMeasure[[#This Row],[src_year_last_published]]-2019,0))/10</f>
        <v>0.4</v>
      </c>
      <c r="AM402" s="25">
        <f>IF(OR(tblMeasure[[#This Row],[src_discontinuity]]="None",tblMeasure[[#This Row],[src_discontinuity]]=0),1,0)</f>
        <v>1</v>
      </c>
      <c r="AN402" s="25">
        <f>VLOOKUP(tblMeasure[[#This Row],[src_pub_frequency]],strlu_src_pub_frequency,2,FALSE)</f>
        <v>0.8</v>
      </c>
      <c r="AO402" s="25">
        <f>VLOOKUP(tblMeasure[[#This Row],[src_pub_lag_months]],strlu_src_pub_lag_months,2,FALSE)</f>
        <v>0</v>
      </c>
      <c r="AP402" s="25">
        <f>VLOOKUP(tblMeasure[[#This Row],[src_statistic_class]],strlu_src_statistic_class,2,FALSE)</f>
        <v>0.8</v>
      </c>
      <c r="AQ402" s="25">
        <f>IF(tblMeasure[[#This Row],[src_methodology_url]]="TBD",0,1)</f>
        <v>0</v>
      </c>
      <c r="AR402" s="25">
        <f>IF(tblMeasure[[#This Row],[src_quality_url]]="TBD",0,1)</f>
        <v>0</v>
      </c>
      <c r="AS402" s="85" cm="1">
        <f t="array" ref="AS402">SUMPRODUCT(TRANSPOSE(tblMeasure[[#This Row],[str_msr_population_or_survey]:[str_src_quality_url]]),str_weights)/str_weights_total</f>
        <v>0.69230769230769229</v>
      </c>
    </row>
    <row r="403" spans="1:45" hidden="1" x14ac:dyDescent="0.15">
      <c r="A403" s="30">
        <v>387</v>
      </c>
      <c r="B403" s="32">
        <f>COUNTIF(requirement_measure_map!$D$3:$D$1514,measure!A403)</f>
        <v>0</v>
      </c>
      <c r="C403" s="30" t="s">
        <v>800</v>
      </c>
      <c r="D403" s="15" t="s">
        <v>1334</v>
      </c>
      <c r="E403" s="15" t="s">
        <v>1335</v>
      </c>
      <c r="F403" s="15" t="s">
        <v>1336</v>
      </c>
      <c r="G403" s="29" t="s">
        <v>1320</v>
      </c>
      <c r="H403" s="15"/>
      <c r="I403" s="15" t="s">
        <v>214</v>
      </c>
      <c r="J403" s="15" t="s">
        <v>215</v>
      </c>
      <c r="K403" s="15" t="s">
        <v>1337</v>
      </c>
      <c r="L403" s="15" t="s">
        <v>1264</v>
      </c>
      <c r="M403" s="15" t="s">
        <v>219</v>
      </c>
      <c r="N403" s="15" t="s">
        <v>219</v>
      </c>
      <c r="O403" s="15" t="s">
        <v>219</v>
      </c>
      <c r="P403" s="15" t="s">
        <v>219</v>
      </c>
      <c r="Q403" s="15" t="s">
        <v>219</v>
      </c>
      <c r="R403" s="15" t="s">
        <v>219</v>
      </c>
      <c r="S403" s="15" t="s">
        <v>219</v>
      </c>
      <c r="T403" s="15" t="s">
        <v>219</v>
      </c>
      <c r="U403" s="15" t="s">
        <v>219</v>
      </c>
      <c r="V403" s="15" t="s">
        <v>219</v>
      </c>
      <c r="W403" s="15">
        <v>30</v>
      </c>
      <c r="X403" s="15" t="str">
        <f>_xlfn.XLOOKUP(tblMeasure[[#This Row],[id_src]],tblSource[id_src],tblSource[org])</f>
        <v>Ministry of Housing, Communities &amp; Local Government</v>
      </c>
      <c r="Y403" s="25" t="str">
        <f>_xlfn.XLOOKUP(tblMeasure[[#This Row],[id_src]],tblSource[id_src],tblSource[source])</f>
        <v>Improved Better Care Fund (iBCF): Quarterly and year-end reporting</v>
      </c>
      <c r="Z403" s="25" t="str">
        <f>_xlfn.XLOOKUP(tblMeasure[[#This Row],[id_src]],tblSource[id_src],tblSource[url_source])</f>
        <v>https://www.gov.uk/government/publications/improved-better-care-fund-2018-19-quarterly-and-year-end-reporting</v>
      </c>
      <c r="AA403" s="25">
        <f>_xlfn.XLOOKUP(tblMeasure[[#This Row],[id_src]],tblSource[id_src],tblSource[year_first_published])</f>
        <v>2015</v>
      </c>
      <c r="AB403" s="25">
        <f>_xlfn.XLOOKUP(tblMeasure[[#This Row],[id_src]],tblSource[id_src],tblSource[year_last_published])</f>
        <v>2018</v>
      </c>
      <c r="AC403" s="25">
        <f>_xlfn.XLOOKUP(tblMeasure[[#This Row],[id_src]],tblSource[id_src],tblSource[discontinuity])</f>
        <v>0</v>
      </c>
      <c r="AD403" s="25" t="str">
        <f>_xlfn.XLOOKUP(tblMeasure[[#This Row],[id_src]],tblSource[id_src],tblSource[publication_frequency])</f>
        <v>Annual</v>
      </c>
      <c r="AE403" s="15" t="str">
        <f>_xlfn.XLOOKUP(tblMeasure[[#This Row],[id_src]],tblSource[id_src],tblSource[publication_lag_months])</f>
        <v>TBD</v>
      </c>
      <c r="AF403" s="25" t="str">
        <f>_xlfn.XLOOKUP(tblMeasure[[#This Row],[id_src]],tblSource[id_src],tblSource[data_providers])</f>
        <v>Ministry of Housing, Communities &amp; Local Government</v>
      </c>
      <c r="AG403" s="25" t="str">
        <f>_xlfn.XLOOKUP(tblMeasure[[#This Row],[id_src]],tblSource[id_src],tblSource[statistic_class])</f>
        <v>Management Information</v>
      </c>
      <c r="AH403" s="25" t="str">
        <f>_xlfn.XLOOKUP(tblMeasure[[#This Row],[id_src]],tblSource[id_src],tblSource[methodology_link])</f>
        <v>TBD</v>
      </c>
      <c r="AI403" s="25" t="str">
        <f>_xlfn.XLOOKUP(tblMeasure[[#This Row],[id_src]],tblSource[id_src],tblSource[quality_issues])</f>
        <v>TBD</v>
      </c>
      <c r="AJ403" s="25">
        <f>VLOOKUP(tblMeasure[[#This Row],[msr_population_or_survey]],strlu_msr_population_or_survey,2,FALSE)</f>
        <v>1</v>
      </c>
      <c r="AK403" s="25">
        <f>VLOOKUP(tblMeasure[[#This Row],[msr_min_geo_resolution]],strlu_msr_min_geo_resolution,2,FALSE)</f>
        <v>1</v>
      </c>
      <c r="AL403" s="25">
        <f>(MAX(tblMeasure[[#This Row],[src_year_last_published]]-2010+1,0)+MIN(2010-tblMeasure[[#This Row],[src_year_first_published]],0)-MAX(tblMeasure[[#This Row],[src_year_last_published]]-2019,0))/10</f>
        <v>0.4</v>
      </c>
      <c r="AM403" s="25">
        <f>IF(OR(tblMeasure[[#This Row],[src_discontinuity]]="None",tblMeasure[[#This Row],[src_discontinuity]]=0),1,0)</f>
        <v>1</v>
      </c>
      <c r="AN403" s="25">
        <f>VLOOKUP(tblMeasure[[#This Row],[src_pub_frequency]],strlu_src_pub_frequency,2,FALSE)</f>
        <v>0.8</v>
      </c>
      <c r="AO403" s="25">
        <f>VLOOKUP(tblMeasure[[#This Row],[src_pub_lag_months]],strlu_src_pub_lag_months,2,FALSE)</f>
        <v>0</v>
      </c>
      <c r="AP403" s="25">
        <f>VLOOKUP(tblMeasure[[#This Row],[src_statistic_class]],strlu_src_statistic_class,2,FALSE)</f>
        <v>0.8</v>
      </c>
      <c r="AQ403" s="25">
        <f>IF(tblMeasure[[#This Row],[src_methodology_url]]="TBD",0,1)</f>
        <v>0</v>
      </c>
      <c r="AR403" s="25">
        <f>IF(tblMeasure[[#This Row],[src_quality_url]]="TBD",0,1)</f>
        <v>0</v>
      </c>
      <c r="AS403" s="85" cm="1">
        <f t="array" ref="AS403">SUMPRODUCT(TRANSPOSE(tblMeasure[[#This Row],[str_msr_population_or_survey]:[str_src_quality_url]]),str_weights)/str_weights_total</f>
        <v>0.69230769230769229</v>
      </c>
    </row>
    <row r="404" spans="1:45" hidden="1" x14ac:dyDescent="0.15">
      <c r="A404" s="30">
        <v>388</v>
      </c>
      <c r="B404" s="32">
        <f>COUNTIF(requirement_measure_map!$D$3:$D$1514,measure!A404)</f>
        <v>0</v>
      </c>
      <c r="C404" s="30" t="s">
        <v>800</v>
      </c>
      <c r="D404" s="15" t="s">
        <v>1334</v>
      </c>
      <c r="E404" s="15" t="s">
        <v>1338</v>
      </c>
      <c r="F404" s="15" t="s">
        <v>1339</v>
      </c>
      <c r="G404" s="29" t="s">
        <v>1320</v>
      </c>
      <c r="H404" s="15"/>
      <c r="I404" s="15" t="s">
        <v>214</v>
      </c>
      <c r="J404" s="15" t="s">
        <v>215</v>
      </c>
      <c r="K404" s="15" t="s">
        <v>1280</v>
      </c>
      <c r="L404" s="15" t="s">
        <v>1264</v>
      </c>
      <c r="M404" s="15" t="s">
        <v>219</v>
      </c>
      <c r="N404" s="15" t="s">
        <v>219</v>
      </c>
      <c r="O404" s="15" t="s">
        <v>219</v>
      </c>
      <c r="P404" s="15" t="s">
        <v>219</v>
      </c>
      <c r="Q404" s="15" t="s">
        <v>219</v>
      </c>
      <c r="R404" s="15" t="s">
        <v>219</v>
      </c>
      <c r="S404" s="15" t="s">
        <v>219</v>
      </c>
      <c r="T404" s="15" t="s">
        <v>219</v>
      </c>
      <c r="U404" s="15" t="s">
        <v>219</v>
      </c>
      <c r="V404" s="15" t="s">
        <v>219</v>
      </c>
      <c r="W404" s="15">
        <v>30</v>
      </c>
      <c r="X404" s="15" t="str">
        <f>_xlfn.XLOOKUP(tblMeasure[[#This Row],[id_src]],tblSource[id_src],tblSource[org])</f>
        <v>Ministry of Housing, Communities &amp; Local Government</v>
      </c>
      <c r="Y404" s="25" t="str">
        <f>_xlfn.XLOOKUP(tblMeasure[[#This Row],[id_src]],tblSource[id_src],tblSource[source])</f>
        <v>Improved Better Care Fund (iBCF): Quarterly and year-end reporting</v>
      </c>
      <c r="Z404" s="25" t="str">
        <f>_xlfn.XLOOKUP(tblMeasure[[#This Row],[id_src]],tblSource[id_src],tblSource[url_source])</f>
        <v>https://www.gov.uk/government/publications/improved-better-care-fund-2018-19-quarterly-and-year-end-reporting</v>
      </c>
      <c r="AA404" s="25">
        <f>_xlfn.XLOOKUP(tblMeasure[[#This Row],[id_src]],tblSource[id_src],tblSource[year_first_published])</f>
        <v>2015</v>
      </c>
      <c r="AB404" s="25">
        <f>_xlfn.XLOOKUP(tblMeasure[[#This Row],[id_src]],tblSource[id_src],tblSource[year_last_published])</f>
        <v>2018</v>
      </c>
      <c r="AC404" s="25">
        <f>_xlfn.XLOOKUP(tblMeasure[[#This Row],[id_src]],tblSource[id_src],tblSource[discontinuity])</f>
        <v>0</v>
      </c>
      <c r="AD404" s="25" t="str">
        <f>_xlfn.XLOOKUP(tblMeasure[[#This Row],[id_src]],tblSource[id_src],tblSource[publication_frequency])</f>
        <v>Annual</v>
      </c>
      <c r="AE404" s="15" t="str">
        <f>_xlfn.XLOOKUP(tblMeasure[[#This Row],[id_src]],tblSource[id_src],tblSource[publication_lag_months])</f>
        <v>TBD</v>
      </c>
      <c r="AF404" s="25" t="str">
        <f>_xlfn.XLOOKUP(tblMeasure[[#This Row],[id_src]],tblSource[id_src],tblSource[data_providers])</f>
        <v>Ministry of Housing, Communities &amp; Local Government</v>
      </c>
      <c r="AG404" s="25" t="str">
        <f>_xlfn.XLOOKUP(tblMeasure[[#This Row],[id_src]],tblSource[id_src],tblSource[statistic_class])</f>
        <v>Management Information</v>
      </c>
      <c r="AH404" s="25" t="str">
        <f>_xlfn.XLOOKUP(tblMeasure[[#This Row],[id_src]],tblSource[id_src],tblSource[methodology_link])</f>
        <v>TBD</v>
      </c>
      <c r="AI404" s="25" t="str">
        <f>_xlfn.XLOOKUP(tblMeasure[[#This Row],[id_src]],tblSource[id_src],tblSource[quality_issues])</f>
        <v>TBD</v>
      </c>
      <c r="AJ404" s="25">
        <f>VLOOKUP(tblMeasure[[#This Row],[msr_population_or_survey]],strlu_msr_population_or_survey,2,FALSE)</f>
        <v>1</v>
      </c>
      <c r="AK404" s="25">
        <f>VLOOKUP(tblMeasure[[#This Row],[msr_min_geo_resolution]],strlu_msr_min_geo_resolution,2,FALSE)</f>
        <v>1</v>
      </c>
      <c r="AL404" s="25">
        <f>(MAX(tblMeasure[[#This Row],[src_year_last_published]]-2010+1,0)+MIN(2010-tblMeasure[[#This Row],[src_year_first_published]],0)-MAX(tblMeasure[[#This Row],[src_year_last_published]]-2019,0))/10</f>
        <v>0.4</v>
      </c>
      <c r="AM404" s="25">
        <f>IF(OR(tblMeasure[[#This Row],[src_discontinuity]]="None",tblMeasure[[#This Row],[src_discontinuity]]=0),1,0)</f>
        <v>1</v>
      </c>
      <c r="AN404" s="25">
        <f>VLOOKUP(tblMeasure[[#This Row],[src_pub_frequency]],strlu_src_pub_frequency,2,FALSE)</f>
        <v>0.8</v>
      </c>
      <c r="AO404" s="25">
        <f>VLOOKUP(tblMeasure[[#This Row],[src_pub_lag_months]],strlu_src_pub_lag_months,2,FALSE)</f>
        <v>0</v>
      </c>
      <c r="AP404" s="25">
        <f>VLOOKUP(tblMeasure[[#This Row],[src_statistic_class]],strlu_src_statistic_class,2,FALSE)</f>
        <v>0.8</v>
      </c>
      <c r="AQ404" s="25">
        <f>IF(tblMeasure[[#This Row],[src_methodology_url]]="TBD",0,1)</f>
        <v>0</v>
      </c>
      <c r="AR404" s="25">
        <f>IF(tblMeasure[[#This Row],[src_quality_url]]="TBD",0,1)</f>
        <v>0</v>
      </c>
      <c r="AS404" s="85" cm="1">
        <f t="array" ref="AS404">SUMPRODUCT(TRANSPOSE(tblMeasure[[#This Row],[str_msr_population_or_survey]:[str_src_quality_url]]),str_weights)/str_weights_total</f>
        <v>0.69230769230769229</v>
      </c>
    </row>
    <row r="405" spans="1:45" hidden="1" x14ac:dyDescent="0.15">
      <c r="A405" s="30">
        <v>389</v>
      </c>
      <c r="B405" s="32">
        <f>COUNTIF(requirement_measure_map!$D$3:$D$1514,measure!A405)</f>
        <v>4</v>
      </c>
      <c r="C405" s="30" t="s">
        <v>1118</v>
      </c>
      <c r="D405" s="15" t="s">
        <v>1340</v>
      </c>
      <c r="E405" s="15" t="s">
        <v>579</v>
      </c>
      <c r="F405" s="15" t="s">
        <v>1341</v>
      </c>
      <c r="G405" s="29" t="s">
        <v>1342</v>
      </c>
      <c r="H405" s="15"/>
      <c r="I405" s="15" t="s">
        <v>214</v>
      </c>
      <c r="J405" s="15" t="s">
        <v>215</v>
      </c>
      <c r="K405" s="15" t="s">
        <v>1343</v>
      </c>
      <c r="L405" s="15" t="s">
        <v>217</v>
      </c>
      <c r="M405" s="15" t="s">
        <v>219</v>
      </c>
      <c r="N405" s="15" t="s">
        <v>219</v>
      </c>
      <c r="O405" s="15" t="s">
        <v>219</v>
      </c>
      <c r="P405" s="15" t="s">
        <v>219</v>
      </c>
      <c r="Q405" s="15" t="s">
        <v>219</v>
      </c>
      <c r="R405" s="15" t="s">
        <v>219</v>
      </c>
      <c r="S405" s="15" t="s">
        <v>219</v>
      </c>
      <c r="T405" s="15" t="s">
        <v>219</v>
      </c>
      <c r="U405" s="15" t="s">
        <v>219</v>
      </c>
      <c r="V405" s="15" t="s">
        <v>219</v>
      </c>
      <c r="W405" s="15">
        <v>31</v>
      </c>
      <c r="X405" s="15" t="str">
        <f>_xlfn.XLOOKUP(tblMeasure[[#This Row],[id_src]],tblSource[id_src],tblSource[org])</f>
        <v>NHS Digital</v>
      </c>
      <c r="Y405" s="25" t="str">
        <f>_xlfn.XLOOKUP(tblMeasure[[#This Row],[id_src]],tblSource[id_src],tblSource[source])</f>
        <v>Deferred Payment Agreements</v>
      </c>
      <c r="Z405" s="25" t="str">
        <f>_xlfn.XLOOKUP(tblMeasure[[#This Row],[id_src]],tblSource[id_src],tblSource[url_source])</f>
        <v>https://digital.nhs.uk/data-and-information/publications/statistical/deferred-payment-agreements</v>
      </c>
      <c r="AA405" s="25">
        <f>_xlfn.XLOOKUP(tblMeasure[[#This Row],[id_src]],tblSource[id_src],tblSource[year_first_published])</f>
        <v>2018</v>
      </c>
      <c r="AB405" s="25">
        <f>_xlfn.XLOOKUP(tblMeasure[[#This Row],[id_src]],tblSource[id_src],tblSource[year_last_published])</f>
        <v>2019</v>
      </c>
      <c r="AC405" s="25">
        <f>_xlfn.XLOOKUP(tblMeasure[[#This Row],[id_src]],tblSource[id_src],tblSource[discontinuity])</f>
        <v>0</v>
      </c>
      <c r="AD405" s="25" t="str">
        <f>_xlfn.XLOOKUP(tblMeasure[[#This Row],[id_src]],tblSource[id_src],tblSource[publication_frequency])</f>
        <v>Annual</v>
      </c>
      <c r="AE405" s="15">
        <f>_xlfn.XLOOKUP(tblMeasure[[#This Row],[id_src]],tblSource[id_src],tblSource[publication_lag_months])</f>
        <v>8</v>
      </c>
      <c r="AF405" s="25" t="str">
        <f>_xlfn.XLOOKUP(tblMeasure[[#This Row],[id_src]],tblSource[id_src],tblSource[data_providers])</f>
        <v>LA</v>
      </c>
      <c r="AG405" s="25" t="str">
        <f>_xlfn.XLOOKUP(tblMeasure[[#This Row],[id_src]],tblSource[id_src],tblSource[statistic_class])</f>
        <v>Experimental</v>
      </c>
      <c r="AH405" s="25" t="str">
        <f>_xlfn.XLOOKUP(tblMeasure[[#This Row],[id_src]],tblSource[id_src],tblSource[methodology_link])</f>
        <v>https://digital.nhs.uk/data-and-information/publications/statistical/deferred-payment-agreements/2018-19/data-quality-statement</v>
      </c>
      <c r="AI405" s="25" t="str">
        <f>_xlfn.XLOOKUP(tblMeasure[[#This Row],[id_src]],tblSource[id_src],tblSource[quality_issues])</f>
        <v>https://digital.nhs.uk/data-and-information/publications/statistical/deferred-payment-agreements/2018-19/data-quality-issues-to-note</v>
      </c>
      <c r="AJ405" s="25">
        <f>VLOOKUP(tblMeasure[[#This Row],[msr_population_or_survey]],strlu_msr_population_or_survey,2,FALSE)</f>
        <v>1</v>
      </c>
      <c r="AK405" s="25">
        <f>VLOOKUP(tblMeasure[[#This Row],[msr_min_geo_resolution]],strlu_msr_min_geo_resolution,2,FALSE)</f>
        <v>1</v>
      </c>
      <c r="AL405" s="25">
        <f>(MAX(tblMeasure[[#This Row],[src_year_last_published]]-2010+1,0)+MIN(2010-tblMeasure[[#This Row],[src_year_first_published]],0)-MAX(tblMeasure[[#This Row],[src_year_last_published]]-2019,0))/10</f>
        <v>0.2</v>
      </c>
      <c r="AM405" s="25">
        <f>IF(OR(tblMeasure[[#This Row],[src_discontinuity]]="None",tblMeasure[[#This Row],[src_discontinuity]]=0),1,0)</f>
        <v>1</v>
      </c>
      <c r="AN405" s="25">
        <f>VLOOKUP(tblMeasure[[#This Row],[src_pub_frequency]],strlu_src_pub_frequency,2,FALSE)</f>
        <v>0.8</v>
      </c>
      <c r="AO405" s="25">
        <f>VLOOKUP(tblMeasure[[#This Row],[src_pub_lag_months]],strlu_src_pub_lag_months,2,FALSE)</f>
        <v>0.2</v>
      </c>
      <c r="AP405" s="25">
        <f>VLOOKUP(tblMeasure[[#This Row],[src_statistic_class]],strlu_src_statistic_class,2,FALSE)</f>
        <v>0.5</v>
      </c>
      <c r="AQ405" s="25">
        <f>IF(tblMeasure[[#This Row],[src_methodology_url]]="TBD",0,1)</f>
        <v>1</v>
      </c>
      <c r="AR405" s="25">
        <f>IF(tblMeasure[[#This Row],[src_quality_url]]="TBD",0,1)</f>
        <v>1</v>
      </c>
      <c r="AS405" s="85" cm="1">
        <f t="array" ref="AS405">SUMPRODUCT(TRANSPOSE(tblMeasure[[#This Row],[str_msr_population_or_survey]:[str_src_quality_url]]),str_weights)/str_weights_total</f>
        <v>0.70769230769230762</v>
      </c>
    </row>
    <row r="406" spans="1:45" hidden="1" x14ac:dyDescent="0.15">
      <c r="A406" s="30">
        <v>390</v>
      </c>
      <c r="B406" s="32">
        <f>COUNTIF(requirement_measure_map!$D$3:$D$1514,measure!A406)</f>
        <v>4</v>
      </c>
      <c r="C406" s="30" t="s">
        <v>1118</v>
      </c>
      <c r="D406" s="15" t="s">
        <v>1340</v>
      </c>
      <c r="E406" s="15" t="s">
        <v>583</v>
      </c>
      <c r="F406" s="15" t="s">
        <v>1344</v>
      </c>
      <c r="G406" s="29" t="s">
        <v>1342</v>
      </c>
      <c r="H406" s="15"/>
      <c r="I406" s="15" t="s">
        <v>214</v>
      </c>
      <c r="J406" s="15" t="s">
        <v>215</v>
      </c>
      <c r="K406" s="15" t="s">
        <v>1345</v>
      </c>
      <c r="L406" s="15" t="s">
        <v>217</v>
      </c>
      <c r="M406" s="15" t="s">
        <v>219</v>
      </c>
      <c r="N406" s="15" t="s">
        <v>219</v>
      </c>
      <c r="O406" s="15" t="s">
        <v>219</v>
      </c>
      <c r="P406" s="15" t="s">
        <v>219</v>
      </c>
      <c r="Q406" s="15" t="s">
        <v>219</v>
      </c>
      <c r="R406" s="15" t="s">
        <v>219</v>
      </c>
      <c r="S406" s="15" t="s">
        <v>219</v>
      </c>
      <c r="T406" s="15" t="s">
        <v>219</v>
      </c>
      <c r="U406" s="15" t="s">
        <v>219</v>
      </c>
      <c r="V406" s="15" t="s">
        <v>219</v>
      </c>
      <c r="W406" s="15">
        <v>31</v>
      </c>
      <c r="X406" s="15" t="str">
        <f>_xlfn.XLOOKUP(tblMeasure[[#This Row],[id_src]],tblSource[id_src],tblSource[org])</f>
        <v>NHS Digital</v>
      </c>
      <c r="Y406" s="25" t="str">
        <f>_xlfn.XLOOKUP(tblMeasure[[#This Row],[id_src]],tblSource[id_src],tblSource[source])</f>
        <v>Deferred Payment Agreements</v>
      </c>
      <c r="Z406" s="25" t="str">
        <f>_xlfn.XLOOKUP(tblMeasure[[#This Row],[id_src]],tblSource[id_src],tblSource[url_source])</f>
        <v>https://digital.nhs.uk/data-and-information/publications/statistical/deferred-payment-agreements</v>
      </c>
      <c r="AA406" s="25">
        <f>_xlfn.XLOOKUP(tblMeasure[[#This Row],[id_src]],tblSource[id_src],tblSource[year_first_published])</f>
        <v>2018</v>
      </c>
      <c r="AB406" s="25">
        <f>_xlfn.XLOOKUP(tblMeasure[[#This Row],[id_src]],tblSource[id_src],tblSource[year_last_published])</f>
        <v>2019</v>
      </c>
      <c r="AC406" s="25">
        <f>_xlfn.XLOOKUP(tblMeasure[[#This Row],[id_src]],tblSource[id_src],tblSource[discontinuity])</f>
        <v>0</v>
      </c>
      <c r="AD406" s="25" t="str">
        <f>_xlfn.XLOOKUP(tblMeasure[[#This Row],[id_src]],tblSource[id_src],tblSource[publication_frequency])</f>
        <v>Annual</v>
      </c>
      <c r="AE406" s="15">
        <f>_xlfn.XLOOKUP(tblMeasure[[#This Row],[id_src]],tblSource[id_src],tblSource[publication_lag_months])</f>
        <v>8</v>
      </c>
      <c r="AF406" s="25" t="str">
        <f>_xlfn.XLOOKUP(tblMeasure[[#This Row],[id_src]],tblSource[id_src],tblSource[data_providers])</f>
        <v>LA</v>
      </c>
      <c r="AG406" s="25" t="str">
        <f>_xlfn.XLOOKUP(tblMeasure[[#This Row],[id_src]],tblSource[id_src],tblSource[statistic_class])</f>
        <v>Experimental</v>
      </c>
      <c r="AH406" s="25" t="str">
        <f>_xlfn.XLOOKUP(tblMeasure[[#This Row],[id_src]],tblSource[id_src],tblSource[methodology_link])</f>
        <v>https://digital.nhs.uk/data-and-information/publications/statistical/deferred-payment-agreements/2018-19/data-quality-statement</v>
      </c>
      <c r="AI406" s="25" t="str">
        <f>_xlfn.XLOOKUP(tblMeasure[[#This Row],[id_src]],tblSource[id_src],tblSource[quality_issues])</f>
        <v>https://digital.nhs.uk/data-and-information/publications/statistical/deferred-payment-agreements/2018-19/data-quality-issues-to-note</v>
      </c>
      <c r="AJ406" s="25">
        <f>VLOOKUP(tblMeasure[[#This Row],[msr_population_or_survey]],strlu_msr_population_or_survey,2,FALSE)</f>
        <v>1</v>
      </c>
      <c r="AK406" s="25">
        <f>VLOOKUP(tblMeasure[[#This Row],[msr_min_geo_resolution]],strlu_msr_min_geo_resolution,2,FALSE)</f>
        <v>1</v>
      </c>
      <c r="AL406" s="25">
        <f>(MAX(tblMeasure[[#This Row],[src_year_last_published]]-2010+1,0)+MIN(2010-tblMeasure[[#This Row],[src_year_first_published]],0)-MAX(tblMeasure[[#This Row],[src_year_last_published]]-2019,0))/10</f>
        <v>0.2</v>
      </c>
      <c r="AM406" s="25">
        <f>IF(OR(tblMeasure[[#This Row],[src_discontinuity]]="None",tblMeasure[[#This Row],[src_discontinuity]]=0),1,0)</f>
        <v>1</v>
      </c>
      <c r="AN406" s="25">
        <f>VLOOKUP(tblMeasure[[#This Row],[src_pub_frequency]],strlu_src_pub_frequency,2,FALSE)</f>
        <v>0.8</v>
      </c>
      <c r="AO406" s="25">
        <f>VLOOKUP(tblMeasure[[#This Row],[src_pub_lag_months]],strlu_src_pub_lag_months,2,FALSE)</f>
        <v>0.2</v>
      </c>
      <c r="AP406" s="25">
        <f>VLOOKUP(tblMeasure[[#This Row],[src_statistic_class]],strlu_src_statistic_class,2,FALSE)</f>
        <v>0.5</v>
      </c>
      <c r="AQ406" s="25">
        <f>IF(tblMeasure[[#This Row],[src_methodology_url]]="TBD",0,1)</f>
        <v>1</v>
      </c>
      <c r="AR406" s="25">
        <f>IF(tblMeasure[[#This Row],[src_quality_url]]="TBD",0,1)</f>
        <v>1</v>
      </c>
      <c r="AS406" s="85" cm="1">
        <f t="array" ref="AS406">SUMPRODUCT(TRANSPOSE(tblMeasure[[#This Row],[str_msr_population_or_survey]:[str_src_quality_url]]),str_weights)/str_weights_total</f>
        <v>0.70769230769230762</v>
      </c>
    </row>
    <row r="407" spans="1:45" hidden="1" x14ac:dyDescent="0.15">
      <c r="A407" s="30">
        <v>391</v>
      </c>
      <c r="B407" s="32">
        <f>COUNTIF(requirement_measure_map!$D$3:$D$1514,measure!A407)</f>
        <v>4</v>
      </c>
      <c r="C407" s="30" t="s">
        <v>1118</v>
      </c>
      <c r="D407" s="15" t="s">
        <v>1340</v>
      </c>
      <c r="E407" s="15" t="s">
        <v>586</v>
      </c>
      <c r="F407" s="15" t="s">
        <v>1346</v>
      </c>
      <c r="G407" s="29" t="s">
        <v>1342</v>
      </c>
      <c r="H407" s="15"/>
      <c r="I407" s="15" t="s">
        <v>214</v>
      </c>
      <c r="J407" s="15" t="s">
        <v>215</v>
      </c>
      <c r="K407" s="15" t="s">
        <v>1347</v>
      </c>
      <c r="L407" s="15" t="s">
        <v>217</v>
      </c>
      <c r="M407" s="15" t="s">
        <v>219</v>
      </c>
      <c r="N407" s="15" t="s">
        <v>219</v>
      </c>
      <c r="O407" s="15" t="s">
        <v>219</v>
      </c>
      <c r="P407" s="15" t="s">
        <v>219</v>
      </c>
      <c r="Q407" s="15" t="s">
        <v>219</v>
      </c>
      <c r="R407" s="15" t="s">
        <v>219</v>
      </c>
      <c r="S407" s="15" t="s">
        <v>219</v>
      </c>
      <c r="T407" s="15" t="s">
        <v>219</v>
      </c>
      <c r="U407" s="15" t="s">
        <v>219</v>
      </c>
      <c r="V407" s="15" t="s">
        <v>219</v>
      </c>
      <c r="W407" s="15">
        <v>31</v>
      </c>
      <c r="X407" s="15" t="str">
        <f>_xlfn.XLOOKUP(tblMeasure[[#This Row],[id_src]],tblSource[id_src],tblSource[org])</f>
        <v>NHS Digital</v>
      </c>
      <c r="Y407" s="25" t="str">
        <f>_xlfn.XLOOKUP(tblMeasure[[#This Row],[id_src]],tblSource[id_src],tblSource[source])</f>
        <v>Deferred Payment Agreements</v>
      </c>
      <c r="Z407" s="25" t="str">
        <f>_xlfn.XLOOKUP(tblMeasure[[#This Row],[id_src]],tblSource[id_src],tblSource[url_source])</f>
        <v>https://digital.nhs.uk/data-and-information/publications/statistical/deferred-payment-agreements</v>
      </c>
      <c r="AA407" s="25">
        <f>_xlfn.XLOOKUP(tblMeasure[[#This Row],[id_src]],tblSource[id_src],tblSource[year_first_published])</f>
        <v>2018</v>
      </c>
      <c r="AB407" s="25">
        <f>_xlfn.XLOOKUP(tblMeasure[[#This Row],[id_src]],tblSource[id_src],tblSource[year_last_published])</f>
        <v>2019</v>
      </c>
      <c r="AC407" s="25">
        <f>_xlfn.XLOOKUP(tblMeasure[[#This Row],[id_src]],tblSource[id_src],tblSource[discontinuity])</f>
        <v>0</v>
      </c>
      <c r="AD407" s="25" t="str">
        <f>_xlfn.XLOOKUP(tblMeasure[[#This Row],[id_src]],tblSource[id_src],tblSource[publication_frequency])</f>
        <v>Annual</v>
      </c>
      <c r="AE407" s="15">
        <f>_xlfn.XLOOKUP(tblMeasure[[#This Row],[id_src]],tblSource[id_src],tblSource[publication_lag_months])</f>
        <v>8</v>
      </c>
      <c r="AF407" s="25" t="str">
        <f>_xlfn.XLOOKUP(tblMeasure[[#This Row],[id_src]],tblSource[id_src],tblSource[data_providers])</f>
        <v>LA</v>
      </c>
      <c r="AG407" s="25" t="str">
        <f>_xlfn.XLOOKUP(tblMeasure[[#This Row],[id_src]],tblSource[id_src],tblSource[statistic_class])</f>
        <v>Experimental</v>
      </c>
      <c r="AH407" s="25" t="str">
        <f>_xlfn.XLOOKUP(tblMeasure[[#This Row],[id_src]],tblSource[id_src],tblSource[methodology_link])</f>
        <v>https://digital.nhs.uk/data-and-information/publications/statistical/deferred-payment-agreements/2018-19/data-quality-statement</v>
      </c>
      <c r="AI407" s="25" t="str">
        <f>_xlfn.XLOOKUP(tblMeasure[[#This Row],[id_src]],tblSource[id_src],tblSource[quality_issues])</f>
        <v>https://digital.nhs.uk/data-and-information/publications/statistical/deferred-payment-agreements/2018-19/data-quality-issues-to-note</v>
      </c>
      <c r="AJ407" s="25">
        <f>VLOOKUP(tblMeasure[[#This Row],[msr_population_or_survey]],strlu_msr_population_or_survey,2,FALSE)</f>
        <v>1</v>
      </c>
      <c r="AK407" s="25">
        <f>VLOOKUP(tblMeasure[[#This Row],[msr_min_geo_resolution]],strlu_msr_min_geo_resolution,2,FALSE)</f>
        <v>1</v>
      </c>
      <c r="AL407" s="25">
        <f>(MAX(tblMeasure[[#This Row],[src_year_last_published]]-2010+1,0)+MIN(2010-tblMeasure[[#This Row],[src_year_first_published]],0)-MAX(tblMeasure[[#This Row],[src_year_last_published]]-2019,0))/10</f>
        <v>0.2</v>
      </c>
      <c r="AM407" s="25">
        <f>IF(OR(tblMeasure[[#This Row],[src_discontinuity]]="None",tblMeasure[[#This Row],[src_discontinuity]]=0),1,0)</f>
        <v>1</v>
      </c>
      <c r="AN407" s="25">
        <f>VLOOKUP(tblMeasure[[#This Row],[src_pub_frequency]],strlu_src_pub_frequency,2,FALSE)</f>
        <v>0.8</v>
      </c>
      <c r="AO407" s="25">
        <f>VLOOKUP(tblMeasure[[#This Row],[src_pub_lag_months]],strlu_src_pub_lag_months,2,FALSE)</f>
        <v>0.2</v>
      </c>
      <c r="AP407" s="25">
        <f>VLOOKUP(tblMeasure[[#This Row],[src_statistic_class]],strlu_src_statistic_class,2,FALSE)</f>
        <v>0.5</v>
      </c>
      <c r="AQ407" s="25">
        <f>IF(tblMeasure[[#This Row],[src_methodology_url]]="TBD",0,1)</f>
        <v>1</v>
      </c>
      <c r="AR407" s="25">
        <f>IF(tblMeasure[[#This Row],[src_quality_url]]="TBD",0,1)</f>
        <v>1</v>
      </c>
      <c r="AS407" s="85" cm="1">
        <f t="array" ref="AS407">SUMPRODUCT(TRANSPOSE(tblMeasure[[#This Row],[str_msr_population_or_survey]:[str_src_quality_url]]),str_weights)/str_weights_total</f>
        <v>0.70769230769230762</v>
      </c>
    </row>
    <row r="408" spans="1:45" x14ac:dyDescent="0.15">
      <c r="A408" s="30">
        <v>392</v>
      </c>
      <c r="B408" s="32">
        <f>COUNTIF(requirement_measure_map!$D$3:$D$1514,measure!A408)</f>
        <v>4</v>
      </c>
      <c r="C408" s="30" t="s">
        <v>1118</v>
      </c>
      <c r="D408" s="15" t="s">
        <v>1340</v>
      </c>
      <c r="E408" s="15" t="s">
        <v>589</v>
      </c>
      <c r="F408" s="15" t="s">
        <v>1348</v>
      </c>
      <c r="G408" s="29" t="s">
        <v>1342</v>
      </c>
      <c r="H408" s="15"/>
      <c r="I408" s="15" t="s">
        <v>214</v>
      </c>
      <c r="J408" s="15" t="s">
        <v>215</v>
      </c>
      <c r="K408" s="15" t="s">
        <v>1349</v>
      </c>
      <c r="L408" s="15" t="s">
        <v>217</v>
      </c>
      <c r="M408" s="15" t="s">
        <v>219</v>
      </c>
      <c r="N408" s="15" t="s">
        <v>219</v>
      </c>
      <c r="O408" s="15" t="s">
        <v>219</v>
      </c>
      <c r="P408" s="15" t="s">
        <v>219</v>
      </c>
      <c r="Q408" s="15" t="s">
        <v>219</v>
      </c>
      <c r="R408" s="15" t="s">
        <v>219</v>
      </c>
      <c r="S408" s="15" t="s">
        <v>219</v>
      </c>
      <c r="T408" s="15" t="s">
        <v>219</v>
      </c>
      <c r="U408" s="15" t="s">
        <v>219</v>
      </c>
      <c r="V408" s="15" t="s">
        <v>219</v>
      </c>
      <c r="W408" s="15">
        <v>31</v>
      </c>
      <c r="X408" s="15" t="str">
        <f>_xlfn.XLOOKUP(tblMeasure[[#This Row],[id_src]],tblSource[id_src],tblSource[org])</f>
        <v>NHS Digital</v>
      </c>
      <c r="Y408" s="25" t="str">
        <f>_xlfn.XLOOKUP(tblMeasure[[#This Row],[id_src]],tblSource[id_src],tblSource[source])</f>
        <v>Deferred Payment Agreements</v>
      </c>
      <c r="Z408" s="25" t="str">
        <f>_xlfn.XLOOKUP(tblMeasure[[#This Row],[id_src]],tblSource[id_src],tblSource[url_source])</f>
        <v>https://digital.nhs.uk/data-and-information/publications/statistical/deferred-payment-agreements</v>
      </c>
      <c r="AA408" s="25">
        <f>_xlfn.XLOOKUP(tblMeasure[[#This Row],[id_src]],tblSource[id_src],tblSource[year_first_published])</f>
        <v>2018</v>
      </c>
      <c r="AB408" s="25">
        <f>_xlfn.XLOOKUP(tblMeasure[[#This Row],[id_src]],tblSource[id_src],tblSource[year_last_published])</f>
        <v>2019</v>
      </c>
      <c r="AC408" s="25">
        <f>_xlfn.XLOOKUP(tblMeasure[[#This Row],[id_src]],tblSource[id_src],tblSource[discontinuity])</f>
        <v>0</v>
      </c>
      <c r="AD408" s="25" t="str">
        <f>_xlfn.XLOOKUP(tblMeasure[[#This Row],[id_src]],tblSource[id_src],tblSource[publication_frequency])</f>
        <v>Annual</v>
      </c>
      <c r="AE408" s="15">
        <f>_xlfn.XLOOKUP(tblMeasure[[#This Row],[id_src]],tblSource[id_src],tblSource[publication_lag_months])</f>
        <v>8</v>
      </c>
      <c r="AF408" s="25" t="str">
        <f>_xlfn.XLOOKUP(tblMeasure[[#This Row],[id_src]],tblSource[id_src],tblSource[data_providers])</f>
        <v>LA</v>
      </c>
      <c r="AG408" s="25" t="str">
        <f>_xlfn.XLOOKUP(tblMeasure[[#This Row],[id_src]],tblSource[id_src],tblSource[statistic_class])</f>
        <v>Experimental</v>
      </c>
      <c r="AH408" s="25" t="str">
        <f>_xlfn.XLOOKUP(tblMeasure[[#This Row],[id_src]],tblSource[id_src],tblSource[methodology_link])</f>
        <v>https://digital.nhs.uk/data-and-information/publications/statistical/deferred-payment-agreements/2018-19/data-quality-statement</v>
      </c>
      <c r="AI408" s="25" t="str">
        <f>_xlfn.XLOOKUP(tblMeasure[[#This Row],[id_src]],tblSource[id_src],tblSource[quality_issues])</f>
        <v>https://digital.nhs.uk/data-and-information/publications/statistical/deferred-payment-agreements/2018-19/data-quality-issues-to-note</v>
      </c>
      <c r="AJ408" s="25">
        <f>VLOOKUP(tblMeasure[[#This Row],[msr_population_or_survey]],strlu_msr_population_or_survey,2,FALSE)</f>
        <v>1</v>
      </c>
      <c r="AK408" s="25">
        <f>VLOOKUP(tblMeasure[[#This Row],[msr_min_geo_resolution]],strlu_msr_min_geo_resolution,2,FALSE)</f>
        <v>1</v>
      </c>
      <c r="AL408" s="25">
        <f>(MAX(tblMeasure[[#This Row],[src_year_last_published]]-2010+1,0)+MIN(2010-tblMeasure[[#This Row],[src_year_first_published]],0)-MAX(tblMeasure[[#This Row],[src_year_last_published]]-2019,0))/10</f>
        <v>0.2</v>
      </c>
      <c r="AM408" s="25">
        <f>IF(OR(tblMeasure[[#This Row],[src_discontinuity]]="None",tblMeasure[[#This Row],[src_discontinuity]]=0),1,0)</f>
        <v>1</v>
      </c>
      <c r="AN408" s="25">
        <f>VLOOKUP(tblMeasure[[#This Row],[src_pub_frequency]],strlu_src_pub_frequency,2,FALSE)</f>
        <v>0.8</v>
      </c>
      <c r="AO408" s="25">
        <f>VLOOKUP(tblMeasure[[#This Row],[src_pub_lag_months]],strlu_src_pub_lag_months,2,FALSE)</f>
        <v>0.2</v>
      </c>
      <c r="AP408" s="25">
        <f>VLOOKUP(tblMeasure[[#This Row],[src_statistic_class]],strlu_src_statistic_class,2,FALSE)</f>
        <v>0.5</v>
      </c>
      <c r="AQ408" s="25">
        <f>IF(tblMeasure[[#This Row],[src_methodology_url]]="TBD",0,1)</f>
        <v>1</v>
      </c>
      <c r="AR408" s="25">
        <f>IF(tblMeasure[[#This Row],[src_quality_url]]="TBD",0,1)</f>
        <v>1</v>
      </c>
      <c r="AS408" s="85" cm="1">
        <f t="array" ref="AS408">SUMPRODUCT(TRANSPOSE(tblMeasure[[#This Row],[str_msr_population_or_survey]:[str_src_quality_url]]),str_weights)/str_weights_total</f>
        <v>0.70769230769230762</v>
      </c>
    </row>
    <row r="409" spans="1:45" hidden="1" x14ac:dyDescent="0.15">
      <c r="A409" s="30">
        <v>393</v>
      </c>
      <c r="B409" s="32">
        <f>COUNTIF(requirement_measure_map!$D$3:$D$1514,measure!A409)</f>
        <v>4</v>
      </c>
      <c r="C409" s="30" t="s">
        <v>1118</v>
      </c>
      <c r="D409" s="15" t="s">
        <v>1340</v>
      </c>
      <c r="E409" s="15" t="s">
        <v>592</v>
      </c>
      <c r="F409" s="15" t="s">
        <v>1350</v>
      </c>
      <c r="G409" s="29" t="s">
        <v>1342</v>
      </c>
      <c r="H409" s="15"/>
      <c r="I409" s="15" t="s">
        <v>214</v>
      </c>
      <c r="J409" s="15" t="s">
        <v>215</v>
      </c>
      <c r="K409" s="15" t="s">
        <v>1351</v>
      </c>
      <c r="L409" s="15" t="s">
        <v>217</v>
      </c>
      <c r="M409" s="15" t="s">
        <v>219</v>
      </c>
      <c r="N409" s="15" t="s">
        <v>219</v>
      </c>
      <c r="O409" s="15" t="s">
        <v>219</v>
      </c>
      <c r="P409" s="15" t="s">
        <v>219</v>
      </c>
      <c r="Q409" s="15" t="s">
        <v>219</v>
      </c>
      <c r="R409" s="15" t="s">
        <v>219</v>
      </c>
      <c r="S409" s="15" t="s">
        <v>219</v>
      </c>
      <c r="T409" s="15" t="s">
        <v>219</v>
      </c>
      <c r="U409" s="15" t="s">
        <v>219</v>
      </c>
      <c r="V409" s="15" t="s">
        <v>219</v>
      </c>
      <c r="W409" s="15">
        <v>31</v>
      </c>
      <c r="X409" s="15" t="str">
        <f>_xlfn.XLOOKUP(tblMeasure[[#This Row],[id_src]],tblSource[id_src],tblSource[org])</f>
        <v>NHS Digital</v>
      </c>
      <c r="Y409" s="25" t="str">
        <f>_xlfn.XLOOKUP(tblMeasure[[#This Row],[id_src]],tblSource[id_src],tblSource[source])</f>
        <v>Deferred Payment Agreements</v>
      </c>
      <c r="Z409" s="25" t="str">
        <f>_xlfn.XLOOKUP(tblMeasure[[#This Row],[id_src]],tblSource[id_src],tblSource[url_source])</f>
        <v>https://digital.nhs.uk/data-and-information/publications/statistical/deferred-payment-agreements</v>
      </c>
      <c r="AA409" s="25">
        <f>_xlfn.XLOOKUP(tblMeasure[[#This Row],[id_src]],tblSource[id_src],tblSource[year_first_published])</f>
        <v>2018</v>
      </c>
      <c r="AB409" s="25">
        <f>_xlfn.XLOOKUP(tblMeasure[[#This Row],[id_src]],tblSource[id_src],tblSource[year_last_published])</f>
        <v>2019</v>
      </c>
      <c r="AC409" s="25">
        <f>_xlfn.XLOOKUP(tblMeasure[[#This Row],[id_src]],tblSource[id_src],tblSource[discontinuity])</f>
        <v>0</v>
      </c>
      <c r="AD409" s="25" t="str">
        <f>_xlfn.XLOOKUP(tblMeasure[[#This Row],[id_src]],tblSource[id_src],tblSource[publication_frequency])</f>
        <v>Annual</v>
      </c>
      <c r="AE409" s="15">
        <f>_xlfn.XLOOKUP(tblMeasure[[#This Row],[id_src]],tblSource[id_src],tblSource[publication_lag_months])</f>
        <v>8</v>
      </c>
      <c r="AF409" s="25" t="str">
        <f>_xlfn.XLOOKUP(tblMeasure[[#This Row],[id_src]],tblSource[id_src],tblSource[data_providers])</f>
        <v>LA</v>
      </c>
      <c r="AG409" s="25" t="str">
        <f>_xlfn.XLOOKUP(tblMeasure[[#This Row],[id_src]],tblSource[id_src],tblSource[statistic_class])</f>
        <v>Experimental</v>
      </c>
      <c r="AH409" s="25" t="str">
        <f>_xlfn.XLOOKUP(tblMeasure[[#This Row],[id_src]],tblSource[id_src],tblSource[methodology_link])</f>
        <v>https://digital.nhs.uk/data-and-information/publications/statistical/deferred-payment-agreements/2018-19/data-quality-statement</v>
      </c>
      <c r="AI409" s="25" t="str">
        <f>_xlfn.XLOOKUP(tblMeasure[[#This Row],[id_src]],tblSource[id_src],tblSource[quality_issues])</f>
        <v>https://digital.nhs.uk/data-and-information/publications/statistical/deferred-payment-agreements/2018-19/data-quality-issues-to-note</v>
      </c>
      <c r="AJ409" s="25">
        <f>VLOOKUP(tblMeasure[[#This Row],[msr_population_or_survey]],strlu_msr_population_or_survey,2,FALSE)</f>
        <v>1</v>
      </c>
      <c r="AK409" s="25">
        <f>VLOOKUP(tblMeasure[[#This Row],[msr_min_geo_resolution]],strlu_msr_min_geo_resolution,2,FALSE)</f>
        <v>1</v>
      </c>
      <c r="AL409" s="25">
        <f>(MAX(tblMeasure[[#This Row],[src_year_last_published]]-2010+1,0)+MIN(2010-tblMeasure[[#This Row],[src_year_first_published]],0)-MAX(tblMeasure[[#This Row],[src_year_last_published]]-2019,0))/10</f>
        <v>0.2</v>
      </c>
      <c r="AM409" s="25">
        <f>IF(OR(tblMeasure[[#This Row],[src_discontinuity]]="None",tblMeasure[[#This Row],[src_discontinuity]]=0),1,0)</f>
        <v>1</v>
      </c>
      <c r="AN409" s="25">
        <f>VLOOKUP(tblMeasure[[#This Row],[src_pub_frequency]],strlu_src_pub_frequency,2,FALSE)</f>
        <v>0.8</v>
      </c>
      <c r="AO409" s="25">
        <f>VLOOKUP(tblMeasure[[#This Row],[src_pub_lag_months]],strlu_src_pub_lag_months,2,FALSE)</f>
        <v>0.2</v>
      </c>
      <c r="AP409" s="25">
        <f>VLOOKUP(tblMeasure[[#This Row],[src_statistic_class]],strlu_src_statistic_class,2,FALSE)</f>
        <v>0.5</v>
      </c>
      <c r="AQ409" s="25">
        <f>IF(tblMeasure[[#This Row],[src_methodology_url]]="TBD",0,1)</f>
        <v>1</v>
      </c>
      <c r="AR409" s="25">
        <f>IF(tblMeasure[[#This Row],[src_quality_url]]="TBD",0,1)</f>
        <v>1</v>
      </c>
      <c r="AS409" s="85" cm="1">
        <f t="array" ref="AS409">SUMPRODUCT(TRANSPOSE(tblMeasure[[#This Row],[str_msr_population_or_survey]:[str_src_quality_url]]),str_weights)/str_weights_total</f>
        <v>0.70769230769230762</v>
      </c>
    </row>
    <row r="410" spans="1:45" x14ac:dyDescent="0.15">
      <c r="A410" s="30">
        <v>394</v>
      </c>
      <c r="B410" s="32">
        <f>COUNTIF(requirement_measure_map!$D$3:$D$1514,measure!A410)</f>
        <v>4</v>
      </c>
      <c r="C410" s="30" t="s">
        <v>1118</v>
      </c>
      <c r="D410" s="15" t="s">
        <v>1340</v>
      </c>
      <c r="E410" s="15" t="s">
        <v>595</v>
      </c>
      <c r="F410" s="15" t="s">
        <v>1352</v>
      </c>
      <c r="G410" s="29" t="s">
        <v>1342</v>
      </c>
      <c r="H410" s="15"/>
      <c r="I410" s="15" t="s">
        <v>214</v>
      </c>
      <c r="J410" s="15" t="s">
        <v>215</v>
      </c>
      <c r="K410" s="15" t="s">
        <v>1353</v>
      </c>
      <c r="L410" s="15" t="s">
        <v>217</v>
      </c>
      <c r="M410" s="15" t="s">
        <v>219</v>
      </c>
      <c r="N410" s="15" t="s">
        <v>219</v>
      </c>
      <c r="O410" s="15" t="s">
        <v>219</v>
      </c>
      <c r="P410" s="15" t="s">
        <v>219</v>
      </c>
      <c r="Q410" s="15" t="s">
        <v>219</v>
      </c>
      <c r="R410" s="15" t="s">
        <v>219</v>
      </c>
      <c r="S410" s="15" t="s">
        <v>219</v>
      </c>
      <c r="T410" s="15" t="s">
        <v>219</v>
      </c>
      <c r="U410" s="15" t="s">
        <v>219</v>
      </c>
      <c r="V410" s="15" t="s">
        <v>219</v>
      </c>
      <c r="W410" s="15">
        <v>31</v>
      </c>
      <c r="X410" s="15" t="str">
        <f>_xlfn.XLOOKUP(tblMeasure[[#This Row],[id_src]],tblSource[id_src],tblSource[org])</f>
        <v>NHS Digital</v>
      </c>
      <c r="Y410" s="25" t="str">
        <f>_xlfn.XLOOKUP(tblMeasure[[#This Row],[id_src]],tblSource[id_src],tblSource[source])</f>
        <v>Deferred Payment Agreements</v>
      </c>
      <c r="Z410" s="25" t="str">
        <f>_xlfn.XLOOKUP(tblMeasure[[#This Row],[id_src]],tblSource[id_src],tblSource[url_source])</f>
        <v>https://digital.nhs.uk/data-and-information/publications/statistical/deferred-payment-agreements</v>
      </c>
      <c r="AA410" s="25">
        <f>_xlfn.XLOOKUP(tblMeasure[[#This Row],[id_src]],tblSource[id_src],tblSource[year_first_published])</f>
        <v>2018</v>
      </c>
      <c r="AB410" s="25">
        <f>_xlfn.XLOOKUP(tblMeasure[[#This Row],[id_src]],tblSource[id_src],tblSource[year_last_published])</f>
        <v>2019</v>
      </c>
      <c r="AC410" s="25">
        <f>_xlfn.XLOOKUP(tblMeasure[[#This Row],[id_src]],tblSource[id_src],tblSource[discontinuity])</f>
        <v>0</v>
      </c>
      <c r="AD410" s="25" t="str">
        <f>_xlfn.XLOOKUP(tblMeasure[[#This Row],[id_src]],tblSource[id_src],tblSource[publication_frequency])</f>
        <v>Annual</v>
      </c>
      <c r="AE410" s="15">
        <f>_xlfn.XLOOKUP(tblMeasure[[#This Row],[id_src]],tblSource[id_src],tblSource[publication_lag_months])</f>
        <v>8</v>
      </c>
      <c r="AF410" s="25" t="str">
        <f>_xlfn.XLOOKUP(tblMeasure[[#This Row],[id_src]],tblSource[id_src],tblSource[data_providers])</f>
        <v>LA</v>
      </c>
      <c r="AG410" s="25" t="str">
        <f>_xlfn.XLOOKUP(tblMeasure[[#This Row],[id_src]],tblSource[id_src],tblSource[statistic_class])</f>
        <v>Experimental</v>
      </c>
      <c r="AH410" s="25" t="str">
        <f>_xlfn.XLOOKUP(tblMeasure[[#This Row],[id_src]],tblSource[id_src],tblSource[methodology_link])</f>
        <v>https://digital.nhs.uk/data-and-information/publications/statistical/deferred-payment-agreements/2018-19/data-quality-statement</v>
      </c>
      <c r="AI410" s="25" t="str">
        <f>_xlfn.XLOOKUP(tblMeasure[[#This Row],[id_src]],tblSource[id_src],tblSource[quality_issues])</f>
        <v>https://digital.nhs.uk/data-and-information/publications/statistical/deferred-payment-agreements/2018-19/data-quality-issues-to-note</v>
      </c>
      <c r="AJ410" s="25">
        <f>VLOOKUP(tblMeasure[[#This Row],[msr_population_or_survey]],strlu_msr_population_or_survey,2,FALSE)</f>
        <v>1</v>
      </c>
      <c r="AK410" s="25">
        <f>VLOOKUP(tblMeasure[[#This Row],[msr_min_geo_resolution]],strlu_msr_min_geo_resolution,2,FALSE)</f>
        <v>1</v>
      </c>
      <c r="AL410" s="25">
        <f>(MAX(tblMeasure[[#This Row],[src_year_last_published]]-2010+1,0)+MIN(2010-tblMeasure[[#This Row],[src_year_first_published]],0)-MAX(tblMeasure[[#This Row],[src_year_last_published]]-2019,0))/10</f>
        <v>0.2</v>
      </c>
      <c r="AM410" s="25">
        <f>IF(OR(tblMeasure[[#This Row],[src_discontinuity]]="None",tblMeasure[[#This Row],[src_discontinuity]]=0),1,0)</f>
        <v>1</v>
      </c>
      <c r="AN410" s="25">
        <f>VLOOKUP(tblMeasure[[#This Row],[src_pub_frequency]],strlu_src_pub_frequency,2,FALSE)</f>
        <v>0.8</v>
      </c>
      <c r="AO410" s="25">
        <f>VLOOKUP(tblMeasure[[#This Row],[src_pub_lag_months]],strlu_src_pub_lag_months,2,FALSE)</f>
        <v>0.2</v>
      </c>
      <c r="AP410" s="25">
        <f>VLOOKUP(tblMeasure[[#This Row],[src_statistic_class]],strlu_src_statistic_class,2,FALSE)</f>
        <v>0.5</v>
      </c>
      <c r="AQ410" s="25">
        <f>IF(tblMeasure[[#This Row],[src_methodology_url]]="TBD",0,1)</f>
        <v>1</v>
      </c>
      <c r="AR410" s="25">
        <f>IF(tblMeasure[[#This Row],[src_quality_url]]="TBD",0,1)</f>
        <v>1</v>
      </c>
      <c r="AS410" s="85" cm="1">
        <f t="array" ref="AS410">SUMPRODUCT(TRANSPOSE(tblMeasure[[#This Row],[str_msr_population_or_survey]:[str_src_quality_url]]),str_weights)/str_weights_total</f>
        <v>0.70769230769230762</v>
      </c>
    </row>
    <row r="411" spans="1:45" x14ac:dyDescent="0.15">
      <c r="A411" s="30">
        <v>395</v>
      </c>
      <c r="B411" s="32">
        <f>COUNTIF(requirement_measure_map!$D$3:$D$1514,measure!A411)</f>
        <v>4</v>
      </c>
      <c r="C411" s="30" t="s">
        <v>1118</v>
      </c>
      <c r="D411" s="15" t="s">
        <v>1340</v>
      </c>
      <c r="E411" s="15" t="s">
        <v>598</v>
      </c>
      <c r="F411" s="15" t="s">
        <v>1354</v>
      </c>
      <c r="G411" s="29" t="s">
        <v>1342</v>
      </c>
      <c r="H411" s="15"/>
      <c r="I411" s="15" t="s">
        <v>214</v>
      </c>
      <c r="J411" s="15" t="s">
        <v>215</v>
      </c>
      <c r="K411" s="15" t="s">
        <v>1355</v>
      </c>
      <c r="L411" s="15" t="s">
        <v>287</v>
      </c>
      <c r="M411" s="15"/>
      <c r="N411" s="15"/>
      <c r="O411" s="15"/>
      <c r="P411" s="15"/>
      <c r="Q411" s="15"/>
      <c r="R411" s="15"/>
      <c r="S411" s="15"/>
      <c r="T411" s="15"/>
      <c r="U411" s="15"/>
      <c r="V411" s="15"/>
      <c r="W411" s="15">
        <v>31</v>
      </c>
      <c r="X411" s="15" t="str">
        <f>_xlfn.XLOOKUP(tblMeasure[[#This Row],[id_src]],tblSource[id_src],tblSource[org])</f>
        <v>NHS Digital</v>
      </c>
      <c r="Y411" s="25" t="str">
        <f>_xlfn.XLOOKUP(tblMeasure[[#This Row],[id_src]],tblSource[id_src],tblSource[source])</f>
        <v>Deferred Payment Agreements</v>
      </c>
      <c r="Z411" s="25" t="str">
        <f>_xlfn.XLOOKUP(tblMeasure[[#This Row],[id_src]],tblSource[id_src],tblSource[url_source])</f>
        <v>https://digital.nhs.uk/data-and-information/publications/statistical/deferred-payment-agreements</v>
      </c>
      <c r="AA411" s="25">
        <f>_xlfn.XLOOKUP(tblMeasure[[#This Row],[id_src]],tblSource[id_src],tblSource[year_first_published])</f>
        <v>2018</v>
      </c>
      <c r="AB411" s="25">
        <f>_xlfn.XLOOKUP(tblMeasure[[#This Row],[id_src]],tblSource[id_src],tblSource[year_last_published])</f>
        <v>2019</v>
      </c>
      <c r="AC411" s="25">
        <f>_xlfn.XLOOKUP(tblMeasure[[#This Row],[id_src]],tblSource[id_src],tblSource[discontinuity])</f>
        <v>0</v>
      </c>
      <c r="AD411" s="25" t="str">
        <f>_xlfn.XLOOKUP(tblMeasure[[#This Row],[id_src]],tblSource[id_src],tblSource[publication_frequency])</f>
        <v>Annual</v>
      </c>
      <c r="AE411" s="15">
        <f>_xlfn.XLOOKUP(tblMeasure[[#This Row],[id_src]],tblSource[id_src],tblSource[publication_lag_months])</f>
        <v>8</v>
      </c>
      <c r="AF411" s="25" t="str">
        <f>_xlfn.XLOOKUP(tblMeasure[[#This Row],[id_src]],tblSource[id_src],tblSource[data_providers])</f>
        <v>LA</v>
      </c>
      <c r="AG411" s="25" t="str">
        <f>_xlfn.XLOOKUP(tblMeasure[[#This Row],[id_src]],tblSource[id_src],tblSource[statistic_class])</f>
        <v>Experimental</v>
      </c>
      <c r="AH411" s="25" t="str">
        <f>_xlfn.XLOOKUP(tblMeasure[[#This Row],[id_src]],tblSource[id_src],tblSource[methodology_link])</f>
        <v>https://digital.nhs.uk/data-and-information/publications/statistical/deferred-payment-agreements/2018-19/data-quality-statement</v>
      </c>
      <c r="AI411" s="25" t="str">
        <f>_xlfn.XLOOKUP(tblMeasure[[#This Row],[id_src]],tblSource[id_src],tblSource[quality_issues])</f>
        <v>https://digital.nhs.uk/data-and-information/publications/statistical/deferred-payment-agreements/2018-19/data-quality-issues-to-note</v>
      </c>
      <c r="AJ411" s="25">
        <f>VLOOKUP(tblMeasure[[#This Row],[msr_population_or_survey]],strlu_msr_population_or_survey,2,FALSE)</f>
        <v>1</v>
      </c>
      <c r="AK411" s="25">
        <f>VLOOKUP(tblMeasure[[#This Row],[msr_min_geo_resolution]],strlu_msr_min_geo_resolution,2,FALSE)</f>
        <v>0.5</v>
      </c>
      <c r="AL411" s="25">
        <f>(MAX(tblMeasure[[#This Row],[src_year_last_published]]-2010+1,0)+MIN(2010-tblMeasure[[#This Row],[src_year_first_published]],0)-MAX(tblMeasure[[#This Row],[src_year_last_published]]-2019,0))/10</f>
        <v>0.2</v>
      </c>
      <c r="AM411" s="25">
        <f>IF(OR(tblMeasure[[#This Row],[src_discontinuity]]="None",tblMeasure[[#This Row],[src_discontinuity]]=0),1,0)</f>
        <v>1</v>
      </c>
      <c r="AN411" s="25">
        <f>VLOOKUP(tblMeasure[[#This Row],[src_pub_frequency]],strlu_src_pub_frequency,2,FALSE)</f>
        <v>0.8</v>
      </c>
      <c r="AO411" s="25">
        <f>VLOOKUP(tblMeasure[[#This Row],[src_pub_lag_months]],strlu_src_pub_lag_months,2,FALSE)</f>
        <v>0.2</v>
      </c>
      <c r="AP411" s="25">
        <f>VLOOKUP(tblMeasure[[#This Row],[src_statistic_class]],strlu_src_statistic_class,2,FALSE)</f>
        <v>0.5</v>
      </c>
      <c r="AQ411" s="25">
        <f>IF(tblMeasure[[#This Row],[src_methodology_url]]="TBD",0,1)</f>
        <v>1</v>
      </c>
      <c r="AR411" s="25">
        <f>IF(tblMeasure[[#This Row],[src_quality_url]]="TBD",0,1)</f>
        <v>1</v>
      </c>
      <c r="AS411" s="85" cm="1">
        <f t="array" ref="AS411">SUMPRODUCT(TRANSPOSE(tblMeasure[[#This Row],[str_msr_population_or_survey]:[str_src_quality_url]]),str_weights)/str_weights_total</f>
        <v>0.63076923076923075</v>
      </c>
    </row>
    <row r="412" spans="1:45" hidden="1" x14ac:dyDescent="0.15">
      <c r="A412" s="30">
        <v>410</v>
      </c>
      <c r="B412" s="32">
        <f>COUNTIF(requirement_measure_map!$D$3:$D$1514,measure!A412)</f>
        <v>0</v>
      </c>
      <c r="C412" s="30" t="s">
        <v>800</v>
      </c>
      <c r="D412" s="15" t="s">
        <v>1356</v>
      </c>
      <c r="E412" s="15" t="s">
        <v>1357</v>
      </c>
      <c r="F412" s="15" t="s">
        <v>1358</v>
      </c>
      <c r="G412" s="13" t="s">
        <v>1359</v>
      </c>
      <c r="H412" s="15"/>
      <c r="I412" s="15" t="s">
        <v>429</v>
      </c>
      <c r="J412" s="15" t="s">
        <v>1360</v>
      </c>
      <c r="K412" s="15" t="s">
        <v>1361</v>
      </c>
      <c r="L412" s="15" t="s">
        <v>233</v>
      </c>
      <c r="M412" s="15" t="s">
        <v>746</v>
      </c>
      <c r="N412" s="15" t="s">
        <v>240</v>
      </c>
      <c r="O412" s="15" t="s">
        <v>1362</v>
      </c>
      <c r="P412" s="15" t="s">
        <v>219</v>
      </c>
      <c r="Q412" s="15" t="s">
        <v>219</v>
      </c>
      <c r="R412" s="15" t="s">
        <v>219</v>
      </c>
      <c r="S412" s="15" t="s">
        <v>219</v>
      </c>
      <c r="T412" s="15" t="s">
        <v>219</v>
      </c>
      <c r="U412" s="15" t="s">
        <v>219</v>
      </c>
      <c r="V412" s="15" t="s">
        <v>219</v>
      </c>
      <c r="W412" s="15">
        <v>32</v>
      </c>
      <c r="X412" s="15" t="str">
        <f>_xlfn.XLOOKUP(tblMeasure[[#This Row],[id_src]],tblSource[id_src],tblSource[org])</f>
        <v xml:space="preserve">NIH National Institute of Ageing </v>
      </c>
      <c r="Y412" s="25" t="str">
        <f>_xlfn.XLOOKUP(tblMeasure[[#This Row],[id_src]],tblSource[id_src],tblSource[source])</f>
        <v>English Longitudinal Study of Ageing</v>
      </c>
      <c r="Z412" s="25" t="str">
        <f>_xlfn.XLOOKUP(tblMeasure[[#This Row],[id_src]],tblSource[id_src],tblSource[url_source])</f>
        <v>https://www.ifs.org.uk/uploads/ELSA_Wave_8_report.pdf</v>
      </c>
      <c r="AA412" s="25">
        <f>_xlfn.XLOOKUP(tblMeasure[[#This Row],[id_src]],tblSource[id_src],tblSource[year_first_published])</f>
        <v>2002</v>
      </c>
      <c r="AB412" s="25">
        <f>_xlfn.XLOOKUP(tblMeasure[[#This Row],[id_src]],tblSource[id_src],tblSource[year_last_published])</f>
        <v>2018</v>
      </c>
      <c r="AC412" s="25">
        <f>_xlfn.XLOOKUP(tblMeasure[[#This Row],[id_src]],tblSource[id_src],tblSource[discontinuity])</f>
        <v>0</v>
      </c>
      <c r="AD412" s="25" t="str">
        <f>_xlfn.XLOOKUP(tblMeasure[[#This Row],[id_src]],tblSource[id_src],tblSource[publication_frequency])</f>
        <v>Biennial</v>
      </c>
      <c r="AE412" s="15">
        <f>_xlfn.XLOOKUP(tblMeasure[[#This Row],[id_src]],tblSource[id_src],tblSource[publication_lag_months])</f>
        <v>10</v>
      </c>
      <c r="AF412" s="25" t="str">
        <f>_xlfn.XLOOKUP(tblMeasure[[#This Row],[id_src]],tblSource[id_src],tblSource[data_providers])</f>
        <v>UCL, IFS, Manchester University, NatCen, UEA</v>
      </c>
      <c r="AG412" s="25" t="str">
        <f>_xlfn.XLOOKUP(tblMeasure[[#This Row],[id_src]],tblSource[id_src],tblSource[statistic_class])</f>
        <v>TBD</v>
      </c>
      <c r="AH412" s="25" t="str">
        <f>_xlfn.XLOOKUP(tblMeasure[[#This Row],[id_src]],tblSource[id_src],tblSource[methodology_link])</f>
        <v>https://www.ifs.org.uk/uploads/ELSA_Wave_8_report.pdf</v>
      </c>
      <c r="AI412" s="25" t="str">
        <f>_xlfn.XLOOKUP(tblMeasure[[#This Row],[id_src]],tblSource[id_src],tblSource[quality_issues])</f>
        <v>TBD</v>
      </c>
      <c r="AJ412" s="25">
        <f>VLOOKUP(tblMeasure[[#This Row],[msr_population_or_survey]],strlu_msr_population_or_survey,2,FALSE)</f>
        <v>0</v>
      </c>
      <c r="AK412" s="25">
        <f>VLOOKUP(tblMeasure[[#This Row],[msr_min_geo_resolution]],strlu_msr_min_geo_resolution,2,FALSE)</f>
        <v>0</v>
      </c>
      <c r="AL412" s="25">
        <f>(MAX(tblMeasure[[#This Row],[src_year_last_published]]-2010+1,0)+MIN(2010-tblMeasure[[#This Row],[src_year_first_published]],0)-MAX(tblMeasure[[#This Row],[src_year_last_published]]-2019,0))/10</f>
        <v>0.9</v>
      </c>
      <c r="AM412" s="25">
        <f>IF(OR(tblMeasure[[#This Row],[src_discontinuity]]="None",tblMeasure[[#This Row],[src_discontinuity]]=0),1,0)</f>
        <v>1</v>
      </c>
      <c r="AN412" s="25">
        <f>VLOOKUP(tblMeasure[[#This Row],[src_pub_frequency]],strlu_src_pub_frequency,2,FALSE)</f>
        <v>0.5</v>
      </c>
      <c r="AO412" s="25">
        <f>VLOOKUP(tblMeasure[[#This Row],[src_pub_lag_months]],strlu_src_pub_lag_months,2,FALSE)</f>
        <v>0.1</v>
      </c>
      <c r="AP412" s="25">
        <f>VLOOKUP(tblMeasure[[#This Row],[src_statistic_class]],strlu_src_statistic_class,2,FALSE)</f>
        <v>0</v>
      </c>
      <c r="AQ412" s="25">
        <f>IF(tblMeasure[[#This Row],[src_methodology_url]]="TBD",0,1)</f>
        <v>1</v>
      </c>
      <c r="AR412" s="25">
        <f>IF(tblMeasure[[#This Row],[src_quality_url]]="TBD",0,1)</f>
        <v>0</v>
      </c>
      <c r="AS412" s="85" cm="1">
        <f t="array" ref="AS412">SUMPRODUCT(TRANSPOSE(tblMeasure[[#This Row],[str_msr_population_or_survey]:[str_src_quality_url]]),str_weights)/str_weights_total</f>
        <v>0.33846153846153848</v>
      </c>
    </row>
    <row r="413" spans="1:45" hidden="1" x14ac:dyDescent="0.15">
      <c r="A413" s="30">
        <v>411</v>
      </c>
      <c r="B413" s="32">
        <f>COUNTIF(requirement_measure_map!$D$3:$D$1514,measure!A413)</f>
        <v>0</v>
      </c>
      <c r="C413" s="30" t="s">
        <v>800</v>
      </c>
      <c r="D413" s="15" t="s">
        <v>1356</v>
      </c>
      <c r="E413" s="15" t="s">
        <v>1363</v>
      </c>
      <c r="F413" s="15" t="s">
        <v>1364</v>
      </c>
      <c r="G413" s="13" t="s">
        <v>1359</v>
      </c>
      <c r="H413" s="15"/>
      <c r="I413" s="15" t="s">
        <v>429</v>
      </c>
      <c r="J413" s="15" t="s">
        <v>1360</v>
      </c>
      <c r="K413" s="15" t="s">
        <v>1365</v>
      </c>
      <c r="L413" s="15" t="s">
        <v>233</v>
      </c>
      <c r="M413" s="15" t="s">
        <v>746</v>
      </c>
      <c r="N413" s="15" t="s">
        <v>267</v>
      </c>
      <c r="O413" s="15" t="s">
        <v>1362</v>
      </c>
      <c r="P413" s="15" t="s">
        <v>219</v>
      </c>
      <c r="Q413" s="15" t="s">
        <v>219</v>
      </c>
      <c r="R413" s="15" t="s">
        <v>219</v>
      </c>
      <c r="S413" s="15" t="s">
        <v>219</v>
      </c>
      <c r="T413" s="15" t="s">
        <v>219</v>
      </c>
      <c r="U413" s="15" t="s">
        <v>219</v>
      </c>
      <c r="V413" s="15" t="s">
        <v>219</v>
      </c>
      <c r="W413" s="15">
        <v>32</v>
      </c>
      <c r="X413" s="15" t="str">
        <f>_xlfn.XLOOKUP(tblMeasure[[#This Row],[id_src]],tblSource[id_src],tblSource[org])</f>
        <v xml:space="preserve">NIH National Institute of Ageing </v>
      </c>
      <c r="Y413" s="25" t="str">
        <f>_xlfn.XLOOKUP(tblMeasure[[#This Row],[id_src]],tblSource[id_src],tblSource[source])</f>
        <v>English Longitudinal Study of Ageing</v>
      </c>
      <c r="Z413" s="25" t="str">
        <f>_xlfn.XLOOKUP(tblMeasure[[#This Row],[id_src]],tblSource[id_src],tblSource[url_source])</f>
        <v>https://www.ifs.org.uk/uploads/ELSA_Wave_8_report.pdf</v>
      </c>
      <c r="AA413" s="25">
        <f>_xlfn.XLOOKUP(tblMeasure[[#This Row],[id_src]],tblSource[id_src],tblSource[year_first_published])</f>
        <v>2002</v>
      </c>
      <c r="AB413" s="25">
        <f>_xlfn.XLOOKUP(tblMeasure[[#This Row],[id_src]],tblSource[id_src],tblSource[year_last_published])</f>
        <v>2018</v>
      </c>
      <c r="AC413" s="25">
        <f>_xlfn.XLOOKUP(tblMeasure[[#This Row],[id_src]],tblSource[id_src],tblSource[discontinuity])</f>
        <v>0</v>
      </c>
      <c r="AD413" s="25" t="str">
        <f>_xlfn.XLOOKUP(tblMeasure[[#This Row],[id_src]],tblSource[id_src],tblSource[publication_frequency])</f>
        <v>Biennial</v>
      </c>
      <c r="AE413" s="15">
        <f>_xlfn.XLOOKUP(tblMeasure[[#This Row],[id_src]],tblSource[id_src],tblSource[publication_lag_months])</f>
        <v>10</v>
      </c>
      <c r="AF413" s="25" t="str">
        <f>_xlfn.XLOOKUP(tblMeasure[[#This Row],[id_src]],tblSource[id_src],tblSource[data_providers])</f>
        <v>UCL, IFS, Manchester University, NatCen, UEA</v>
      </c>
      <c r="AG413" s="25" t="str">
        <f>_xlfn.XLOOKUP(tblMeasure[[#This Row],[id_src]],tblSource[id_src],tblSource[statistic_class])</f>
        <v>TBD</v>
      </c>
      <c r="AH413" s="25" t="str">
        <f>_xlfn.XLOOKUP(tblMeasure[[#This Row],[id_src]],tblSource[id_src],tblSource[methodology_link])</f>
        <v>https://www.ifs.org.uk/uploads/ELSA_Wave_8_report.pdf</v>
      </c>
      <c r="AI413" s="25" t="str">
        <f>_xlfn.XLOOKUP(tblMeasure[[#This Row],[id_src]],tblSource[id_src],tblSource[quality_issues])</f>
        <v>TBD</v>
      </c>
      <c r="AJ413" s="25">
        <f>VLOOKUP(tblMeasure[[#This Row],[msr_population_or_survey]],strlu_msr_population_or_survey,2,FALSE)</f>
        <v>0</v>
      </c>
      <c r="AK413" s="25">
        <f>VLOOKUP(tblMeasure[[#This Row],[msr_min_geo_resolution]],strlu_msr_min_geo_resolution,2,FALSE)</f>
        <v>0</v>
      </c>
      <c r="AL413" s="25">
        <f>(MAX(tblMeasure[[#This Row],[src_year_last_published]]-2010+1,0)+MIN(2010-tblMeasure[[#This Row],[src_year_first_published]],0)-MAX(tblMeasure[[#This Row],[src_year_last_published]]-2019,0))/10</f>
        <v>0.9</v>
      </c>
      <c r="AM413" s="25">
        <f>IF(OR(tblMeasure[[#This Row],[src_discontinuity]]="None",tblMeasure[[#This Row],[src_discontinuity]]=0),1,0)</f>
        <v>1</v>
      </c>
      <c r="AN413" s="25">
        <f>VLOOKUP(tblMeasure[[#This Row],[src_pub_frequency]],strlu_src_pub_frequency,2,FALSE)</f>
        <v>0.5</v>
      </c>
      <c r="AO413" s="25">
        <f>VLOOKUP(tblMeasure[[#This Row],[src_pub_lag_months]],strlu_src_pub_lag_months,2,FALSE)</f>
        <v>0.1</v>
      </c>
      <c r="AP413" s="25">
        <f>VLOOKUP(tblMeasure[[#This Row],[src_statistic_class]],strlu_src_statistic_class,2,FALSE)</f>
        <v>0</v>
      </c>
      <c r="AQ413" s="25">
        <f>IF(tblMeasure[[#This Row],[src_methodology_url]]="TBD",0,1)</f>
        <v>1</v>
      </c>
      <c r="AR413" s="25">
        <f>IF(tblMeasure[[#This Row],[src_quality_url]]="TBD",0,1)</f>
        <v>0</v>
      </c>
      <c r="AS413" s="85" cm="1">
        <f t="array" ref="AS413">SUMPRODUCT(TRANSPOSE(tblMeasure[[#This Row],[str_msr_population_or_survey]:[str_src_quality_url]]),str_weights)/str_weights_total</f>
        <v>0.33846153846153848</v>
      </c>
    </row>
    <row r="414" spans="1:45" hidden="1" x14ac:dyDescent="0.15">
      <c r="A414" s="30">
        <v>412</v>
      </c>
      <c r="B414" s="32">
        <f>COUNTIF(requirement_measure_map!$D$3:$D$1514,measure!A414)</f>
        <v>0</v>
      </c>
      <c r="C414" s="30" t="s">
        <v>800</v>
      </c>
      <c r="D414" s="15" t="s">
        <v>1356</v>
      </c>
      <c r="E414" s="15" t="s">
        <v>1366</v>
      </c>
      <c r="F414" s="15" t="s">
        <v>1364</v>
      </c>
      <c r="G414" s="13" t="s">
        <v>1359</v>
      </c>
      <c r="H414" s="15"/>
      <c r="I414" s="15" t="s">
        <v>429</v>
      </c>
      <c r="J414" s="15" t="s">
        <v>1360</v>
      </c>
      <c r="K414" s="15" t="s">
        <v>1361</v>
      </c>
      <c r="L414" s="15" t="s">
        <v>233</v>
      </c>
      <c r="M414" s="15" t="s">
        <v>746</v>
      </c>
      <c r="N414" s="15" t="s">
        <v>240</v>
      </c>
      <c r="O414" s="15" t="s">
        <v>1362</v>
      </c>
      <c r="P414" s="15" t="s">
        <v>219</v>
      </c>
      <c r="Q414" s="15" t="s">
        <v>219</v>
      </c>
      <c r="R414" s="15" t="s">
        <v>219</v>
      </c>
      <c r="S414" s="15" t="s">
        <v>219</v>
      </c>
      <c r="T414" s="15" t="s">
        <v>219</v>
      </c>
      <c r="U414" s="15" t="s">
        <v>219</v>
      </c>
      <c r="V414" s="15" t="s">
        <v>219</v>
      </c>
      <c r="W414" s="15">
        <v>32</v>
      </c>
      <c r="X414" s="15" t="str">
        <f>_xlfn.XLOOKUP(tblMeasure[[#This Row],[id_src]],tblSource[id_src],tblSource[org])</f>
        <v xml:space="preserve">NIH National Institute of Ageing </v>
      </c>
      <c r="Y414" s="25" t="str">
        <f>_xlfn.XLOOKUP(tblMeasure[[#This Row],[id_src]],tblSource[id_src],tblSource[source])</f>
        <v>English Longitudinal Study of Ageing</v>
      </c>
      <c r="Z414" s="25" t="str">
        <f>_xlfn.XLOOKUP(tblMeasure[[#This Row],[id_src]],tblSource[id_src],tblSource[url_source])</f>
        <v>https://www.ifs.org.uk/uploads/ELSA_Wave_8_report.pdf</v>
      </c>
      <c r="AA414" s="25">
        <f>_xlfn.XLOOKUP(tblMeasure[[#This Row],[id_src]],tblSource[id_src],tblSource[year_first_published])</f>
        <v>2002</v>
      </c>
      <c r="AB414" s="25">
        <f>_xlfn.XLOOKUP(tblMeasure[[#This Row],[id_src]],tblSource[id_src],tblSource[year_last_published])</f>
        <v>2018</v>
      </c>
      <c r="AC414" s="25">
        <f>_xlfn.XLOOKUP(tblMeasure[[#This Row],[id_src]],tblSource[id_src],tblSource[discontinuity])</f>
        <v>0</v>
      </c>
      <c r="AD414" s="25" t="str">
        <f>_xlfn.XLOOKUP(tblMeasure[[#This Row],[id_src]],tblSource[id_src],tblSource[publication_frequency])</f>
        <v>Biennial</v>
      </c>
      <c r="AE414" s="15">
        <f>_xlfn.XLOOKUP(tblMeasure[[#This Row],[id_src]],tblSource[id_src],tblSource[publication_lag_months])</f>
        <v>10</v>
      </c>
      <c r="AF414" s="25" t="str">
        <f>_xlfn.XLOOKUP(tblMeasure[[#This Row],[id_src]],tblSource[id_src],tblSource[data_providers])</f>
        <v>UCL, IFS, Manchester University, NatCen, UEA</v>
      </c>
      <c r="AG414" s="25" t="str">
        <f>_xlfn.XLOOKUP(tblMeasure[[#This Row],[id_src]],tblSource[id_src],tblSource[statistic_class])</f>
        <v>TBD</v>
      </c>
      <c r="AH414" s="25" t="str">
        <f>_xlfn.XLOOKUP(tblMeasure[[#This Row],[id_src]],tblSource[id_src],tblSource[methodology_link])</f>
        <v>https://www.ifs.org.uk/uploads/ELSA_Wave_8_report.pdf</v>
      </c>
      <c r="AI414" s="25" t="str">
        <f>_xlfn.XLOOKUP(tblMeasure[[#This Row],[id_src]],tblSource[id_src],tblSource[quality_issues])</f>
        <v>TBD</v>
      </c>
      <c r="AJ414" s="25">
        <f>VLOOKUP(tblMeasure[[#This Row],[msr_population_or_survey]],strlu_msr_population_or_survey,2,FALSE)</f>
        <v>0</v>
      </c>
      <c r="AK414" s="25">
        <f>VLOOKUP(tblMeasure[[#This Row],[msr_min_geo_resolution]],strlu_msr_min_geo_resolution,2,FALSE)</f>
        <v>0</v>
      </c>
      <c r="AL414" s="25">
        <f>(MAX(tblMeasure[[#This Row],[src_year_last_published]]-2010+1,0)+MIN(2010-tblMeasure[[#This Row],[src_year_first_published]],0)-MAX(tblMeasure[[#This Row],[src_year_last_published]]-2019,0))/10</f>
        <v>0.9</v>
      </c>
      <c r="AM414" s="25">
        <f>IF(OR(tblMeasure[[#This Row],[src_discontinuity]]="None",tblMeasure[[#This Row],[src_discontinuity]]=0),1,0)</f>
        <v>1</v>
      </c>
      <c r="AN414" s="25">
        <f>VLOOKUP(tblMeasure[[#This Row],[src_pub_frequency]],strlu_src_pub_frequency,2,FALSE)</f>
        <v>0.5</v>
      </c>
      <c r="AO414" s="25">
        <f>VLOOKUP(tblMeasure[[#This Row],[src_pub_lag_months]],strlu_src_pub_lag_months,2,FALSE)</f>
        <v>0.1</v>
      </c>
      <c r="AP414" s="25">
        <f>VLOOKUP(tblMeasure[[#This Row],[src_statistic_class]],strlu_src_statistic_class,2,FALSE)</f>
        <v>0</v>
      </c>
      <c r="AQ414" s="25">
        <f>IF(tblMeasure[[#This Row],[src_methodology_url]]="TBD",0,1)</f>
        <v>1</v>
      </c>
      <c r="AR414" s="25">
        <f>IF(tblMeasure[[#This Row],[src_quality_url]]="TBD",0,1)</f>
        <v>0</v>
      </c>
      <c r="AS414" s="85" cm="1">
        <f t="array" ref="AS414">SUMPRODUCT(TRANSPOSE(tblMeasure[[#This Row],[str_msr_population_or_survey]:[str_src_quality_url]]),str_weights)/str_weights_total</f>
        <v>0.33846153846153848</v>
      </c>
    </row>
    <row r="415" spans="1:45" hidden="1" x14ac:dyDescent="0.15">
      <c r="A415" s="30">
        <v>413</v>
      </c>
      <c r="B415" s="32">
        <f>COUNTIF(requirement_measure_map!$D$3:$D$1514,measure!A415)</f>
        <v>0</v>
      </c>
      <c r="C415" s="30" t="s">
        <v>800</v>
      </c>
      <c r="D415" s="15" t="s">
        <v>1356</v>
      </c>
      <c r="E415" s="15" t="s">
        <v>1367</v>
      </c>
      <c r="F415" s="15" t="s">
        <v>1368</v>
      </c>
      <c r="G415" s="13" t="s">
        <v>1359</v>
      </c>
      <c r="H415" s="15"/>
      <c r="I415" s="15" t="s">
        <v>429</v>
      </c>
      <c r="J415" s="15" t="s">
        <v>1360</v>
      </c>
      <c r="K415" s="15" t="s">
        <v>1365</v>
      </c>
      <c r="L415" s="15" t="s">
        <v>233</v>
      </c>
      <c r="M415" s="15" t="s">
        <v>746</v>
      </c>
      <c r="N415" s="15" t="s">
        <v>267</v>
      </c>
      <c r="O415" s="15" t="s">
        <v>1362</v>
      </c>
      <c r="P415" s="15" t="s">
        <v>219</v>
      </c>
      <c r="Q415" s="15" t="s">
        <v>219</v>
      </c>
      <c r="R415" s="15" t="s">
        <v>219</v>
      </c>
      <c r="S415" s="15" t="s">
        <v>219</v>
      </c>
      <c r="T415" s="15" t="s">
        <v>219</v>
      </c>
      <c r="U415" s="15" t="s">
        <v>219</v>
      </c>
      <c r="V415" s="15" t="s">
        <v>219</v>
      </c>
      <c r="W415" s="15">
        <v>32</v>
      </c>
      <c r="X415" s="15" t="str">
        <f>_xlfn.XLOOKUP(tblMeasure[[#This Row],[id_src]],tblSource[id_src],tblSource[org])</f>
        <v xml:space="preserve">NIH National Institute of Ageing </v>
      </c>
      <c r="Y415" s="25" t="str">
        <f>_xlfn.XLOOKUP(tblMeasure[[#This Row],[id_src]],tblSource[id_src],tblSource[source])</f>
        <v>English Longitudinal Study of Ageing</v>
      </c>
      <c r="Z415" s="25" t="str">
        <f>_xlfn.XLOOKUP(tblMeasure[[#This Row],[id_src]],tblSource[id_src],tblSource[url_source])</f>
        <v>https://www.ifs.org.uk/uploads/ELSA_Wave_8_report.pdf</v>
      </c>
      <c r="AA415" s="25">
        <f>_xlfn.XLOOKUP(tblMeasure[[#This Row],[id_src]],tblSource[id_src],tblSource[year_first_published])</f>
        <v>2002</v>
      </c>
      <c r="AB415" s="25">
        <f>_xlfn.XLOOKUP(tblMeasure[[#This Row],[id_src]],tblSource[id_src],tblSource[year_last_published])</f>
        <v>2018</v>
      </c>
      <c r="AC415" s="25">
        <f>_xlfn.XLOOKUP(tblMeasure[[#This Row],[id_src]],tblSource[id_src],tblSource[discontinuity])</f>
        <v>0</v>
      </c>
      <c r="AD415" s="25" t="str">
        <f>_xlfn.XLOOKUP(tblMeasure[[#This Row],[id_src]],tblSource[id_src],tblSource[publication_frequency])</f>
        <v>Biennial</v>
      </c>
      <c r="AE415" s="15">
        <f>_xlfn.XLOOKUP(tblMeasure[[#This Row],[id_src]],tblSource[id_src],tblSource[publication_lag_months])</f>
        <v>10</v>
      </c>
      <c r="AF415" s="25" t="str">
        <f>_xlfn.XLOOKUP(tblMeasure[[#This Row],[id_src]],tblSource[id_src],tblSource[data_providers])</f>
        <v>UCL, IFS, Manchester University, NatCen, UEA</v>
      </c>
      <c r="AG415" s="25" t="str">
        <f>_xlfn.XLOOKUP(tblMeasure[[#This Row],[id_src]],tblSource[id_src],tblSource[statistic_class])</f>
        <v>TBD</v>
      </c>
      <c r="AH415" s="25" t="str">
        <f>_xlfn.XLOOKUP(tblMeasure[[#This Row],[id_src]],tblSource[id_src],tblSource[methodology_link])</f>
        <v>https://www.ifs.org.uk/uploads/ELSA_Wave_8_report.pdf</v>
      </c>
      <c r="AI415" s="25" t="str">
        <f>_xlfn.XLOOKUP(tblMeasure[[#This Row],[id_src]],tblSource[id_src],tblSource[quality_issues])</f>
        <v>TBD</v>
      </c>
      <c r="AJ415" s="25">
        <f>VLOOKUP(tblMeasure[[#This Row],[msr_population_or_survey]],strlu_msr_population_or_survey,2,FALSE)</f>
        <v>0</v>
      </c>
      <c r="AK415" s="25">
        <f>VLOOKUP(tblMeasure[[#This Row],[msr_min_geo_resolution]],strlu_msr_min_geo_resolution,2,FALSE)</f>
        <v>0</v>
      </c>
      <c r="AL415" s="25">
        <f>(MAX(tblMeasure[[#This Row],[src_year_last_published]]-2010+1,0)+MIN(2010-tblMeasure[[#This Row],[src_year_first_published]],0)-MAX(tblMeasure[[#This Row],[src_year_last_published]]-2019,0))/10</f>
        <v>0.9</v>
      </c>
      <c r="AM415" s="25">
        <f>IF(OR(tblMeasure[[#This Row],[src_discontinuity]]="None",tblMeasure[[#This Row],[src_discontinuity]]=0),1,0)</f>
        <v>1</v>
      </c>
      <c r="AN415" s="25">
        <f>VLOOKUP(tblMeasure[[#This Row],[src_pub_frequency]],strlu_src_pub_frequency,2,FALSE)</f>
        <v>0.5</v>
      </c>
      <c r="AO415" s="25">
        <f>VLOOKUP(tblMeasure[[#This Row],[src_pub_lag_months]],strlu_src_pub_lag_months,2,FALSE)</f>
        <v>0.1</v>
      </c>
      <c r="AP415" s="25">
        <f>VLOOKUP(tblMeasure[[#This Row],[src_statistic_class]],strlu_src_statistic_class,2,FALSE)</f>
        <v>0</v>
      </c>
      <c r="AQ415" s="25">
        <f>IF(tblMeasure[[#This Row],[src_methodology_url]]="TBD",0,1)</f>
        <v>1</v>
      </c>
      <c r="AR415" s="25">
        <f>IF(tblMeasure[[#This Row],[src_quality_url]]="TBD",0,1)</f>
        <v>0</v>
      </c>
      <c r="AS415" s="85" cm="1">
        <f t="array" ref="AS415">SUMPRODUCT(TRANSPOSE(tblMeasure[[#This Row],[str_msr_population_or_survey]:[str_src_quality_url]]),str_weights)/str_weights_total</f>
        <v>0.33846153846153848</v>
      </c>
    </row>
    <row r="416" spans="1:45" hidden="1" x14ac:dyDescent="0.15">
      <c r="A416" s="30">
        <v>414</v>
      </c>
      <c r="B416" s="32">
        <f>COUNTIF(requirement_measure_map!$D$3:$D$1514,measure!A416)</f>
        <v>0</v>
      </c>
      <c r="C416" s="30" t="s">
        <v>800</v>
      </c>
      <c r="D416" s="15" t="s">
        <v>1356</v>
      </c>
      <c r="E416" s="15" t="s">
        <v>1369</v>
      </c>
      <c r="F416" s="15" t="s">
        <v>1370</v>
      </c>
      <c r="G416" s="13" t="s">
        <v>1359</v>
      </c>
      <c r="H416" s="15"/>
      <c r="I416" s="15" t="s">
        <v>429</v>
      </c>
      <c r="J416" s="15" t="s">
        <v>1360</v>
      </c>
      <c r="K416" s="15" t="s">
        <v>1371</v>
      </c>
      <c r="L416" s="15" t="s">
        <v>233</v>
      </c>
      <c r="M416" s="15" t="s">
        <v>746</v>
      </c>
      <c r="N416" s="15" t="s">
        <v>240</v>
      </c>
      <c r="O416" s="15" t="s">
        <v>1362</v>
      </c>
      <c r="P416" s="15" t="s">
        <v>219</v>
      </c>
      <c r="Q416" s="15" t="s">
        <v>219</v>
      </c>
      <c r="R416" s="15" t="s">
        <v>219</v>
      </c>
      <c r="S416" s="15" t="s">
        <v>219</v>
      </c>
      <c r="T416" s="15" t="s">
        <v>219</v>
      </c>
      <c r="U416" s="15" t="s">
        <v>219</v>
      </c>
      <c r="V416" s="15" t="s">
        <v>219</v>
      </c>
      <c r="W416" s="15">
        <v>32</v>
      </c>
      <c r="X416" s="15" t="str">
        <f>_xlfn.XLOOKUP(tblMeasure[[#This Row],[id_src]],tblSource[id_src],tblSource[org])</f>
        <v xml:space="preserve">NIH National Institute of Ageing </v>
      </c>
      <c r="Y416" s="25" t="str">
        <f>_xlfn.XLOOKUP(tblMeasure[[#This Row],[id_src]],tblSource[id_src],tblSource[source])</f>
        <v>English Longitudinal Study of Ageing</v>
      </c>
      <c r="Z416" s="25" t="str">
        <f>_xlfn.XLOOKUP(tblMeasure[[#This Row],[id_src]],tblSource[id_src],tblSource[url_source])</f>
        <v>https://www.ifs.org.uk/uploads/ELSA_Wave_8_report.pdf</v>
      </c>
      <c r="AA416" s="25">
        <f>_xlfn.XLOOKUP(tblMeasure[[#This Row],[id_src]],tblSource[id_src],tblSource[year_first_published])</f>
        <v>2002</v>
      </c>
      <c r="AB416" s="25">
        <f>_xlfn.XLOOKUP(tblMeasure[[#This Row],[id_src]],tblSource[id_src],tblSource[year_last_published])</f>
        <v>2018</v>
      </c>
      <c r="AC416" s="25">
        <f>_xlfn.XLOOKUP(tblMeasure[[#This Row],[id_src]],tblSource[id_src],tblSource[discontinuity])</f>
        <v>0</v>
      </c>
      <c r="AD416" s="25" t="str">
        <f>_xlfn.XLOOKUP(tblMeasure[[#This Row],[id_src]],tblSource[id_src],tblSource[publication_frequency])</f>
        <v>Biennial</v>
      </c>
      <c r="AE416" s="15">
        <f>_xlfn.XLOOKUP(tblMeasure[[#This Row],[id_src]],tblSource[id_src],tblSource[publication_lag_months])</f>
        <v>10</v>
      </c>
      <c r="AF416" s="25" t="str">
        <f>_xlfn.XLOOKUP(tblMeasure[[#This Row],[id_src]],tblSource[id_src],tblSource[data_providers])</f>
        <v>UCL, IFS, Manchester University, NatCen, UEA</v>
      </c>
      <c r="AG416" s="25" t="str">
        <f>_xlfn.XLOOKUP(tblMeasure[[#This Row],[id_src]],tblSource[id_src],tblSource[statistic_class])</f>
        <v>TBD</v>
      </c>
      <c r="AH416" s="25" t="str">
        <f>_xlfn.XLOOKUP(tblMeasure[[#This Row],[id_src]],tblSource[id_src],tblSource[methodology_link])</f>
        <v>https://www.ifs.org.uk/uploads/ELSA_Wave_8_report.pdf</v>
      </c>
      <c r="AI416" s="25" t="str">
        <f>_xlfn.XLOOKUP(tblMeasure[[#This Row],[id_src]],tblSource[id_src],tblSource[quality_issues])</f>
        <v>TBD</v>
      </c>
      <c r="AJ416" s="25">
        <f>VLOOKUP(tblMeasure[[#This Row],[msr_population_or_survey]],strlu_msr_population_or_survey,2,FALSE)</f>
        <v>0</v>
      </c>
      <c r="AK416" s="25">
        <f>VLOOKUP(tblMeasure[[#This Row],[msr_min_geo_resolution]],strlu_msr_min_geo_resolution,2,FALSE)</f>
        <v>0</v>
      </c>
      <c r="AL416" s="25">
        <f>(MAX(tblMeasure[[#This Row],[src_year_last_published]]-2010+1,0)+MIN(2010-tblMeasure[[#This Row],[src_year_first_published]],0)-MAX(tblMeasure[[#This Row],[src_year_last_published]]-2019,0))/10</f>
        <v>0.9</v>
      </c>
      <c r="AM416" s="25">
        <f>IF(OR(tblMeasure[[#This Row],[src_discontinuity]]="None",tblMeasure[[#This Row],[src_discontinuity]]=0),1,0)</f>
        <v>1</v>
      </c>
      <c r="AN416" s="25">
        <f>VLOOKUP(tblMeasure[[#This Row],[src_pub_frequency]],strlu_src_pub_frequency,2,FALSE)</f>
        <v>0.5</v>
      </c>
      <c r="AO416" s="25">
        <f>VLOOKUP(tblMeasure[[#This Row],[src_pub_lag_months]],strlu_src_pub_lag_months,2,FALSE)</f>
        <v>0.1</v>
      </c>
      <c r="AP416" s="25">
        <f>VLOOKUP(tblMeasure[[#This Row],[src_statistic_class]],strlu_src_statistic_class,2,FALSE)</f>
        <v>0</v>
      </c>
      <c r="AQ416" s="25">
        <f>IF(tblMeasure[[#This Row],[src_methodology_url]]="TBD",0,1)</f>
        <v>1</v>
      </c>
      <c r="AR416" s="25">
        <f>IF(tblMeasure[[#This Row],[src_quality_url]]="TBD",0,1)</f>
        <v>0</v>
      </c>
      <c r="AS416" s="85" cm="1">
        <f t="array" ref="AS416">SUMPRODUCT(TRANSPOSE(tblMeasure[[#This Row],[str_msr_population_or_survey]:[str_src_quality_url]]),str_weights)/str_weights_total</f>
        <v>0.33846153846153848</v>
      </c>
    </row>
    <row r="417" spans="1:45" hidden="1" x14ac:dyDescent="0.15">
      <c r="A417" s="30">
        <v>415</v>
      </c>
      <c r="B417" s="32">
        <f>COUNTIF(requirement_measure_map!$D$3:$D$1514,measure!A417)</f>
        <v>0</v>
      </c>
      <c r="C417" s="30" t="s">
        <v>800</v>
      </c>
      <c r="D417" s="15" t="s">
        <v>1356</v>
      </c>
      <c r="E417" s="15" t="s">
        <v>1372</v>
      </c>
      <c r="F417" s="15" t="s">
        <v>1373</v>
      </c>
      <c r="G417" s="13" t="s">
        <v>1359</v>
      </c>
      <c r="H417" s="15"/>
      <c r="I417" s="15" t="s">
        <v>429</v>
      </c>
      <c r="J417" s="15" t="s">
        <v>1360</v>
      </c>
      <c r="K417" s="15" t="s">
        <v>1371</v>
      </c>
      <c r="L417" s="15" t="s">
        <v>233</v>
      </c>
      <c r="M417" s="15" t="s">
        <v>746</v>
      </c>
      <c r="N417" s="15" t="s">
        <v>240</v>
      </c>
      <c r="O417" s="15" t="s">
        <v>1362</v>
      </c>
      <c r="P417" s="15" t="s">
        <v>219</v>
      </c>
      <c r="Q417" s="15" t="s">
        <v>219</v>
      </c>
      <c r="R417" s="15" t="s">
        <v>219</v>
      </c>
      <c r="S417" s="15" t="s">
        <v>219</v>
      </c>
      <c r="T417" s="15" t="s">
        <v>219</v>
      </c>
      <c r="U417" s="15" t="s">
        <v>219</v>
      </c>
      <c r="V417" s="15" t="s">
        <v>219</v>
      </c>
      <c r="W417" s="15">
        <v>32</v>
      </c>
      <c r="X417" s="15" t="str">
        <f>_xlfn.XLOOKUP(tblMeasure[[#This Row],[id_src]],tblSource[id_src],tblSource[org])</f>
        <v xml:space="preserve">NIH National Institute of Ageing </v>
      </c>
      <c r="Y417" s="25" t="str">
        <f>_xlfn.XLOOKUP(tblMeasure[[#This Row],[id_src]],tblSource[id_src],tblSource[source])</f>
        <v>English Longitudinal Study of Ageing</v>
      </c>
      <c r="Z417" s="25" t="str">
        <f>_xlfn.XLOOKUP(tblMeasure[[#This Row],[id_src]],tblSource[id_src],tblSource[url_source])</f>
        <v>https://www.ifs.org.uk/uploads/ELSA_Wave_8_report.pdf</v>
      </c>
      <c r="AA417" s="25">
        <f>_xlfn.XLOOKUP(tblMeasure[[#This Row],[id_src]],tblSource[id_src],tblSource[year_first_published])</f>
        <v>2002</v>
      </c>
      <c r="AB417" s="25">
        <f>_xlfn.XLOOKUP(tblMeasure[[#This Row],[id_src]],tblSource[id_src],tblSource[year_last_published])</f>
        <v>2018</v>
      </c>
      <c r="AC417" s="25">
        <f>_xlfn.XLOOKUP(tblMeasure[[#This Row],[id_src]],tblSource[id_src],tblSource[discontinuity])</f>
        <v>0</v>
      </c>
      <c r="AD417" s="25" t="str">
        <f>_xlfn.XLOOKUP(tblMeasure[[#This Row],[id_src]],tblSource[id_src],tblSource[publication_frequency])</f>
        <v>Biennial</v>
      </c>
      <c r="AE417" s="15">
        <f>_xlfn.XLOOKUP(tblMeasure[[#This Row],[id_src]],tblSource[id_src],tblSource[publication_lag_months])</f>
        <v>10</v>
      </c>
      <c r="AF417" s="25" t="str">
        <f>_xlfn.XLOOKUP(tblMeasure[[#This Row],[id_src]],tblSource[id_src],tblSource[data_providers])</f>
        <v>UCL, IFS, Manchester University, NatCen, UEA</v>
      </c>
      <c r="AG417" s="25" t="str">
        <f>_xlfn.XLOOKUP(tblMeasure[[#This Row],[id_src]],tblSource[id_src],tblSource[statistic_class])</f>
        <v>TBD</v>
      </c>
      <c r="AH417" s="25" t="str">
        <f>_xlfn.XLOOKUP(tblMeasure[[#This Row],[id_src]],tblSource[id_src],tblSource[methodology_link])</f>
        <v>https://www.ifs.org.uk/uploads/ELSA_Wave_8_report.pdf</v>
      </c>
      <c r="AI417" s="25" t="str">
        <f>_xlfn.XLOOKUP(tblMeasure[[#This Row],[id_src]],tblSource[id_src],tblSource[quality_issues])</f>
        <v>TBD</v>
      </c>
      <c r="AJ417" s="25">
        <f>VLOOKUP(tblMeasure[[#This Row],[msr_population_or_survey]],strlu_msr_population_or_survey,2,FALSE)</f>
        <v>0</v>
      </c>
      <c r="AK417" s="25">
        <f>VLOOKUP(tblMeasure[[#This Row],[msr_min_geo_resolution]],strlu_msr_min_geo_resolution,2,FALSE)</f>
        <v>0</v>
      </c>
      <c r="AL417" s="25">
        <f>(MAX(tblMeasure[[#This Row],[src_year_last_published]]-2010+1,0)+MIN(2010-tblMeasure[[#This Row],[src_year_first_published]],0)-MAX(tblMeasure[[#This Row],[src_year_last_published]]-2019,0))/10</f>
        <v>0.9</v>
      </c>
      <c r="AM417" s="25">
        <f>IF(OR(tblMeasure[[#This Row],[src_discontinuity]]="None",tblMeasure[[#This Row],[src_discontinuity]]=0),1,0)</f>
        <v>1</v>
      </c>
      <c r="AN417" s="25">
        <f>VLOOKUP(tblMeasure[[#This Row],[src_pub_frequency]],strlu_src_pub_frequency,2,FALSE)</f>
        <v>0.5</v>
      </c>
      <c r="AO417" s="25">
        <f>VLOOKUP(tblMeasure[[#This Row],[src_pub_lag_months]],strlu_src_pub_lag_months,2,FALSE)</f>
        <v>0.1</v>
      </c>
      <c r="AP417" s="25">
        <f>VLOOKUP(tblMeasure[[#This Row],[src_statistic_class]],strlu_src_statistic_class,2,FALSE)</f>
        <v>0</v>
      </c>
      <c r="AQ417" s="25">
        <f>IF(tblMeasure[[#This Row],[src_methodology_url]]="TBD",0,1)</f>
        <v>1</v>
      </c>
      <c r="AR417" s="25">
        <f>IF(tblMeasure[[#This Row],[src_quality_url]]="TBD",0,1)</f>
        <v>0</v>
      </c>
      <c r="AS417" s="85" cm="1">
        <f t="array" ref="AS417">SUMPRODUCT(TRANSPOSE(tblMeasure[[#This Row],[str_msr_population_or_survey]:[str_src_quality_url]]),str_weights)/str_weights_total</f>
        <v>0.33846153846153848</v>
      </c>
    </row>
    <row r="418" spans="1:45" hidden="1" x14ac:dyDescent="0.15">
      <c r="A418" s="30">
        <v>416</v>
      </c>
      <c r="B418" s="32">
        <f>COUNTIF(requirement_measure_map!$D$3:$D$1514,measure!A418)</f>
        <v>0</v>
      </c>
      <c r="C418" s="30" t="s">
        <v>800</v>
      </c>
      <c r="D418" s="15" t="s">
        <v>1356</v>
      </c>
      <c r="E418" s="15" t="s">
        <v>1374</v>
      </c>
      <c r="F418" s="15" t="s">
        <v>1375</v>
      </c>
      <c r="G418" s="13" t="s">
        <v>1359</v>
      </c>
      <c r="H418" s="15"/>
      <c r="I418" s="15" t="s">
        <v>429</v>
      </c>
      <c r="J418" s="15" t="s">
        <v>1360</v>
      </c>
      <c r="K418" s="15" t="s">
        <v>1376</v>
      </c>
      <c r="L418" s="15" t="s">
        <v>233</v>
      </c>
      <c r="M418" s="15" t="s">
        <v>746</v>
      </c>
      <c r="N418" s="15" t="s">
        <v>267</v>
      </c>
      <c r="O418" s="15" t="s">
        <v>1362</v>
      </c>
      <c r="P418" s="15" t="s">
        <v>219</v>
      </c>
      <c r="Q418" s="15" t="s">
        <v>219</v>
      </c>
      <c r="R418" s="15" t="s">
        <v>219</v>
      </c>
      <c r="S418" s="15" t="s">
        <v>219</v>
      </c>
      <c r="T418" s="15" t="s">
        <v>219</v>
      </c>
      <c r="U418" s="15" t="s">
        <v>219</v>
      </c>
      <c r="V418" s="15" t="s">
        <v>219</v>
      </c>
      <c r="W418" s="15">
        <v>32</v>
      </c>
      <c r="X418" s="15" t="str">
        <f>_xlfn.XLOOKUP(tblMeasure[[#This Row],[id_src]],tblSource[id_src],tblSource[org])</f>
        <v xml:space="preserve">NIH National Institute of Ageing </v>
      </c>
      <c r="Y418" s="25" t="str">
        <f>_xlfn.XLOOKUP(tblMeasure[[#This Row],[id_src]],tblSource[id_src],tblSource[source])</f>
        <v>English Longitudinal Study of Ageing</v>
      </c>
      <c r="Z418" s="25" t="str">
        <f>_xlfn.XLOOKUP(tblMeasure[[#This Row],[id_src]],tblSource[id_src],tblSource[url_source])</f>
        <v>https://www.ifs.org.uk/uploads/ELSA_Wave_8_report.pdf</v>
      </c>
      <c r="AA418" s="25">
        <f>_xlfn.XLOOKUP(tblMeasure[[#This Row],[id_src]],tblSource[id_src],tblSource[year_first_published])</f>
        <v>2002</v>
      </c>
      <c r="AB418" s="25">
        <f>_xlfn.XLOOKUP(tblMeasure[[#This Row],[id_src]],tblSource[id_src],tblSource[year_last_published])</f>
        <v>2018</v>
      </c>
      <c r="AC418" s="25">
        <f>_xlfn.XLOOKUP(tblMeasure[[#This Row],[id_src]],tblSource[id_src],tblSource[discontinuity])</f>
        <v>0</v>
      </c>
      <c r="AD418" s="25" t="str">
        <f>_xlfn.XLOOKUP(tblMeasure[[#This Row],[id_src]],tblSource[id_src],tblSource[publication_frequency])</f>
        <v>Biennial</v>
      </c>
      <c r="AE418" s="15">
        <f>_xlfn.XLOOKUP(tblMeasure[[#This Row],[id_src]],tblSource[id_src],tblSource[publication_lag_months])</f>
        <v>10</v>
      </c>
      <c r="AF418" s="25" t="str">
        <f>_xlfn.XLOOKUP(tblMeasure[[#This Row],[id_src]],tblSource[id_src],tblSource[data_providers])</f>
        <v>UCL, IFS, Manchester University, NatCen, UEA</v>
      </c>
      <c r="AG418" s="25" t="str">
        <f>_xlfn.XLOOKUP(tblMeasure[[#This Row],[id_src]],tblSource[id_src],tblSource[statistic_class])</f>
        <v>TBD</v>
      </c>
      <c r="AH418" s="25" t="str">
        <f>_xlfn.XLOOKUP(tblMeasure[[#This Row],[id_src]],tblSource[id_src],tblSource[methodology_link])</f>
        <v>https://www.ifs.org.uk/uploads/ELSA_Wave_8_report.pdf</v>
      </c>
      <c r="AI418" s="25" t="str">
        <f>_xlfn.XLOOKUP(tblMeasure[[#This Row],[id_src]],tblSource[id_src],tblSource[quality_issues])</f>
        <v>TBD</v>
      </c>
      <c r="AJ418" s="25">
        <f>VLOOKUP(tblMeasure[[#This Row],[msr_population_or_survey]],strlu_msr_population_or_survey,2,FALSE)</f>
        <v>0</v>
      </c>
      <c r="AK418" s="25">
        <f>VLOOKUP(tblMeasure[[#This Row],[msr_min_geo_resolution]],strlu_msr_min_geo_resolution,2,FALSE)</f>
        <v>0</v>
      </c>
      <c r="AL418" s="25">
        <f>(MAX(tblMeasure[[#This Row],[src_year_last_published]]-2010+1,0)+MIN(2010-tblMeasure[[#This Row],[src_year_first_published]],0)-MAX(tblMeasure[[#This Row],[src_year_last_published]]-2019,0))/10</f>
        <v>0.9</v>
      </c>
      <c r="AM418" s="25">
        <f>IF(OR(tblMeasure[[#This Row],[src_discontinuity]]="None",tblMeasure[[#This Row],[src_discontinuity]]=0),1,0)</f>
        <v>1</v>
      </c>
      <c r="AN418" s="25">
        <f>VLOOKUP(tblMeasure[[#This Row],[src_pub_frequency]],strlu_src_pub_frequency,2,FALSE)</f>
        <v>0.5</v>
      </c>
      <c r="AO418" s="25">
        <f>VLOOKUP(tblMeasure[[#This Row],[src_pub_lag_months]],strlu_src_pub_lag_months,2,FALSE)</f>
        <v>0.1</v>
      </c>
      <c r="AP418" s="25">
        <f>VLOOKUP(tblMeasure[[#This Row],[src_statistic_class]],strlu_src_statistic_class,2,FALSE)</f>
        <v>0</v>
      </c>
      <c r="AQ418" s="25">
        <f>IF(tblMeasure[[#This Row],[src_methodology_url]]="TBD",0,1)</f>
        <v>1</v>
      </c>
      <c r="AR418" s="25">
        <f>IF(tblMeasure[[#This Row],[src_quality_url]]="TBD",0,1)</f>
        <v>0</v>
      </c>
      <c r="AS418" s="85" cm="1">
        <f t="array" ref="AS418">SUMPRODUCT(TRANSPOSE(tblMeasure[[#This Row],[str_msr_population_or_survey]:[str_src_quality_url]]),str_weights)/str_weights_total</f>
        <v>0.33846153846153848</v>
      </c>
    </row>
    <row r="419" spans="1:45" hidden="1" x14ac:dyDescent="0.15">
      <c r="A419" s="30">
        <v>417</v>
      </c>
      <c r="B419" s="32">
        <f>COUNTIF(requirement_measure_map!$D$3:$D$1514,measure!A419)</f>
        <v>0</v>
      </c>
      <c r="C419" s="30" t="s">
        <v>800</v>
      </c>
      <c r="D419" s="15" t="s">
        <v>1356</v>
      </c>
      <c r="E419" s="15" t="s">
        <v>1377</v>
      </c>
      <c r="F419" s="15" t="s">
        <v>1378</v>
      </c>
      <c r="G419" s="13" t="s">
        <v>1359</v>
      </c>
      <c r="H419" s="15"/>
      <c r="I419" s="15" t="s">
        <v>429</v>
      </c>
      <c r="J419" s="15" t="s">
        <v>1360</v>
      </c>
      <c r="K419" s="15" t="s">
        <v>1376</v>
      </c>
      <c r="L419" s="15" t="s">
        <v>233</v>
      </c>
      <c r="M419" s="15" t="s">
        <v>746</v>
      </c>
      <c r="N419" s="15" t="s">
        <v>267</v>
      </c>
      <c r="O419" s="15" t="s">
        <v>1362</v>
      </c>
      <c r="P419" s="15" t="s">
        <v>219</v>
      </c>
      <c r="Q419" s="15" t="s">
        <v>219</v>
      </c>
      <c r="R419" s="15" t="s">
        <v>219</v>
      </c>
      <c r="S419" s="15" t="s">
        <v>219</v>
      </c>
      <c r="T419" s="15" t="s">
        <v>219</v>
      </c>
      <c r="U419" s="15" t="s">
        <v>219</v>
      </c>
      <c r="V419" s="15" t="s">
        <v>219</v>
      </c>
      <c r="W419" s="15">
        <v>32</v>
      </c>
      <c r="X419" s="15" t="str">
        <f>_xlfn.XLOOKUP(tblMeasure[[#This Row],[id_src]],tblSource[id_src],tblSource[org])</f>
        <v xml:space="preserve">NIH National Institute of Ageing </v>
      </c>
      <c r="Y419" s="25" t="str">
        <f>_xlfn.XLOOKUP(tblMeasure[[#This Row],[id_src]],tblSource[id_src],tblSource[source])</f>
        <v>English Longitudinal Study of Ageing</v>
      </c>
      <c r="Z419" s="25" t="str">
        <f>_xlfn.XLOOKUP(tblMeasure[[#This Row],[id_src]],tblSource[id_src],tblSource[url_source])</f>
        <v>https://www.ifs.org.uk/uploads/ELSA_Wave_8_report.pdf</v>
      </c>
      <c r="AA419" s="25">
        <f>_xlfn.XLOOKUP(tblMeasure[[#This Row],[id_src]],tblSource[id_src],tblSource[year_first_published])</f>
        <v>2002</v>
      </c>
      <c r="AB419" s="25">
        <f>_xlfn.XLOOKUP(tblMeasure[[#This Row],[id_src]],tblSource[id_src],tblSource[year_last_published])</f>
        <v>2018</v>
      </c>
      <c r="AC419" s="25">
        <f>_xlfn.XLOOKUP(tblMeasure[[#This Row],[id_src]],tblSource[id_src],tblSource[discontinuity])</f>
        <v>0</v>
      </c>
      <c r="AD419" s="25" t="str">
        <f>_xlfn.XLOOKUP(tblMeasure[[#This Row],[id_src]],tblSource[id_src],tblSource[publication_frequency])</f>
        <v>Biennial</v>
      </c>
      <c r="AE419" s="15">
        <f>_xlfn.XLOOKUP(tblMeasure[[#This Row],[id_src]],tblSource[id_src],tblSource[publication_lag_months])</f>
        <v>10</v>
      </c>
      <c r="AF419" s="25" t="str">
        <f>_xlfn.XLOOKUP(tblMeasure[[#This Row],[id_src]],tblSource[id_src],tblSource[data_providers])</f>
        <v>UCL, IFS, Manchester University, NatCen, UEA</v>
      </c>
      <c r="AG419" s="25" t="str">
        <f>_xlfn.XLOOKUP(tblMeasure[[#This Row],[id_src]],tblSource[id_src],tblSource[statistic_class])</f>
        <v>TBD</v>
      </c>
      <c r="AH419" s="25" t="str">
        <f>_xlfn.XLOOKUP(tblMeasure[[#This Row],[id_src]],tblSource[id_src],tblSource[methodology_link])</f>
        <v>https://www.ifs.org.uk/uploads/ELSA_Wave_8_report.pdf</v>
      </c>
      <c r="AI419" s="25" t="str">
        <f>_xlfn.XLOOKUP(tblMeasure[[#This Row],[id_src]],tblSource[id_src],tblSource[quality_issues])</f>
        <v>TBD</v>
      </c>
      <c r="AJ419" s="25">
        <f>VLOOKUP(tblMeasure[[#This Row],[msr_population_or_survey]],strlu_msr_population_or_survey,2,FALSE)</f>
        <v>0</v>
      </c>
      <c r="AK419" s="25">
        <f>VLOOKUP(tblMeasure[[#This Row],[msr_min_geo_resolution]],strlu_msr_min_geo_resolution,2,FALSE)</f>
        <v>0</v>
      </c>
      <c r="AL419" s="25">
        <f>(MAX(tblMeasure[[#This Row],[src_year_last_published]]-2010+1,0)+MIN(2010-tblMeasure[[#This Row],[src_year_first_published]],0)-MAX(tblMeasure[[#This Row],[src_year_last_published]]-2019,0))/10</f>
        <v>0.9</v>
      </c>
      <c r="AM419" s="25">
        <f>IF(OR(tblMeasure[[#This Row],[src_discontinuity]]="None",tblMeasure[[#This Row],[src_discontinuity]]=0),1,0)</f>
        <v>1</v>
      </c>
      <c r="AN419" s="25">
        <f>VLOOKUP(tblMeasure[[#This Row],[src_pub_frequency]],strlu_src_pub_frequency,2,FALSE)</f>
        <v>0.5</v>
      </c>
      <c r="AO419" s="25">
        <f>VLOOKUP(tblMeasure[[#This Row],[src_pub_lag_months]],strlu_src_pub_lag_months,2,FALSE)</f>
        <v>0.1</v>
      </c>
      <c r="AP419" s="25">
        <f>VLOOKUP(tblMeasure[[#This Row],[src_statistic_class]],strlu_src_statistic_class,2,FALSE)</f>
        <v>0</v>
      </c>
      <c r="AQ419" s="25">
        <f>IF(tblMeasure[[#This Row],[src_methodology_url]]="TBD",0,1)</f>
        <v>1</v>
      </c>
      <c r="AR419" s="25">
        <f>IF(tblMeasure[[#This Row],[src_quality_url]]="TBD",0,1)</f>
        <v>0</v>
      </c>
      <c r="AS419" s="85" cm="1">
        <f t="array" ref="AS419">SUMPRODUCT(TRANSPOSE(tblMeasure[[#This Row],[str_msr_population_or_survey]:[str_src_quality_url]]),str_weights)/str_weights_total</f>
        <v>0.33846153846153848</v>
      </c>
    </row>
    <row r="420" spans="1:45" hidden="1" x14ac:dyDescent="0.15">
      <c r="A420" s="30">
        <v>418</v>
      </c>
      <c r="B420" s="32">
        <f>COUNTIF(requirement_measure_map!$D$3:$D$1514,measure!A420)</f>
        <v>0</v>
      </c>
      <c r="C420" s="30" t="s">
        <v>800</v>
      </c>
      <c r="D420" s="15" t="s">
        <v>1356</v>
      </c>
      <c r="E420" s="15" t="s">
        <v>1379</v>
      </c>
      <c r="F420" s="15" t="s">
        <v>1380</v>
      </c>
      <c r="G420" s="13" t="s">
        <v>1359</v>
      </c>
      <c r="H420" s="15"/>
      <c r="I420" s="15" t="s">
        <v>429</v>
      </c>
      <c r="J420" s="15" t="s">
        <v>1360</v>
      </c>
      <c r="K420" s="15" t="s">
        <v>1381</v>
      </c>
      <c r="L420" s="15" t="s">
        <v>233</v>
      </c>
      <c r="M420" s="15" t="s">
        <v>746</v>
      </c>
      <c r="N420" s="15" t="s">
        <v>240</v>
      </c>
      <c r="O420" s="15" t="s">
        <v>1362</v>
      </c>
      <c r="P420" s="15" t="s">
        <v>219</v>
      </c>
      <c r="Q420" s="15" t="s">
        <v>219</v>
      </c>
      <c r="R420" s="15" t="s">
        <v>219</v>
      </c>
      <c r="S420" s="15" t="s">
        <v>219</v>
      </c>
      <c r="T420" s="15" t="s">
        <v>219</v>
      </c>
      <c r="U420" s="15" t="s">
        <v>219</v>
      </c>
      <c r="V420" s="15" t="s">
        <v>219</v>
      </c>
      <c r="W420" s="15">
        <v>32</v>
      </c>
      <c r="X420" s="15" t="str">
        <f>_xlfn.XLOOKUP(tblMeasure[[#This Row],[id_src]],tblSource[id_src],tblSource[org])</f>
        <v xml:space="preserve">NIH National Institute of Ageing </v>
      </c>
      <c r="Y420" s="25" t="str">
        <f>_xlfn.XLOOKUP(tblMeasure[[#This Row],[id_src]],tblSource[id_src],tblSource[source])</f>
        <v>English Longitudinal Study of Ageing</v>
      </c>
      <c r="Z420" s="25" t="str">
        <f>_xlfn.XLOOKUP(tblMeasure[[#This Row],[id_src]],tblSource[id_src],tblSource[url_source])</f>
        <v>https://www.ifs.org.uk/uploads/ELSA_Wave_8_report.pdf</v>
      </c>
      <c r="AA420" s="25">
        <f>_xlfn.XLOOKUP(tblMeasure[[#This Row],[id_src]],tblSource[id_src],tblSource[year_first_published])</f>
        <v>2002</v>
      </c>
      <c r="AB420" s="25">
        <f>_xlfn.XLOOKUP(tblMeasure[[#This Row],[id_src]],tblSource[id_src],tblSource[year_last_published])</f>
        <v>2018</v>
      </c>
      <c r="AC420" s="25">
        <f>_xlfn.XLOOKUP(tblMeasure[[#This Row],[id_src]],tblSource[id_src],tblSource[discontinuity])</f>
        <v>0</v>
      </c>
      <c r="AD420" s="25" t="str">
        <f>_xlfn.XLOOKUP(tblMeasure[[#This Row],[id_src]],tblSource[id_src],tblSource[publication_frequency])</f>
        <v>Biennial</v>
      </c>
      <c r="AE420" s="15">
        <f>_xlfn.XLOOKUP(tblMeasure[[#This Row],[id_src]],tblSource[id_src],tblSource[publication_lag_months])</f>
        <v>10</v>
      </c>
      <c r="AF420" s="25" t="str">
        <f>_xlfn.XLOOKUP(tblMeasure[[#This Row],[id_src]],tblSource[id_src],tblSource[data_providers])</f>
        <v>UCL, IFS, Manchester University, NatCen, UEA</v>
      </c>
      <c r="AG420" s="25" t="str">
        <f>_xlfn.XLOOKUP(tblMeasure[[#This Row],[id_src]],tblSource[id_src],tblSource[statistic_class])</f>
        <v>TBD</v>
      </c>
      <c r="AH420" s="25" t="str">
        <f>_xlfn.XLOOKUP(tblMeasure[[#This Row],[id_src]],tblSource[id_src],tblSource[methodology_link])</f>
        <v>https://www.ifs.org.uk/uploads/ELSA_Wave_8_report.pdf</v>
      </c>
      <c r="AI420" s="25" t="str">
        <f>_xlfn.XLOOKUP(tblMeasure[[#This Row],[id_src]],tblSource[id_src],tblSource[quality_issues])</f>
        <v>TBD</v>
      </c>
      <c r="AJ420" s="25">
        <f>VLOOKUP(tblMeasure[[#This Row],[msr_population_or_survey]],strlu_msr_population_or_survey,2,FALSE)</f>
        <v>0</v>
      </c>
      <c r="AK420" s="25">
        <f>VLOOKUP(tblMeasure[[#This Row],[msr_min_geo_resolution]],strlu_msr_min_geo_resolution,2,FALSE)</f>
        <v>0</v>
      </c>
      <c r="AL420" s="25">
        <f>(MAX(tblMeasure[[#This Row],[src_year_last_published]]-2010+1,0)+MIN(2010-tblMeasure[[#This Row],[src_year_first_published]],0)-MAX(tblMeasure[[#This Row],[src_year_last_published]]-2019,0))/10</f>
        <v>0.9</v>
      </c>
      <c r="AM420" s="25">
        <f>IF(OR(tblMeasure[[#This Row],[src_discontinuity]]="None",tblMeasure[[#This Row],[src_discontinuity]]=0),1,0)</f>
        <v>1</v>
      </c>
      <c r="AN420" s="25">
        <f>VLOOKUP(tblMeasure[[#This Row],[src_pub_frequency]],strlu_src_pub_frequency,2,FALSE)</f>
        <v>0.5</v>
      </c>
      <c r="AO420" s="25">
        <f>VLOOKUP(tblMeasure[[#This Row],[src_pub_lag_months]],strlu_src_pub_lag_months,2,FALSE)</f>
        <v>0.1</v>
      </c>
      <c r="AP420" s="25">
        <f>VLOOKUP(tblMeasure[[#This Row],[src_statistic_class]],strlu_src_statistic_class,2,FALSE)</f>
        <v>0</v>
      </c>
      <c r="AQ420" s="25">
        <f>IF(tblMeasure[[#This Row],[src_methodology_url]]="TBD",0,1)</f>
        <v>1</v>
      </c>
      <c r="AR420" s="25">
        <f>IF(tblMeasure[[#This Row],[src_quality_url]]="TBD",0,1)</f>
        <v>0</v>
      </c>
      <c r="AS420" s="85" cm="1">
        <f t="array" ref="AS420">SUMPRODUCT(TRANSPOSE(tblMeasure[[#This Row],[str_msr_population_or_survey]:[str_src_quality_url]]),str_weights)/str_weights_total</f>
        <v>0.33846153846153848</v>
      </c>
    </row>
    <row r="421" spans="1:45" hidden="1" x14ac:dyDescent="0.15">
      <c r="A421" s="30">
        <v>419</v>
      </c>
      <c r="B421" s="32">
        <f>COUNTIF(requirement_measure_map!$D$3:$D$1514,measure!A421)</f>
        <v>0</v>
      </c>
      <c r="C421" s="30" t="s">
        <v>800</v>
      </c>
      <c r="D421" s="15" t="s">
        <v>1356</v>
      </c>
      <c r="E421" s="15" t="s">
        <v>1382</v>
      </c>
      <c r="F421" s="15" t="s">
        <v>1383</v>
      </c>
      <c r="G421" s="13" t="s">
        <v>1359</v>
      </c>
      <c r="H421" s="15"/>
      <c r="I421" s="15" t="s">
        <v>429</v>
      </c>
      <c r="J421" s="15" t="s">
        <v>1360</v>
      </c>
      <c r="K421" s="15" t="s">
        <v>1384</v>
      </c>
      <c r="L421" s="15" t="s">
        <v>233</v>
      </c>
      <c r="M421" s="15" t="s">
        <v>746</v>
      </c>
      <c r="N421" s="15" t="s">
        <v>240</v>
      </c>
      <c r="O421" s="15" t="s">
        <v>1362</v>
      </c>
      <c r="P421" s="15" t="s">
        <v>219</v>
      </c>
      <c r="Q421" s="15" t="s">
        <v>219</v>
      </c>
      <c r="R421" s="15" t="s">
        <v>219</v>
      </c>
      <c r="S421" s="15" t="s">
        <v>219</v>
      </c>
      <c r="T421" s="15" t="s">
        <v>219</v>
      </c>
      <c r="U421" s="15" t="s">
        <v>219</v>
      </c>
      <c r="V421" s="15" t="s">
        <v>219</v>
      </c>
      <c r="W421" s="15">
        <v>32</v>
      </c>
      <c r="X421" s="15" t="str">
        <f>_xlfn.XLOOKUP(tblMeasure[[#This Row],[id_src]],tblSource[id_src],tblSource[org])</f>
        <v xml:space="preserve">NIH National Institute of Ageing </v>
      </c>
      <c r="Y421" s="25" t="str">
        <f>_xlfn.XLOOKUP(tblMeasure[[#This Row],[id_src]],tblSource[id_src],tblSource[source])</f>
        <v>English Longitudinal Study of Ageing</v>
      </c>
      <c r="Z421" s="25" t="str">
        <f>_xlfn.XLOOKUP(tblMeasure[[#This Row],[id_src]],tblSource[id_src],tblSource[url_source])</f>
        <v>https://www.ifs.org.uk/uploads/ELSA_Wave_8_report.pdf</v>
      </c>
      <c r="AA421" s="25">
        <f>_xlfn.XLOOKUP(tblMeasure[[#This Row],[id_src]],tblSource[id_src],tblSource[year_first_published])</f>
        <v>2002</v>
      </c>
      <c r="AB421" s="25">
        <f>_xlfn.XLOOKUP(tblMeasure[[#This Row],[id_src]],tblSource[id_src],tblSource[year_last_published])</f>
        <v>2018</v>
      </c>
      <c r="AC421" s="25">
        <f>_xlfn.XLOOKUP(tblMeasure[[#This Row],[id_src]],tblSource[id_src],tblSource[discontinuity])</f>
        <v>0</v>
      </c>
      <c r="AD421" s="25" t="str">
        <f>_xlfn.XLOOKUP(tblMeasure[[#This Row],[id_src]],tblSource[id_src],tblSource[publication_frequency])</f>
        <v>Biennial</v>
      </c>
      <c r="AE421" s="15">
        <f>_xlfn.XLOOKUP(tblMeasure[[#This Row],[id_src]],tblSource[id_src],tblSource[publication_lag_months])</f>
        <v>10</v>
      </c>
      <c r="AF421" s="25" t="str">
        <f>_xlfn.XLOOKUP(tblMeasure[[#This Row],[id_src]],tblSource[id_src],tblSource[data_providers])</f>
        <v>UCL, IFS, Manchester University, NatCen, UEA</v>
      </c>
      <c r="AG421" s="25" t="str">
        <f>_xlfn.XLOOKUP(tblMeasure[[#This Row],[id_src]],tblSource[id_src],tblSource[statistic_class])</f>
        <v>TBD</v>
      </c>
      <c r="AH421" s="25" t="str">
        <f>_xlfn.XLOOKUP(tblMeasure[[#This Row],[id_src]],tblSource[id_src],tblSource[methodology_link])</f>
        <v>https://www.ifs.org.uk/uploads/ELSA_Wave_8_report.pdf</v>
      </c>
      <c r="AI421" s="25" t="str">
        <f>_xlfn.XLOOKUP(tblMeasure[[#This Row],[id_src]],tblSource[id_src],tblSource[quality_issues])</f>
        <v>TBD</v>
      </c>
      <c r="AJ421" s="25">
        <f>VLOOKUP(tblMeasure[[#This Row],[msr_population_or_survey]],strlu_msr_population_or_survey,2,FALSE)</f>
        <v>0</v>
      </c>
      <c r="AK421" s="25">
        <f>VLOOKUP(tblMeasure[[#This Row],[msr_min_geo_resolution]],strlu_msr_min_geo_resolution,2,FALSE)</f>
        <v>0</v>
      </c>
      <c r="AL421" s="25">
        <f>(MAX(tblMeasure[[#This Row],[src_year_last_published]]-2010+1,0)+MIN(2010-tblMeasure[[#This Row],[src_year_first_published]],0)-MAX(tblMeasure[[#This Row],[src_year_last_published]]-2019,0))/10</f>
        <v>0.9</v>
      </c>
      <c r="AM421" s="25">
        <f>IF(OR(tblMeasure[[#This Row],[src_discontinuity]]="None",tblMeasure[[#This Row],[src_discontinuity]]=0),1,0)</f>
        <v>1</v>
      </c>
      <c r="AN421" s="25">
        <f>VLOOKUP(tblMeasure[[#This Row],[src_pub_frequency]],strlu_src_pub_frequency,2,FALSE)</f>
        <v>0.5</v>
      </c>
      <c r="AO421" s="25">
        <f>VLOOKUP(tblMeasure[[#This Row],[src_pub_lag_months]],strlu_src_pub_lag_months,2,FALSE)</f>
        <v>0.1</v>
      </c>
      <c r="AP421" s="25">
        <f>VLOOKUP(tblMeasure[[#This Row],[src_statistic_class]],strlu_src_statistic_class,2,FALSE)</f>
        <v>0</v>
      </c>
      <c r="AQ421" s="25">
        <f>IF(tblMeasure[[#This Row],[src_methodology_url]]="TBD",0,1)</f>
        <v>1</v>
      </c>
      <c r="AR421" s="25">
        <f>IF(tblMeasure[[#This Row],[src_quality_url]]="TBD",0,1)</f>
        <v>0</v>
      </c>
      <c r="AS421" s="85" cm="1">
        <f t="array" ref="AS421">SUMPRODUCT(TRANSPOSE(tblMeasure[[#This Row],[str_msr_population_or_survey]:[str_src_quality_url]]),str_weights)/str_weights_total</f>
        <v>0.33846153846153848</v>
      </c>
    </row>
    <row r="422" spans="1:45" hidden="1" x14ac:dyDescent="0.15">
      <c r="A422" s="30">
        <v>420</v>
      </c>
      <c r="B422" s="32">
        <f>COUNTIF(requirement_measure_map!$D$3:$D$1514,measure!A422)</f>
        <v>0</v>
      </c>
      <c r="C422" s="30" t="s">
        <v>800</v>
      </c>
      <c r="D422" s="15" t="s">
        <v>1356</v>
      </c>
      <c r="E422" s="15" t="s">
        <v>1385</v>
      </c>
      <c r="F422" s="15" t="s">
        <v>1383</v>
      </c>
      <c r="G422" s="13" t="s">
        <v>1359</v>
      </c>
      <c r="H422" s="15"/>
      <c r="I422" s="15" t="s">
        <v>429</v>
      </c>
      <c r="J422" s="15" t="s">
        <v>1360</v>
      </c>
      <c r="K422" s="15" t="s">
        <v>1386</v>
      </c>
      <c r="L422" s="15" t="s">
        <v>233</v>
      </c>
      <c r="M422" s="15" t="s">
        <v>746</v>
      </c>
      <c r="N422" s="15" t="s">
        <v>267</v>
      </c>
      <c r="O422" s="15" t="s">
        <v>1362</v>
      </c>
      <c r="P422" s="15" t="s">
        <v>219</v>
      </c>
      <c r="Q422" s="15" t="s">
        <v>219</v>
      </c>
      <c r="R422" s="15" t="s">
        <v>219</v>
      </c>
      <c r="S422" s="15" t="s">
        <v>219</v>
      </c>
      <c r="T422" s="15" t="s">
        <v>219</v>
      </c>
      <c r="U422" s="15" t="s">
        <v>219</v>
      </c>
      <c r="V422" s="15" t="s">
        <v>219</v>
      </c>
      <c r="W422" s="15">
        <v>32</v>
      </c>
      <c r="X422" s="15" t="str">
        <f>_xlfn.XLOOKUP(tblMeasure[[#This Row],[id_src]],tblSource[id_src],tblSource[org])</f>
        <v xml:space="preserve">NIH National Institute of Ageing </v>
      </c>
      <c r="Y422" s="25" t="str">
        <f>_xlfn.XLOOKUP(tblMeasure[[#This Row],[id_src]],tblSource[id_src],tblSource[source])</f>
        <v>English Longitudinal Study of Ageing</v>
      </c>
      <c r="Z422" s="25" t="str">
        <f>_xlfn.XLOOKUP(tblMeasure[[#This Row],[id_src]],tblSource[id_src],tblSource[url_source])</f>
        <v>https://www.ifs.org.uk/uploads/ELSA_Wave_8_report.pdf</v>
      </c>
      <c r="AA422" s="25">
        <f>_xlfn.XLOOKUP(tblMeasure[[#This Row],[id_src]],tblSource[id_src],tblSource[year_first_published])</f>
        <v>2002</v>
      </c>
      <c r="AB422" s="25">
        <f>_xlfn.XLOOKUP(tblMeasure[[#This Row],[id_src]],tblSource[id_src],tblSource[year_last_published])</f>
        <v>2018</v>
      </c>
      <c r="AC422" s="25">
        <f>_xlfn.XLOOKUP(tblMeasure[[#This Row],[id_src]],tblSource[id_src],tblSource[discontinuity])</f>
        <v>0</v>
      </c>
      <c r="AD422" s="25" t="str">
        <f>_xlfn.XLOOKUP(tblMeasure[[#This Row],[id_src]],tblSource[id_src],tblSource[publication_frequency])</f>
        <v>Biennial</v>
      </c>
      <c r="AE422" s="15">
        <f>_xlfn.XLOOKUP(tblMeasure[[#This Row],[id_src]],tblSource[id_src],tblSource[publication_lag_months])</f>
        <v>10</v>
      </c>
      <c r="AF422" s="25" t="str">
        <f>_xlfn.XLOOKUP(tblMeasure[[#This Row],[id_src]],tblSource[id_src],tblSource[data_providers])</f>
        <v>UCL, IFS, Manchester University, NatCen, UEA</v>
      </c>
      <c r="AG422" s="25" t="str">
        <f>_xlfn.XLOOKUP(tblMeasure[[#This Row],[id_src]],tblSource[id_src],tblSource[statistic_class])</f>
        <v>TBD</v>
      </c>
      <c r="AH422" s="25" t="str">
        <f>_xlfn.XLOOKUP(tblMeasure[[#This Row],[id_src]],tblSource[id_src],tblSource[methodology_link])</f>
        <v>https://www.ifs.org.uk/uploads/ELSA_Wave_8_report.pdf</v>
      </c>
      <c r="AI422" s="25" t="str">
        <f>_xlfn.XLOOKUP(tblMeasure[[#This Row],[id_src]],tblSource[id_src],tblSource[quality_issues])</f>
        <v>TBD</v>
      </c>
      <c r="AJ422" s="25">
        <f>VLOOKUP(tblMeasure[[#This Row],[msr_population_or_survey]],strlu_msr_population_or_survey,2,FALSE)</f>
        <v>0</v>
      </c>
      <c r="AK422" s="25">
        <f>VLOOKUP(tblMeasure[[#This Row],[msr_min_geo_resolution]],strlu_msr_min_geo_resolution,2,FALSE)</f>
        <v>0</v>
      </c>
      <c r="AL422" s="25">
        <f>(MAX(tblMeasure[[#This Row],[src_year_last_published]]-2010+1,0)+MIN(2010-tblMeasure[[#This Row],[src_year_first_published]],0)-MAX(tblMeasure[[#This Row],[src_year_last_published]]-2019,0))/10</f>
        <v>0.9</v>
      </c>
      <c r="AM422" s="25">
        <f>IF(OR(tblMeasure[[#This Row],[src_discontinuity]]="None",tblMeasure[[#This Row],[src_discontinuity]]=0),1,0)</f>
        <v>1</v>
      </c>
      <c r="AN422" s="25">
        <f>VLOOKUP(tblMeasure[[#This Row],[src_pub_frequency]],strlu_src_pub_frequency,2,FALSE)</f>
        <v>0.5</v>
      </c>
      <c r="AO422" s="25">
        <f>VLOOKUP(tblMeasure[[#This Row],[src_pub_lag_months]],strlu_src_pub_lag_months,2,FALSE)</f>
        <v>0.1</v>
      </c>
      <c r="AP422" s="25">
        <f>VLOOKUP(tblMeasure[[#This Row],[src_statistic_class]],strlu_src_statistic_class,2,FALSE)</f>
        <v>0</v>
      </c>
      <c r="AQ422" s="25">
        <f>IF(tblMeasure[[#This Row],[src_methodology_url]]="TBD",0,1)</f>
        <v>1</v>
      </c>
      <c r="AR422" s="25">
        <f>IF(tblMeasure[[#This Row],[src_quality_url]]="TBD",0,1)</f>
        <v>0</v>
      </c>
      <c r="AS422" s="85" cm="1">
        <f t="array" ref="AS422">SUMPRODUCT(TRANSPOSE(tblMeasure[[#This Row],[str_msr_population_or_survey]:[str_src_quality_url]]),str_weights)/str_weights_total</f>
        <v>0.33846153846153848</v>
      </c>
    </row>
    <row r="423" spans="1:45" hidden="1" x14ac:dyDescent="0.15">
      <c r="A423" s="30">
        <v>421</v>
      </c>
      <c r="B423" s="32">
        <f>COUNTIF(requirement_measure_map!$D$3:$D$1514,measure!A423)</f>
        <v>0</v>
      </c>
      <c r="C423" s="30" t="s">
        <v>800</v>
      </c>
      <c r="D423" s="15" t="s">
        <v>1356</v>
      </c>
      <c r="E423" s="15" t="s">
        <v>1387</v>
      </c>
      <c r="F423" s="15" t="s">
        <v>1388</v>
      </c>
      <c r="G423" s="13" t="s">
        <v>1359</v>
      </c>
      <c r="H423" s="15"/>
      <c r="I423" s="15" t="s">
        <v>429</v>
      </c>
      <c r="J423" s="15" t="s">
        <v>1360</v>
      </c>
      <c r="K423" s="15" t="s">
        <v>1389</v>
      </c>
      <c r="L423" s="15" t="s">
        <v>233</v>
      </c>
      <c r="M423" s="15" t="s">
        <v>746</v>
      </c>
      <c r="N423" s="15" t="s">
        <v>267</v>
      </c>
      <c r="O423" s="15" t="s">
        <v>1362</v>
      </c>
      <c r="P423" s="15" t="s">
        <v>219</v>
      </c>
      <c r="Q423" s="15" t="s">
        <v>219</v>
      </c>
      <c r="R423" s="15" t="s">
        <v>219</v>
      </c>
      <c r="S423" s="15" t="s">
        <v>219</v>
      </c>
      <c r="T423" s="15" t="s">
        <v>219</v>
      </c>
      <c r="U423" s="15" t="s">
        <v>219</v>
      </c>
      <c r="V423" s="15" t="s">
        <v>219</v>
      </c>
      <c r="W423" s="15">
        <v>32</v>
      </c>
      <c r="X423" s="15" t="str">
        <f>_xlfn.XLOOKUP(tblMeasure[[#This Row],[id_src]],tblSource[id_src],tblSource[org])</f>
        <v xml:space="preserve">NIH National Institute of Ageing </v>
      </c>
      <c r="Y423" s="25" t="str">
        <f>_xlfn.XLOOKUP(tblMeasure[[#This Row],[id_src]],tblSource[id_src],tblSource[source])</f>
        <v>English Longitudinal Study of Ageing</v>
      </c>
      <c r="Z423" s="25" t="str">
        <f>_xlfn.XLOOKUP(tblMeasure[[#This Row],[id_src]],tblSource[id_src],tblSource[url_source])</f>
        <v>https://www.ifs.org.uk/uploads/ELSA_Wave_8_report.pdf</v>
      </c>
      <c r="AA423" s="25">
        <f>_xlfn.XLOOKUP(tblMeasure[[#This Row],[id_src]],tblSource[id_src],tblSource[year_first_published])</f>
        <v>2002</v>
      </c>
      <c r="AB423" s="25">
        <f>_xlfn.XLOOKUP(tblMeasure[[#This Row],[id_src]],tblSource[id_src],tblSource[year_last_published])</f>
        <v>2018</v>
      </c>
      <c r="AC423" s="25">
        <f>_xlfn.XLOOKUP(tblMeasure[[#This Row],[id_src]],tblSource[id_src],tblSource[discontinuity])</f>
        <v>0</v>
      </c>
      <c r="AD423" s="25" t="str">
        <f>_xlfn.XLOOKUP(tblMeasure[[#This Row],[id_src]],tblSource[id_src],tblSource[publication_frequency])</f>
        <v>Biennial</v>
      </c>
      <c r="AE423" s="15">
        <f>_xlfn.XLOOKUP(tblMeasure[[#This Row],[id_src]],tblSource[id_src],tblSource[publication_lag_months])</f>
        <v>10</v>
      </c>
      <c r="AF423" s="25" t="str">
        <f>_xlfn.XLOOKUP(tblMeasure[[#This Row],[id_src]],tblSource[id_src],tblSource[data_providers])</f>
        <v>UCL, IFS, Manchester University, NatCen, UEA</v>
      </c>
      <c r="AG423" s="25" t="str">
        <f>_xlfn.XLOOKUP(tblMeasure[[#This Row],[id_src]],tblSource[id_src],tblSource[statistic_class])</f>
        <v>TBD</v>
      </c>
      <c r="AH423" s="25" t="str">
        <f>_xlfn.XLOOKUP(tblMeasure[[#This Row],[id_src]],tblSource[id_src],tblSource[methodology_link])</f>
        <v>https://www.ifs.org.uk/uploads/ELSA_Wave_8_report.pdf</v>
      </c>
      <c r="AI423" s="25" t="str">
        <f>_xlfn.XLOOKUP(tblMeasure[[#This Row],[id_src]],tblSource[id_src],tblSource[quality_issues])</f>
        <v>TBD</v>
      </c>
      <c r="AJ423" s="25">
        <f>VLOOKUP(tblMeasure[[#This Row],[msr_population_or_survey]],strlu_msr_population_or_survey,2,FALSE)</f>
        <v>0</v>
      </c>
      <c r="AK423" s="25">
        <f>VLOOKUP(tblMeasure[[#This Row],[msr_min_geo_resolution]],strlu_msr_min_geo_resolution,2,FALSE)</f>
        <v>0</v>
      </c>
      <c r="AL423" s="25">
        <f>(MAX(tblMeasure[[#This Row],[src_year_last_published]]-2010+1,0)+MIN(2010-tblMeasure[[#This Row],[src_year_first_published]],0)-MAX(tblMeasure[[#This Row],[src_year_last_published]]-2019,0))/10</f>
        <v>0.9</v>
      </c>
      <c r="AM423" s="25">
        <f>IF(OR(tblMeasure[[#This Row],[src_discontinuity]]="None",tblMeasure[[#This Row],[src_discontinuity]]=0),1,0)</f>
        <v>1</v>
      </c>
      <c r="AN423" s="25">
        <f>VLOOKUP(tblMeasure[[#This Row],[src_pub_frequency]],strlu_src_pub_frequency,2,FALSE)</f>
        <v>0.5</v>
      </c>
      <c r="AO423" s="25">
        <f>VLOOKUP(tblMeasure[[#This Row],[src_pub_lag_months]],strlu_src_pub_lag_months,2,FALSE)</f>
        <v>0.1</v>
      </c>
      <c r="AP423" s="25">
        <f>VLOOKUP(tblMeasure[[#This Row],[src_statistic_class]],strlu_src_statistic_class,2,FALSE)</f>
        <v>0</v>
      </c>
      <c r="AQ423" s="25">
        <f>IF(tblMeasure[[#This Row],[src_methodology_url]]="TBD",0,1)</f>
        <v>1</v>
      </c>
      <c r="AR423" s="25">
        <f>IF(tblMeasure[[#This Row],[src_quality_url]]="TBD",0,1)</f>
        <v>0</v>
      </c>
      <c r="AS423" s="85" cm="1">
        <f t="array" ref="AS423">SUMPRODUCT(TRANSPOSE(tblMeasure[[#This Row],[str_msr_population_or_survey]:[str_src_quality_url]]),str_weights)/str_weights_total</f>
        <v>0.33846153846153848</v>
      </c>
    </row>
    <row r="424" spans="1:45" hidden="1" x14ac:dyDescent="0.15">
      <c r="A424" s="30">
        <v>422</v>
      </c>
      <c r="B424" s="32">
        <f>COUNTIF(requirement_measure_map!$D$3:$D$1514,measure!A424)</f>
        <v>0</v>
      </c>
      <c r="C424" s="30" t="s">
        <v>800</v>
      </c>
      <c r="D424" s="15" t="s">
        <v>1356</v>
      </c>
      <c r="E424" s="15" t="s">
        <v>1390</v>
      </c>
      <c r="F424" s="15" t="s">
        <v>1391</v>
      </c>
      <c r="G424" s="13" t="s">
        <v>1359</v>
      </c>
      <c r="H424" s="15"/>
      <c r="I424" s="15" t="s">
        <v>429</v>
      </c>
      <c r="J424" s="15" t="s">
        <v>1360</v>
      </c>
      <c r="K424" s="15" t="s">
        <v>1392</v>
      </c>
      <c r="L424" s="15" t="s">
        <v>233</v>
      </c>
      <c r="M424" s="15" t="s">
        <v>218</v>
      </c>
      <c r="N424" s="15" t="s">
        <v>220</v>
      </c>
      <c r="O424" s="15" t="s">
        <v>1362</v>
      </c>
      <c r="P424" s="15" t="s">
        <v>219</v>
      </c>
      <c r="Q424" s="15" t="s">
        <v>219</v>
      </c>
      <c r="R424" s="15" t="s">
        <v>219</v>
      </c>
      <c r="S424" s="15" t="s">
        <v>219</v>
      </c>
      <c r="T424" s="15" t="s">
        <v>219</v>
      </c>
      <c r="U424" s="15" t="s">
        <v>219</v>
      </c>
      <c r="V424" s="15" t="s">
        <v>219</v>
      </c>
      <c r="W424" s="15">
        <v>32</v>
      </c>
      <c r="X424" s="15" t="str">
        <f>_xlfn.XLOOKUP(tblMeasure[[#This Row],[id_src]],tblSource[id_src],tblSource[org])</f>
        <v xml:space="preserve">NIH National Institute of Ageing </v>
      </c>
      <c r="Y424" s="25" t="str">
        <f>_xlfn.XLOOKUP(tblMeasure[[#This Row],[id_src]],tblSource[id_src],tblSource[source])</f>
        <v>English Longitudinal Study of Ageing</v>
      </c>
      <c r="Z424" s="25" t="str">
        <f>_xlfn.XLOOKUP(tblMeasure[[#This Row],[id_src]],tblSource[id_src],tblSource[url_source])</f>
        <v>https://www.ifs.org.uk/uploads/ELSA_Wave_8_report.pdf</v>
      </c>
      <c r="AA424" s="25">
        <f>_xlfn.XLOOKUP(tblMeasure[[#This Row],[id_src]],tblSource[id_src],tblSource[year_first_published])</f>
        <v>2002</v>
      </c>
      <c r="AB424" s="25">
        <f>_xlfn.XLOOKUP(tblMeasure[[#This Row],[id_src]],tblSource[id_src],tblSource[year_last_published])</f>
        <v>2018</v>
      </c>
      <c r="AC424" s="25">
        <f>_xlfn.XLOOKUP(tblMeasure[[#This Row],[id_src]],tblSource[id_src],tblSource[discontinuity])</f>
        <v>0</v>
      </c>
      <c r="AD424" s="25" t="str">
        <f>_xlfn.XLOOKUP(tblMeasure[[#This Row],[id_src]],tblSource[id_src],tblSource[publication_frequency])</f>
        <v>Biennial</v>
      </c>
      <c r="AE424" s="15">
        <f>_xlfn.XLOOKUP(tblMeasure[[#This Row],[id_src]],tblSource[id_src],tblSource[publication_lag_months])</f>
        <v>10</v>
      </c>
      <c r="AF424" s="25" t="str">
        <f>_xlfn.XLOOKUP(tblMeasure[[#This Row],[id_src]],tblSource[id_src],tblSource[data_providers])</f>
        <v>UCL, IFS, Manchester University, NatCen, UEA</v>
      </c>
      <c r="AG424" s="25" t="str">
        <f>_xlfn.XLOOKUP(tblMeasure[[#This Row],[id_src]],tblSource[id_src],tblSource[statistic_class])</f>
        <v>TBD</v>
      </c>
      <c r="AH424" s="25" t="str">
        <f>_xlfn.XLOOKUP(tblMeasure[[#This Row],[id_src]],tblSource[id_src],tblSource[methodology_link])</f>
        <v>https://www.ifs.org.uk/uploads/ELSA_Wave_8_report.pdf</v>
      </c>
      <c r="AI424" s="25" t="str">
        <f>_xlfn.XLOOKUP(tblMeasure[[#This Row],[id_src]],tblSource[id_src],tblSource[quality_issues])</f>
        <v>TBD</v>
      </c>
      <c r="AJ424" s="25">
        <f>VLOOKUP(tblMeasure[[#This Row],[msr_population_or_survey]],strlu_msr_population_or_survey,2,FALSE)</f>
        <v>0</v>
      </c>
      <c r="AK424" s="25">
        <f>VLOOKUP(tblMeasure[[#This Row],[msr_min_geo_resolution]],strlu_msr_min_geo_resolution,2,FALSE)</f>
        <v>0</v>
      </c>
      <c r="AL424" s="25">
        <f>(MAX(tblMeasure[[#This Row],[src_year_last_published]]-2010+1,0)+MIN(2010-tblMeasure[[#This Row],[src_year_first_published]],0)-MAX(tblMeasure[[#This Row],[src_year_last_published]]-2019,0))/10</f>
        <v>0.9</v>
      </c>
      <c r="AM424" s="25">
        <f>IF(OR(tblMeasure[[#This Row],[src_discontinuity]]="None",tblMeasure[[#This Row],[src_discontinuity]]=0),1,0)</f>
        <v>1</v>
      </c>
      <c r="AN424" s="25">
        <f>VLOOKUP(tblMeasure[[#This Row],[src_pub_frequency]],strlu_src_pub_frequency,2,FALSE)</f>
        <v>0.5</v>
      </c>
      <c r="AO424" s="25">
        <f>VLOOKUP(tblMeasure[[#This Row],[src_pub_lag_months]],strlu_src_pub_lag_months,2,FALSE)</f>
        <v>0.1</v>
      </c>
      <c r="AP424" s="25">
        <f>VLOOKUP(tblMeasure[[#This Row],[src_statistic_class]],strlu_src_statistic_class,2,FALSE)</f>
        <v>0</v>
      </c>
      <c r="AQ424" s="25">
        <f>IF(tblMeasure[[#This Row],[src_methodology_url]]="TBD",0,1)</f>
        <v>1</v>
      </c>
      <c r="AR424" s="25">
        <f>IF(tblMeasure[[#This Row],[src_quality_url]]="TBD",0,1)</f>
        <v>0</v>
      </c>
      <c r="AS424" s="85" cm="1">
        <f t="array" ref="AS424">SUMPRODUCT(TRANSPOSE(tblMeasure[[#This Row],[str_msr_population_or_survey]:[str_src_quality_url]]),str_weights)/str_weights_total</f>
        <v>0.33846153846153848</v>
      </c>
    </row>
    <row r="425" spans="1:45" hidden="1" x14ac:dyDescent="0.15">
      <c r="A425" s="30">
        <v>423</v>
      </c>
      <c r="B425" s="32">
        <f>COUNTIF(requirement_measure_map!$D$3:$D$1514,measure!A425)</f>
        <v>0</v>
      </c>
      <c r="C425" s="30" t="s">
        <v>800</v>
      </c>
      <c r="D425" s="15" t="s">
        <v>1356</v>
      </c>
      <c r="E425" s="15" t="s">
        <v>1393</v>
      </c>
      <c r="F425" s="15" t="s">
        <v>1394</v>
      </c>
      <c r="G425" s="13" t="s">
        <v>1359</v>
      </c>
      <c r="H425" s="15"/>
      <c r="I425" s="15" t="s">
        <v>429</v>
      </c>
      <c r="J425" s="15" t="s">
        <v>1360</v>
      </c>
      <c r="K425" s="15" t="s">
        <v>1389</v>
      </c>
      <c r="L425" s="15" t="s">
        <v>233</v>
      </c>
      <c r="M425" s="15" t="s">
        <v>218</v>
      </c>
      <c r="N425" s="15" t="s">
        <v>220</v>
      </c>
      <c r="O425" s="15" t="s">
        <v>1362</v>
      </c>
      <c r="P425" s="15" t="s">
        <v>219</v>
      </c>
      <c r="Q425" s="15" t="s">
        <v>219</v>
      </c>
      <c r="R425" s="15" t="s">
        <v>219</v>
      </c>
      <c r="S425" s="15" t="s">
        <v>219</v>
      </c>
      <c r="T425" s="15" t="s">
        <v>219</v>
      </c>
      <c r="U425" s="15" t="s">
        <v>219</v>
      </c>
      <c r="V425" s="15" t="s">
        <v>219</v>
      </c>
      <c r="W425" s="15">
        <v>32</v>
      </c>
      <c r="X425" s="15" t="str">
        <f>_xlfn.XLOOKUP(tblMeasure[[#This Row],[id_src]],tblSource[id_src],tblSource[org])</f>
        <v xml:space="preserve">NIH National Institute of Ageing </v>
      </c>
      <c r="Y425" s="25" t="str">
        <f>_xlfn.XLOOKUP(tblMeasure[[#This Row],[id_src]],tblSource[id_src],tblSource[source])</f>
        <v>English Longitudinal Study of Ageing</v>
      </c>
      <c r="Z425" s="25" t="str">
        <f>_xlfn.XLOOKUP(tblMeasure[[#This Row],[id_src]],tblSource[id_src],tblSource[url_source])</f>
        <v>https://www.ifs.org.uk/uploads/ELSA_Wave_8_report.pdf</v>
      </c>
      <c r="AA425" s="25">
        <f>_xlfn.XLOOKUP(tblMeasure[[#This Row],[id_src]],tblSource[id_src],tblSource[year_first_published])</f>
        <v>2002</v>
      </c>
      <c r="AB425" s="25">
        <f>_xlfn.XLOOKUP(tblMeasure[[#This Row],[id_src]],tblSource[id_src],tblSource[year_last_published])</f>
        <v>2018</v>
      </c>
      <c r="AC425" s="25">
        <f>_xlfn.XLOOKUP(tblMeasure[[#This Row],[id_src]],tblSource[id_src],tblSource[discontinuity])</f>
        <v>0</v>
      </c>
      <c r="AD425" s="25" t="str">
        <f>_xlfn.XLOOKUP(tblMeasure[[#This Row],[id_src]],tblSource[id_src],tblSource[publication_frequency])</f>
        <v>Biennial</v>
      </c>
      <c r="AE425" s="15">
        <f>_xlfn.XLOOKUP(tblMeasure[[#This Row],[id_src]],tblSource[id_src],tblSource[publication_lag_months])</f>
        <v>10</v>
      </c>
      <c r="AF425" s="25" t="str">
        <f>_xlfn.XLOOKUP(tblMeasure[[#This Row],[id_src]],tblSource[id_src],tblSource[data_providers])</f>
        <v>UCL, IFS, Manchester University, NatCen, UEA</v>
      </c>
      <c r="AG425" s="25" t="str">
        <f>_xlfn.XLOOKUP(tblMeasure[[#This Row],[id_src]],tblSource[id_src],tblSource[statistic_class])</f>
        <v>TBD</v>
      </c>
      <c r="AH425" s="25" t="str">
        <f>_xlfn.XLOOKUP(tblMeasure[[#This Row],[id_src]],tblSource[id_src],tblSource[methodology_link])</f>
        <v>https://www.ifs.org.uk/uploads/ELSA_Wave_8_report.pdf</v>
      </c>
      <c r="AI425" s="25" t="str">
        <f>_xlfn.XLOOKUP(tblMeasure[[#This Row],[id_src]],tblSource[id_src],tblSource[quality_issues])</f>
        <v>TBD</v>
      </c>
      <c r="AJ425" s="25">
        <f>VLOOKUP(tblMeasure[[#This Row],[msr_population_or_survey]],strlu_msr_population_or_survey,2,FALSE)</f>
        <v>0</v>
      </c>
      <c r="AK425" s="25">
        <f>VLOOKUP(tblMeasure[[#This Row],[msr_min_geo_resolution]],strlu_msr_min_geo_resolution,2,FALSE)</f>
        <v>0</v>
      </c>
      <c r="AL425" s="25">
        <f>(MAX(tblMeasure[[#This Row],[src_year_last_published]]-2010+1,0)+MIN(2010-tblMeasure[[#This Row],[src_year_first_published]],0)-MAX(tblMeasure[[#This Row],[src_year_last_published]]-2019,0))/10</f>
        <v>0.9</v>
      </c>
      <c r="AM425" s="25">
        <f>IF(OR(tblMeasure[[#This Row],[src_discontinuity]]="None",tblMeasure[[#This Row],[src_discontinuity]]=0),1,0)</f>
        <v>1</v>
      </c>
      <c r="AN425" s="25">
        <f>VLOOKUP(tblMeasure[[#This Row],[src_pub_frequency]],strlu_src_pub_frequency,2,FALSE)</f>
        <v>0.5</v>
      </c>
      <c r="AO425" s="25">
        <f>VLOOKUP(tblMeasure[[#This Row],[src_pub_lag_months]],strlu_src_pub_lag_months,2,FALSE)</f>
        <v>0.1</v>
      </c>
      <c r="AP425" s="25">
        <f>VLOOKUP(tblMeasure[[#This Row],[src_statistic_class]],strlu_src_statistic_class,2,FALSE)</f>
        <v>0</v>
      </c>
      <c r="AQ425" s="25">
        <f>IF(tblMeasure[[#This Row],[src_methodology_url]]="TBD",0,1)</f>
        <v>1</v>
      </c>
      <c r="AR425" s="25">
        <f>IF(tblMeasure[[#This Row],[src_quality_url]]="TBD",0,1)</f>
        <v>0</v>
      </c>
      <c r="AS425" s="85" cm="1">
        <f t="array" ref="AS425">SUMPRODUCT(TRANSPOSE(tblMeasure[[#This Row],[str_msr_population_or_survey]:[str_src_quality_url]]),str_weights)/str_weights_total</f>
        <v>0.33846153846153848</v>
      </c>
    </row>
    <row r="426" spans="1:45" hidden="1" x14ac:dyDescent="0.15">
      <c r="A426" s="30">
        <v>424</v>
      </c>
      <c r="B426" s="32">
        <f>COUNTIF(requirement_measure_map!$D$3:$D$1514,measure!A426)</f>
        <v>3</v>
      </c>
      <c r="C426" s="30" t="s">
        <v>1395</v>
      </c>
      <c r="D426" s="15" t="s">
        <v>1356</v>
      </c>
      <c r="E426" s="15" t="s">
        <v>1396</v>
      </c>
      <c r="F426" s="15" t="s">
        <v>1397</v>
      </c>
      <c r="G426" s="13" t="s">
        <v>1359</v>
      </c>
      <c r="H426" s="15"/>
      <c r="I426" s="15" t="s">
        <v>429</v>
      </c>
      <c r="J426" s="15" t="s">
        <v>1360</v>
      </c>
      <c r="K426" s="15" t="s">
        <v>1398</v>
      </c>
      <c r="L426" s="15" t="s">
        <v>233</v>
      </c>
      <c r="M426" s="15" t="s">
        <v>1399</v>
      </c>
      <c r="N426" s="15" t="s">
        <v>746</v>
      </c>
      <c r="O426" s="15" t="s">
        <v>1362</v>
      </c>
      <c r="P426" s="15" t="s">
        <v>219</v>
      </c>
      <c r="Q426" s="15" t="s">
        <v>219</v>
      </c>
      <c r="R426" s="15" t="s">
        <v>219</v>
      </c>
      <c r="S426" s="15" t="s">
        <v>219</v>
      </c>
      <c r="T426" s="15" t="s">
        <v>219</v>
      </c>
      <c r="U426" s="15" t="s">
        <v>219</v>
      </c>
      <c r="V426" s="15" t="s">
        <v>219</v>
      </c>
      <c r="W426" s="15">
        <v>32</v>
      </c>
      <c r="X426" s="15" t="str">
        <f>_xlfn.XLOOKUP(tblMeasure[[#This Row],[id_src]],tblSource[id_src],tblSource[org])</f>
        <v xml:space="preserve">NIH National Institute of Ageing </v>
      </c>
      <c r="Y426" s="25" t="str">
        <f>_xlfn.XLOOKUP(tblMeasure[[#This Row],[id_src]],tblSource[id_src],tblSource[source])</f>
        <v>English Longitudinal Study of Ageing</v>
      </c>
      <c r="Z426" s="25" t="str">
        <f>_xlfn.XLOOKUP(tblMeasure[[#This Row],[id_src]],tblSource[id_src],tblSource[url_source])</f>
        <v>https://www.ifs.org.uk/uploads/ELSA_Wave_8_report.pdf</v>
      </c>
      <c r="AA426" s="25">
        <f>_xlfn.XLOOKUP(tblMeasure[[#This Row],[id_src]],tblSource[id_src],tblSource[year_first_published])</f>
        <v>2002</v>
      </c>
      <c r="AB426" s="25">
        <f>_xlfn.XLOOKUP(tblMeasure[[#This Row],[id_src]],tblSource[id_src],tblSource[year_last_published])</f>
        <v>2018</v>
      </c>
      <c r="AC426" s="25">
        <f>_xlfn.XLOOKUP(tblMeasure[[#This Row],[id_src]],tblSource[id_src],tblSource[discontinuity])</f>
        <v>0</v>
      </c>
      <c r="AD426" s="25" t="str">
        <f>_xlfn.XLOOKUP(tblMeasure[[#This Row],[id_src]],tblSource[id_src],tblSource[publication_frequency])</f>
        <v>Biennial</v>
      </c>
      <c r="AE426" s="15">
        <f>_xlfn.XLOOKUP(tblMeasure[[#This Row],[id_src]],tblSource[id_src],tblSource[publication_lag_months])</f>
        <v>10</v>
      </c>
      <c r="AF426" s="25" t="str">
        <f>_xlfn.XLOOKUP(tblMeasure[[#This Row],[id_src]],tblSource[id_src],tblSource[data_providers])</f>
        <v>UCL, IFS, Manchester University, NatCen, UEA</v>
      </c>
      <c r="AG426" s="25" t="str">
        <f>_xlfn.XLOOKUP(tblMeasure[[#This Row],[id_src]],tblSource[id_src],tblSource[statistic_class])</f>
        <v>TBD</v>
      </c>
      <c r="AH426" s="25" t="str">
        <f>_xlfn.XLOOKUP(tblMeasure[[#This Row],[id_src]],tblSource[id_src],tblSource[methodology_link])</f>
        <v>https://www.ifs.org.uk/uploads/ELSA_Wave_8_report.pdf</v>
      </c>
      <c r="AI426" s="25" t="str">
        <f>_xlfn.XLOOKUP(tblMeasure[[#This Row],[id_src]],tblSource[id_src],tblSource[quality_issues])</f>
        <v>TBD</v>
      </c>
      <c r="AJ426" s="25">
        <f>VLOOKUP(tblMeasure[[#This Row],[msr_population_or_survey]],strlu_msr_population_or_survey,2,FALSE)</f>
        <v>0</v>
      </c>
      <c r="AK426" s="25">
        <f>VLOOKUP(tblMeasure[[#This Row],[msr_min_geo_resolution]],strlu_msr_min_geo_resolution,2,FALSE)</f>
        <v>0</v>
      </c>
      <c r="AL426" s="25">
        <f>(MAX(tblMeasure[[#This Row],[src_year_last_published]]-2010+1,0)+MIN(2010-tblMeasure[[#This Row],[src_year_first_published]],0)-MAX(tblMeasure[[#This Row],[src_year_last_published]]-2019,0))/10</f>
        <v>0.9</v>
      </c>
      <c r="AM426" s="25">
        <f>IF(OR(tblMeasure[[#This Row],[src_discontinuity]]="None",tblMeasure[[#This Row],[src_discontinuity]]=0),1,0)</f>
        <v>1</v>
      </c>
      <c r="AN426" s="25">
        <f>VLOOKUP(tblMeasure[[#This Row],[src_pub_frequency]],strlu_src_pub_frequency,2,FALSE)</f>
        <v>0.5</v>
      </c>
      <c r="AO426" s="25">
        <f>VLOOKUP(tblMeasure[[#This Row],[src_pub_lag_months]],strlu_src_pub_lag_months,2,FALSE)</f>
        <v>0.1</v>
      </c>
      <c r="AP426" s="25">
        <f>VLOOKUP(tblMeasure[[#This Row],[src_statistic_class]],strlu_src_statistic_class,2,FALSE)</f>
        <v>0</v>
      </c>
      <c r="AQ426" s="25">
        <f>IF(tblMeasure[[#This Row],[src_methodology_url]]="TBD",0,1)</f>
        <v>1</v>
      </c>
      <c r="AR426" s="25">
        <f>IF(tblMeasure[[#This Row],[src_quality_url]]="TBD",0,1)</f>
        <v>0</v>
      </c>
      <c r="AS426" s="85" cm="1">
        <f t="array" ref="AS426">SUMPRODUCT(TRANSPOSE(tblMeasure[[#This Row],[str_msr_population_or_survey]:[str_src_quality_url]]),str_weights)/str_weights_total</f>
        <v>0.33846153846153848</v>
      </c>
    </row>
    <row r="427" spans="1:45" hidden="1" x14ac:dyDescent="0.15">
      <c r="A427" s="30">
        <v>425</v>
      </c>
      <c r="B427" s="32">
        <f>COUNTIF(requirement_measure_map!$D$3:$D$1514,measure!A427)</f>
        <v>3</v>
      </c>
      <c r="C427" s="30" t="s">
        <v>1395</v>
      </c>
      <c r="D427" s="15" t="s">
        <v>1356</v>
      </c>
      <c r="E427" s="15" t="s">
        <v>1400</v>
      </c>
      <c r="F427" s="15" t="s">
        <v>1401</v>
      </c>
      <c r="G427" s="13" t="s">
        <v>1359</v>
      </c>
      <c r="H427" s="15"/>
      <c r="I427" s="15" t="s">
        <v>429</v>
      </c>
      <c r="J427" s="15" t="s">
        <v>1360</v>
      </c>
      <c r="K427" s="15" t="s">
        <v>1398</v>
      </c>
      <c r="L427" s="15" t="s">
        <v>233</v>
      </c>
      <c r="M427" s="15" t="s">
        <v>218</v>
      </c>
      <c r="N427" s="15" t="s">
        <v>746</v>
      </c>
      <c r="O427" s="15" t="s">
        <v>1362</v>
      </c>
      <c r="P427" s="15" t="s">
        <v>219</v>
      </c>
      <c r="Q427" s="15" t="s">
        <v>219</v>
      </c>
      <c r="R427" s="15" t="s">
        <v>219</v>
      </c>
      <c r="S427" s="15" t="s">
        <v>219</v>
      </c>
      <c r="T427" s="15" t="s">
        <v>219</v>
      </c>
      <c r="U427" s="15" t="s">
        <v>219</v>
      </c>
      <c r="V427" s="15" t="s">
        <v>219</v>
      </c>
      <c r="W427" s="15">
        <v>32</v>
      </c>
      <c r="X427" s="15" t="str">
        <f>_xlfn.XLOOKUP(tblMeasure[[#This Row],[id_src]],tblSource[id_src],tblSource[org])</f>
        <v xml:space="preserve">NIH National Institute of Ageing </v>
      </c>
      <c r="Y427" s="25" t="str">
        <f>_xlfn.XLOOKUP(tblMeasure[[#This Row],[id_src]],tblSource[id_src],tblSource[source])</f>
        <v>English Longitudinal Study of Ageing</v>
      </c>
      <c r="Z427" s="25" t="str">
        <f>_xlfn.XLOOKUP(tblMeasure[[#This Row],[id_src]],tblSource[id_src],tblSource[url_source])</f>
        <v>https://www.ifs.org.uk/uploads/ELSA_Wave_8_report.pdf</v>
      </c>
      <c r="AA427" s="25">
        <f>_xlfn.XLOOKUP(tblMeasure[[#This Row],[id_src]],tblSource[id_src],tblSource[year_first_published])</f>
        <v>2002</v>
      </c>
      <c r="AB427" s="25">
        <f>_xlfn.XLOOKUP(tblMeasure[[#This Row],[id_src]],tblSource[id_src],tblSource[year_last_published])</f>
        <v>2018</v>
      </c>
      <c r="AC427" s="25">
        <f>_xlfn.XLOOKUP(tblMeasure[[#This Row],[id_src]],tblSource[id_src],tblSource[discontinuity])</f>
        <v>0</v>
      </c>
      <c r="AD427" s="25" t="str">
        <f>_xlfn.XLOOKUP(tblMeasure[[#This Row],[id_src]],tblSource[id_src],tblSource[publication_frequency])</f>
        <v>Biennial</v>
      </c>
      <c r="AE427" s="15">
        <f>_xlfn.XLOOKUP(tblMeasure[[#This Row],[id_src]],tblSource[id_src],tblSource[publication_lag_months])</f>
        <v>10</v>
      </c>
      <c r="AF427" s="25" t="str">
        <f>_xlfn.XLOOKUP(tblMeasure[[#This Row],[id_src]],tblSource[id_src],tblSource[data_providers])</f>
        <v>UCL, IFS, Manchester University, NatCen, UEA</v>
      </c>
      <c r="AG427" s="25" t="str">
        <f>_xlfn.XLOOKUP(tblMeasure[[#This Row],[id_src]],tblSource[id_src],tblSource[statistic_class])</f>
        <v>TBD</v>
      </c>
      <c r="AH427" s="25" t="str">
        <f>_xlfn.XLOOKUP(tblMeasure[[#This Row],[id_src]],tblSource[id_src],tblSource[methodology_link])</f>
        <v>https://www.ifs.org.uk/uploads/ELSA_Wave_8_report.pdf</v>
      </c>
      <c r="AI427" s="25" t="str">
        <f>_xlfn.XLOOKUP(tblMeasure[[#This Row],[id_src]],tblSource[id_src],tblSource[quality_issues])</f>
        <v>TBD</v>
      </c>
      <c r="AJ427" s="25">
        <f>VLOOKUP(tblMeasure[[#This Row],[msr_population_or_survey]],strlu_msr_population_or_survey,2,FALSE)</f>
        <v>0</v>
      </c>
      <c r="AK427" s="25">
        <f>VLOOKUP(tblMeasure[[#This Row],[msr_min_geo_resolution]],strlu_msr_min_geo_resolution,2,FALSE)</f>
        <v>0</v>
      </c>
      <c r="AL427" s="25">
        <f>(MAX(tblMeasure[[#This Row],[src_year_last_published]]-2010+1,0)+MIN(2010-tblMeasure[[#This Row],[src_year_first_published]],0)-MAX(tblMeasure[[#This Row],[src_year_last_published]]-2019,0))/10</f>
        <v>0.9</v>
      </c>
      <c r="AM427" s="25">
        <f>IF(OR(tblMeasure[[#This Row],[src_discontinuity]]="None",tblMeasure[[#This Row],[src_discontinuity]]=0),1,0)</f>
        <v>1</v>
      </c>
      <c r="AN427" s="25">
        <f>VLOOKUP(tblMeasure[[#This Row],[src_pub_frequency]],strlu_src_pub_frequency,2,FALSE)</f>
        <v>0.5</v>
      </c>
      <c r="AO427" s="25">
        <f>VLOOKUP(tblMeasure[[#This Row],[src_pub_lag_months]],strlu_src_pub_lag_months,2,FALSE)</f>
        <v>0.1</v>
      </c>
      <c r="AP427" s="25">
        <f>VLOOKUP(tblMeasure[[#This Row],[src_statistic_class]],strlu_src_statistic_class,2,FALSE)</f>
        <v>0</v>
      </c>
      <c r="AQ427" s="25">
        <f>IF(tblMeasure[[#This Row],[src_methodology_url]]="TBD",0,1)</f>
        <v>1</v>
      </c>
      <c r="AR427" s="25">
        <f>IF(tblMeasure[[#This Row],[src_quality_url]]="TBD",0,1)</f>
        <v>0</v>
      </c>
      <c r="AS427" s="85" cm="1">
        <f t="array" ref="AS427">SUMPRODUCT(TRANSPOSE(tblMeasure[[#This Row],[str_msr_population_or_survey]:[str_src_quality_url]]),str_weights)/str_weights_total</f>
        <v>0.33846153846153848</v>
      </c>
    </row>
    <row r="428" spans="1:45" hidden="1" x14ac:dyDescent="0.15">
      <c r="A428" s="30">
        <v>426</v>
      </c>
      <c r="B428" s="32">
        <f>COUNTIF(requirement_measure_map!$D$3:$D$1514,measure!A428)</f>
        <v>0</v>
      </c>
      <c r="C428" s="30" t="s">
        <v>800</v>
      </c>
      <c r="D428" s="15" t="s">
        <v>1356</v>
      </c>
      <c r="E428" s="15" t="s">
        <v>1402</v>
      </c>
      <c r="F428" s="15" t="s">
        <v>1403</v>
      </c>
      <c r="G428" s="13" t="s">
        <v>1359</v>
      </c>
      <c r="H428" s="15"/>
      <c r="I428" s="15" t="s">
        <v>429</v>
      </c>
      <c r="J428" s="15" t="s">
        <v>1360</v>
      </c>
      <c r="K428" s="15" t="s">
        <v>1389</v>
      </c>
      <c r="L428" s="15" t="s">
        <v>233</v>
      </c>
      <c r="M428" s="15" t="s">
        <v>218</v>
      </c>
      <c r="N428" s="15" t="s">
        <v>746</v>
      </c>
      <c r="O428" s="15" t="s">
        <v>1362</v>
      </c>
      <c r="P428" s="15" t="s">
        <v>219</v>
      </c>
      <c r="Q428" s="15" t="s">
        <v>219</v>
      </c>
      <c r="R428" s="15" t="s">
        <v>219</v>
      </c>
      <c r="S428" s="15" t="s">
        <v>219</v>
      </c>
      <c r="T428" s="15" t="s">
        <v>219</v>
      </c>
      <c r="U428" s="15" t="s">
        <v>219</v>
      </c>
      <c r="V428" s="15" t="s">
        <v>219</v>
      </c>
      <c r="W428" s="15">
        <v>32</v>
      </c>
      <c r="X428" s="15" t="str">
        <f>_xlfn.XLOOKUP(tblMeasure[[#This Row],[id_src]],tblSource[id_src],tblSource[org])</f>
        <v xml:space="preserve">NIH National Institute of Ageing </v>
      </c>
      <c r="Y428" s="25" t="str">
        <f>_xlfn.XLOOKUP(tblMeasure[[#This Row],[id_src]],tblSource[id_src],tblSource[source])</f>
        <v>English Longitudinal Study of Ageing</v>
      </c>
      <c r="Z428" s="25" t="str">
        <f>_xlfn.XLOOKUP(tblMeasure[[#This Row],[id_src]],tblSource[id_src],tblSource[url_source])</f>
        <v>https://www.ifs.org.uk/uploads/ELSA_Wave_8_report.pdf</v>
      </c>
      <c r="AA428" s="25">
        <f>_xlfn.XLOOKUP(tblMeasure[[#This Row],[id_src]],tblSource[id_src],tblSource[year_first_published])</f>
        <v>2002</v>
      </c>
      <c r="AB428" s="25">
        <f>_xlfn.XLOOKUP(tblMeasure[[#This Row],[id_src]],tblSource[id_src],tblSource[year_last_published])</f>
        <v>2018</v>
      </c>
      <c r="AC428" s="25">
        <f>_xlfn.XLOOKUP(tblMeasure[[#This Row],[id_src]],tblSource[id_src],tblSource[discontinuity])</f>
        <v>0</v>
      </c>
      <c r="AD428" s="25" t="str">
        <f>_xlfn.XLOOKUP(tblMeasure[[#This Row],[id_src]],tblSource[id_src],tblSource[publication_frequency])</f>
        <v>Biennial</v>
      </c>
      <c r="AE428" s="15">
        <f>_xlfn.XLOOKUP(tblMeasure[[#This Row],[id_src]],tblSource[id_src],tblSource[publication_lag_months])</f>
        <v>10</v>
      </c>
      <c r="AF428" s="25" t="str">
        <f>_xlfn.XLOOKUP(tblMeasure[[#This Row],[id_src]],tblSource[id_src],tblSource[data_providers])</f>
        <v>UCL, IFS, Manchester University, NatCen, UEA</v>
      </c>
      <c r="AG428" s="25" t="str">
        <f>_xlfn.XLOOKUP(tblMeasure[[#This Row],[id_src]],tblSource[id_src],tblSource[statistic_class])</f>
        <v>TBD</v>
      </c>
      <c r="AH428" s="25" t="str">
        <f>_xlfn.XLOOKUP(tblMeasure[[#This Row],[id_src]],tblSource[id_src],tblSource[methodology_link])</f>
        <v>https://www.ifs.org.uk/uploads/ELSA_Wave_8_report.pdf</v>
      </c>
      <c r="AI428" s="25" t="str">
        <f>_xlfn.XLOOKUP(tblMeasure[[#This Row],[id_src]],tblSource[id_src],tblSource[quality_issues])</f>
        <v>TBD</v>
      </c>
      <c r="AJ428" s="25">
        <f>VLOOKUP(tblMeasure[[#This Row],[msr_population_or_survey]],strlu_msr_population_or_survey,2,FALSE)</f>
        <v>0</v>
      </c>
      <c r="AK428" s="25">
        <f>VLOOKUP(tblMeasure[[#This Row],[msr_min_geo_resolution]],strlu_msr_min_geo_resolution,2,FALSE)</f>
        <v>0</v>
      </c>
      <c r="AL428" s="25">
        <f>(MAX(tblMeasure[[#This Row],[src_year_last_published]]-2010+1,0)+MIN(2010-tblMeasure[[#This Row],[src_year_first_published]],0)-MAX(tblMeasure[[#This Row],[src_year_last_published]]-2019,0))/10</f>
        <v>0.9</v>
      </c>
      <c r="AM428" s="25">
        <f>IF(OR(tblMeasure[[#This Row],[src_discontinuity]]="None",tblMeasure[[#This Row],[src_discontinuity]]=0),1,0)</f>
        <v>1</v>
      </c>
      <c r="AN428" s="25">
        <f>VLOOKUP(tblMeasure[[#This Row],[src_pub_frequency]],strlu_src_pub_frequency,2,FALSE)</f>
        <v>0.5</v>
      </c>
      <c r="AO428" s="25">
        <f>VLOOKUP(tblMeasure[[#This Row],[src_pub_lag_months]],strlu_src_pub_lag_months,2,FALSE)</f>
        <v>0.1</v>
      </c>
      <c r="AP428" s="25">
        <f>VLOOKUP(tblMeasure[[#This Row],[src_statistic_class]],strlu_src_statistic_class,2,FALSE)</f>
        <v>0</v>
      </c>
      <c r="AQ428" s="25">
        <f>IF(tblMeasure[[#This Row],[src_methodology_url]]="TBD",0,1)</f>
        <v>1</v>
      </c>
      <c r="AR428" s="25">
        <f>IF(tblMeasure[[#This Row],[src_quality_url]]="TBD",0,1)</f>
        <v>0</v>
      </c>
      <c r="AS428" s="85" cm="1">
        <f t="array" ref="AS428">SUMPRODUCT(TRANSPOSE(tblMeasure[[#This Row],[str_msr_population_or_survey]:[str_src_quality_url]]),str_weights)/str_weights_total</f>
        <v>0.33846153846153848</v>
      </c>
    </row>
    <row r="429" spans="1:45" hidden="1" x14ac:dyDescent="0.15">
      <c r="A429" s="30">
        <v>427</v>
      </c>
      <c r="B429" s="32">
        <f>COUNTIF(requirement_measure_map!$D$3:$D$1514,measure!A429)</f>
        <v>0</v>
      </c>
      <c r="C429" s="30" t="s">
        <v>800</v>
      </c>
      <c r="D429" s="15" t="s">
        <v>1356</v>
      </c>
      <c r="E429" s="15" t="s">
        <v>1404</v>
      </c>
      <c r="F429" s="15" t="s">
        <v>1405</v>
      </c>
      <c r="G429" s="13" t="s">
        <v>1359</v>
      </c>
      <c r="H429" s="15"/>
      <c r="I429" s="15" t="s">
        <v>429</v>
      </c>
      <c r="J429" s="15" t="s">
        <v>1360</v>
      </c>
      <c r="K429" s="15" t="s">
        <v>239</v>
      </c>
      <c r="L429" s="15" t="s">
        <v>233</v>
      </c>
      <c r="M429" s="15" t="s">
        <v>746</v>
      </c>
      <c r="N429" s="15" t="s">
        <v>240</v>
      </c>
      <c r="O429" s="15" t="s">
        <v>1362</v>
      </c>
      <c r="P429" s="15" t="s">
        <v>219</v>
      </c>
      <c r="Q429" s="15" t="s">
        <v>219</v>
      </c>
      <c r="R429" s="15" t="s">
        <v>219</v>
      </c>
      <c r="S429" s="15" t="s">
        <v>219</v>
      </c>
      <c r="T429" s="15" t="s">
        <v>219</v>
      </c>
      <c r="U429" s="15" t="s">
        <v>219</v>
      </c>
      <c r="V429" s="15" t="s">
        <v>219</v>
      </c>
      <c r="W429" s="15">
        <v>32</v>
      </c>
      <c r="X429" s="15" t="str">
        <f>_xlfn.XLOOKUP(tblMeasure[[#This Row],[id_src]],tblSource[id_src],tblSource[org])</f>
        <v xml:space="preserve">NIH National Institute of Ageing </v>
      </c>
      <c r="Y429" s="25" t="str">
        <f>_xlfn.XLOOKUP(tblMeasure[[#This Row],[id_src]],tblSource[id_src],tblSource[source])</f>
        <v>English Longitudinal Study of Ageing</v>
      </c>
      <c r="Z429" s="25" t="str">
        <f>_xlfn.XLOOKUP(tblMeasure[[#This Row],[id_src]],tblSource[id_src],tblSource[url_source])</f>
        <v>https://www.ifs.org.uk/uploads/ELSA_Wave_8_report.pdf</v>
      </c>
      <c r="AA429" s="25">
        <f>_xlfn.XLOOKUP(tblMeasure[[#This Row],[id_src]],tblSource[id_src],tblSource[year_first_published])</f>
        <v>2002</v>
      </c>
      <c r="AB429" s="25">
        <f>_xlfn.XLOOKUP(tblMeasure[[#This Row],[id_src]],tblSource[id_src],tblSource[year_last_published])</f>
        <v>2018</v>
      </c>
      <c r="AC429" s="25">
        <f>_xlfn.XLOOKUP(tblMeasure[[#This Row],[id_src]],tblSource[id_src],tblSource[discontinuity])</f>
        <v>0</v>
      </c>
      <c r="AD429" s="25" t="str">
        <f>_xlfn.XLOOKUP(tblMeasure[[#This Row],[id_src]],tblSource[id_src],tblSource[publication_frequency])</f>
        <v>Biennial</v>
      </c>
      <c r="AE429" s="15">
        <f>_xlfn.XLOOKUP(tblMeasure[[#This Row],[id_src]],tblSource[id_src],tblSource[publication_lag_months])</f>
        <v>10</v>
      </c>
      <c r="AF429" s="25" t="str">
        <f>_xlfn.XLOOKUP(tblMeasure[[#This Row],[id_src]],tblSource[id_src],tblSource[data_providers])</f>
        <v>UCL, IFS, Manchester University, NatCen, UEA</v>
      </c>
      <c r="AG429" s="25" t="str">
        <f>_xlfn.XLOOKUP(tblMeasure[[#This Row],[id_src]],tblSource[id_src],tblSource[statistic_class])</f>
        <v>TBD</v>
      </c>
      <c r="AH429" s="25" t="str">
        <f>_xlfn.XLOOKUP(tblMeasure[[#This Row],[id_src]],tblSource[id_src],tblSource[methodology_link])</f>
        <v>https://www.ifs.org.uk/uploads/ELSA_Wave_8_report.pdf</v>
      </c>
      <c r="AI429" s="25" t="str">
        <f>_xlfn.XLOOKUP(tblMeasure[[#This Row],[id_src]],tblSource[id_src],tblSource[quality_issues])</f>
        <v>TBD</v>
      </c>
      <c r="AJ429" s="25">
        <f>VLOOKUP(tblMeasure[[#This Row],[msr_population_or_survey]],strlu_msr_population_or_survey,2,FALSE)</f>
        <v>0</v>
      </c>
      <c r="AK429" s="25">
        <f>VLOOKUP(tblMeasure[[#This Row],[msr_min_geo_resolution]],strlu_msr_min_geo_resolution,2,FALSE)</f>
        <v>0</v>
      </c>
      <c r="AL429" s="25">
        <f>(MAX(tblMeasure[[#This Row],[src_year_last_published]]-2010+1,0)+MIN(2010-tblMeasure[[#This Row],[src_year_first_published]],0)-MAX(tblMeasure[[#This Row],[src_year_last_published]]-2019,0))/10</f>
        <v>0.9</v>
      </c>
      <c r="AM429" s="25">
        <f>IF(OR(tblMeasure[[#This Row],[src_discontinuity]]="None",tblMeasure[[#This Row],[src_discontinuity]]=0),1,0)</f>
        <v>1</v>
      </c>
      <c r="AN429" s="25">
        <f>VLOOKUP(tblMeasure[[#This Row],[src_pub_frequency]],strlu_src_pub_frequency,2,FALSE)</f>
        <v>0.5</v>
      </c>
      <c r="AO429" s="25">
        <f>VLOOKUP(tblMeasure[[#This Row],[src_pub_lag_months]],strlu_src_pub_lag_months,2,FALSE)</f>
        <v>0.1</v>
      </c>
      <c r="AP429" s="25">
        <f>VLOOKUP(tblMeasure[[#This Row],[src_statistic_class]],strlu_src_statistic_class,2,FALSE)</f>
        <v>0</v>
      </c>
      <c r="AQ429" s="25">
        <f>IF(tblMeasure[[#This Row],[src_methodology_url]]="TBD",0,1)</f>
        <v>1</v>
      </c>
      <c r="AR429" s="25">
        <f>IF(tblMeasure[[#This Row],[src_quality_url]]="TBD",0,1)</f>
        <v>0</v>
      </c>
      <c r="AS429" s="85" cm="1">
        <f t="array" ref="AS429">SUMPRODUCT(TRANSPOSE(tblMeasure[[#This Row],[str_msr_population_or_survey]:[str_src_quality_url]]),str_weights)/str_weights_total</f>
        <v>0.33846153846153848</v>
      </c>
    </row>
    <row r="430" spans="1:45" hidden="1" x14ac:dyDescent="0.15">
      <c r="A430" s="30">
        <v>428</v>
      </c>
      <c r="B430" s="32">
        <f>COUNTIF(requirement_measure_map!$D$3:$D$1514,measure!A430)</f>
        <v>0</v>
      </c>
      <c r="C430" s="30" t="s">
        <v>800</v>
      </c>
      <c r="D430" s="15" t="s">
        <v>1356</v>
      </c>
      <c r="E430" s="15" t="s">
        <v>1406</v>
      </c>
      <c r="F430" s="15" t="s">
        <v>1407</v>
      </c>
      <c r="G430" s="13" t="s">
        <v>1359</v>
      </c>
      <c r="H430" s="15"/>
      <c r="I430" s="15" t="s">
        <v>429</v>
      </c>
      <c r="J430" s="15" t="s">
        <v>1360</v>
      </c>
      <c r="K430" s="15" t="s">
        <v>239</v>
      </c>
      <c r="L430" s="15" t="s">
        <v>233</v>
      </c>
      <c r="M430" s="15" t="s">
        <v>746</v>
      </c>
      <c r="N430" s="15" t="s">
        <v>240</v>
      </c>
      <c r="O430" s="15" t="s">
        <v>1362</v>
      </c>
      <c r="P430" s="15" t="s">
        <v>219</v>
      </c>
      <c r="Q430" s="15" t="s">
        <v>219</v>
      </c>
      <c r="R430" s="15" t="s">
        <v>219</v>
      </c>
      <c r="S430" s="15" t="s">
        <v>219</v>
      </c>
      <c r="T430" s="15" t="s">
        <v>219</v>
      </c>
      <c r="U430" s="15" t="s">
        <v>219</v>
      </c>
      <c r="V430" s="15" t="s">
        <v>219</v>
      </c>
      <c r="W430" s="15">
        <v>32</v>
      </c>
      <c r="X430" s="15" t="str">
        <f>_xlfn.XLOOKUP(tblMeasure[[#This Row],[id_src]],tblSource[id_src],tblSource[org])</f>
        <v xml:space="preserve">NIH National Institute of Ageing </v>
      </c>
      <c r="Y430" s="25" t="str">
        <f>_xlfn.XLOOKUP(tblMeasure[[#This Row],[id_src]],tblSource[id_src],tblSource[source])</f>
        <v>English Longitudinal Study of Ageing</v>
      </c>
      <c r="Z430" s="25" t="str">
        <f>_xlfn.XLOOKUP(tblMeasure[[#This Row],[id_src]],tblSource[id_src],tblSource[url_source])</f>
        <v>https://www.ifs.org.uk/uploads/ELSA_Wave_8_report.pdf</v>
      </c>
      <c r="AA430" s="25">
        <f>_xlfn.XLOOKUP(tblMeasure[[#This Row],[id_src]],tblSource[id_src],tblSource[year_first_published])</f>
        <v>2002</v>
      </c>
      <c r="AB430" s="25">
        <f>_xlfn.XLOOKUP(tblMeasure[[#This Row],[id_src]],tblSource[id_src],tblSource[year_last_published])</f>
        <v>2018</v>
      </c>
      <c r="AC430" s="25">
        <f>_xlfn.XLOOKUP(tblMeasure[[#This Row],[id_src]],tblSource[id_src],tblSource[discontinuity])</f>
        <v>0</v>
      </c>
      <c r="AD430" s="25" t="str">
        <f>_xlfn.XLOOKUP(tblMeasure[[#This Row],[id_src]],tblSource[id_src],tblSource[publication_frequency])</f>
        <v>Biennial</v>
      </c>
      <c r="AE430" s="15">
        <f>_xlfn.XLOOKUP(tblMeasure[[#This Row],[id_src]],tblSource[id_src],tblSource[publication_lag_months])</f>
        <v>10</v>
      </c>
      <c r="AF430" s="25" t="str">
        <f>_xlfn.XLOOKUP(tblMeasure[[#This Row],[id_src]],tblSource[id_src],tblSource[data_providers])</f>
        <v>UCL, IFS, Manchester University, NatCen, UEA</v>
      </c>
      <c r="AG430" s="25" t="str">
        <f>_xlfn.XLOOKUP(tblMeasure[[#This Row],[id_src]],tblSource[id_src],tblSource[statistic_class])</f>
        <v>TBD</v>
      </c>
      <c r="AH430" s="25" t="str">
        <f>_xlfn.XLOOKUP(tblMeasure[[#This Row],[id_src]],tblSource[id_src],tblSource[methodology_link])</f>
        <v>https://www.ifs.org.uk/uploads/ELSA_Wave_8_report.pdf</v>
      </c>
      <c r="AI430" s="25" t="str">
        <f>_xlfn.XLOOKUP(tblMeasure[[#This Row],[id_src]],tblSource[id_src],tblSource[quality_issues])</f>
        <v>TBD</v>
      </c>
      <c r="AJ430" s="25">
        <f>VLOOKUP(tblMeasure[[#This Row],[msr_population_or_survey]],strlu_msr_population_or_survey,2,FALSE)</f>
        <v>0</v>
      </c>
      <c r="AK430" s="25">
        <f>VLOOKUP(tblMeasure[[#This Row],[msr_min_geo_resolution]],strlu_msr_min_geo_resolution,2,FALSE)</f>
        <v>0</v>
      </c>
      <c r="AL430" s="25">
        <f>(MAX(tblMeasure[[#This Row],[src_year_last_published]]-2010+1,0)+MIN(2010-tblMeasure[[#This Row],[src_year_first_published]],0)-MAX(tblMeasure[[#This Row],[src_year_last_published]]-2019,0))/10</f>
        <v>0.9</v>
      </c>
      <c r="AM430" s="25">
        <f>IF(OR(tblMeasure[[#This Row],[src_discontinuity]]="None",tblMeasure[[#This Row],[src_discontinuity]]=0),1,0)</f>
        <v>1</v>
      </c>
      <c r="AN430" s="25">
        <f>VLOOKUP(tblMeasure[[#This Row],[src_pub_frequency]],strlu_src_pub_frequency,2,FALSE)</f>
        <v>0.5</v>
      </c>
      <c r="AO430" s="25">
        <f>VLOOKUP(tblMeasure[[#This Row],[src_pub_lag_months]],strlu_src_pub_lag_months,2,FALSE)</f>
        <v>0.1</v>
      </c>
      <c r="AP430" s="25">
        <f>VLOOKUP(tblMeasure[[#This Row],[src_statistic_class]],strlu_src_statistic_class,2,FALSE)</f>
        <v>0</v>
      </c>
      <c r="AQ430" s="25">
        <f>IF(tblMeasure[[#This Row],[src_methodology_url]]="TBD",0,1)</f>
        <v>1</v>
      </c>
      <c r="AR430" s="25">
        <f>IF(tblMeasure[[#This Row],[src_quality_url]]="TBD",0,1)</f>
        <v>0</v>
      </c>
      <c r="AS430" s="85" cm="1">
        <f t="array" ref="AS430">SUMPRODUCT(TRANSPOSE(tblMeasure[[#This Row],[str_msr_population_or_survey]:[str_src_quality_url]]),str_weights)/str_weights_total</f>
        <v>0.33846153846153848</v>
      </c>
    </row>
    <row r="431" spans="1:45" hidden="1" x14ac:dyDescent="0.15">
      <c r="A431" s="30">
        <v>429</v>
      </c>
      <c r="B431" s="32">
        <f>COUNTIF(requirement_measure_map!$D$3:$D$1514,measure!A431)</f>
        <v>0</v>
      </c>
      <c r="C431" s="30" t="s">
        <v>800</v>
      </c>
      <c r="D431" s="15" t="s">
        <v>1356</v>
      </c>
      <c r="E431" s="15" t="s">
        <v>1408</v>
      </c>
      <c r="F431" s="15" t="s">
        <v>1409</v>
      </c>
      <c r="G431" s="13" t="s">
        <v>1359</v>
      </c>
      <c r="H431" s="15"/>
      <c r="I431" s="15" t="s">
        <v>429</v>
      </c>
      <c r="J431" s="15" t="s">
        <v>1360</v>
      </c>
      <c r="K431" s="15" t="s">
        <v>239</v>
      </c>
      <c r="L431" s="15" t="s">
        <v>233</v>
      </c>
      <c r="M431" s="15" t="s">
        <v>746</v>
      </c>
      <c r="N431" s="15" t="s">
        <v>240</v>
      </c>
      <c r="O431" s="15" t="s">
        <v>1362</v>
      </c>
      <c r="P431" s="15" t="s">
        <v>219</v>
      </c>
      <c r="Q431" s="15" t="s">
        <v>219</v>
      </c>
      <c r="R431" s="15" t="s">
        <v>219</v>
      </c>
      <c r="S431" s="15" t="s">
        <v>219</v>
      </c>
      <c r="T431" s="15" t="s">
        <v>219</v>
      </c>
      <c r="U431" s="15" t="s">
        <v>219</v>
      </c>
      <c r="V431" s="15" t="s">
        <v>219</v>
      </c>
      <c r="W431" s="15">
        <v>32</v>
      </c>
      <c r="X431" s="15" t="str">
        <f>_xlfn.XLOOKUP(tblMeasure[[#This Row],[id_src]],tblSource[id_src],tblSource[org])</f>
        <v xml:space="preserve">NIH National Institute of Ageing </v>
      </c>
      <c r="Y431" s="25" t="str">
        <f>_xlfn.XLOOKUP(tblMeasure[[#This Row],[id_src]],tblSource[id_src],tblSource[source])</f>
        <v>English Longitudinal Study of Ageing</v>
      </c>
      <c r="Z431" s="25" t="str">
        <f>_xlfn.XLOOKUP(tblMeasure[[#This Row],[id_src]],tblSource[id_src],tblSource[url_source])</f>
        <v>https://www.ifs.org.uk/uploads/ELSA_Wave_8_report.pdf</v>
      </c>
      <c r="AA431" s="25">
        <f>_xlfn.XLOOKUP(tblMeasure[[#This Row],[id_src]],tblSource[id_src],tblSource[year_first_published])</f>
        <v>2002</v>
      </c>
      <c r="AB431" s="25">
        <f>_xlfn.XLOOKUP(tblMeasure[[#This Row],[id_src]],tblSource[id_src],tblSource[year_last_published])</f>
        <v>2018</v>
      </c>
      <c r="AC431" s="25">
        <f>_xlfn.XLOOKUP(tblMeasure[[#This Row],[id_src]],tblSource[id_src],tblSource[discontinuity])</f>
        <v>0</v>
      </c>
      <c r="AD431" s="25" t="str">
        <f>_xlfn.XLOOKUP(tblMeasure[[#This Row],[id_src]],tblSource[id_src],tblSource[publication_frequency])</f>
        <v>Biennial</v>
      </c>
      <c r="AE431" s="15">
        <f>_xlfn.XLOOKUP(tblMeasure[[#This Row],[id_src]],tblSource[id_src],tblSource[publication_lag_months])</f>
        <v>10</v>
      </c>
      <c r="AF431" s="25" t="str">
        <f>_xlfn.XLOOKUP(tblMeasure[[#This Row],[id_src]],tblSource[id_src],tblSource[data_providers])</f>
        <v>UCL, IFS, Manchester University, NatCen, UEA</v>
      </c>
      <c r="AG431" s="25" t="str">
        <f>_xlfn.XLOOKUP(tblMeasure[[#This Row],[id_src]],tblSource[id_src],tblSource[statistic_class])</f>
        <v>TBD</v>
      </c>
      <c r="AH431" s="25" t="str">
        <f>_xlfn.XLOOKUP(tblMeasure[[#This Row],[id_src]],tblSource[id_src],tblSource[methodology_link])</f>
        <v>https://www.ifs.org.uk/uploads/ELSA_Wave_8_report.pdf</v>
      </c>
      <c r="AI431" s="25" t="str">
        <f>_xlfn.XLOOKUP(tblMeasure[[#This Row],[id_src]],tblSource[id_src],tblSource[quality_issues])</f>
        <v>TBD</v>
      </c>
      <c r="AJ431" s="25">
        <f>VLOOKUP(tblMeasure[[#This Row],[msr_population_or_survey]],strlu_msr_population_or_survey,2,FALSE)</f>
        <v>0</v>
      </c>
      <c r="AK431" s="25">
        <f>VLOOKUP(tblMeasure[[#This Row],[msr_min_geo_resolution]],strlu_msr_min_geo_resolution,2,FALSE)</f>
        <v>0</v>
      </c>
      <c r="AL431" s="25">
        <f>(MAX(tblMeasure[[#This Row],[src_year_last_published]]-2010+1,0)+MIN(2010-tblMeasure[[#This Row],[src_year_first_published]],0)-MAX(tblMeasure[[#This Row],[src_year_last_published]]-2019,0))/10</f>
        <v>0.9</v>
      </c>
      <c r="AM431" s="25">
        <f>IF(OR(tblMeasure[[#This Row],[src_discontinuity]]="None",tblMeasure[[#This Row],[src_discontinuity]]=0),1,0)</f>
        <v>1</v>
      </c>
      <c r="AN431" s="25">
        <f>VLOOKUP(tblMeasure[[#This Row],[src_pub_frequency]],strlu_src_pub_frequency,2,FALSE)</f>
        <v>0.5</v>
      </c>
      <c r="AO431" s="25">
        <f>VLOOKUP(tblMeasure[[#This Row],[src_pub_lag_months]],strlu_src_pub_lag_months,2,FALSE)</f>
        <v>0.1</v>
      </c>
      <c r="AP431" s="25">
        <f>VLOOKUP(tblMeasure[[#This Row],[src_statistic_class]],strlu_src_statistic_class,2,FALSE)</f>
        <v>0</v>
      </c>
      <c r="AQ431" s="25">
        <f>IF(tblMeasure[[#This Row],[src_methodology_url]]="TBD",0,1)</f>
        <v>1</v>
      </c>
      <c r="AR431" s="25">
        <f>IF(tblMeasure[[#This Row],[src_quality_url]]="TBD",0,1)</f>
        <v>0</v>
      </c>
      <c r="AS431" s="85" cm="1">
        <f t="array" ref="AS431">SUMPRODUCT(TRANSPOSE(tblMeasure[[#This Row],[str_msr_population_or_survey]:[str_src_quality_url]]),str_weights)/str_weights_total</f>
        <v>0.33846153846153848</v>
      </c>
    </row>
    <row r="432" spans="1:45" hidden="1" x14ac:dyDescent="0.15">
      <c r="A432" s="30">
        <v>430</v>
      </c>
      <c r="B432" s="32">
        <f>COUNTIF(requirement_measure_map!$D$3:$D$1514,measure!A432)</f>
        <v>0</v>
      </c>
      <c r="C432" s="30" t="s">
        <v>800</v>
      </c>
      <c r="D432" s="15" t="s">
        <v>1356</v>
      </c>
      <c r="E432" s="15" t="s">
        <v>1410</v>
      </c>
      <c r="F432" s="15" t="s">
        <v>1411</v>
      </c>
      <c r="G432" s="13" t="s">
        <v>1359</v>
      </c>
      <c r="H432" s="15"/>
      <c r="I432" s="15" t="s">
        <v>429</v>
      </c>
      <c r="J432" s="15" t="s">
        <v>1360</v>
      </c>
      <c r="K432" s="15" t="s">
        <v>239</v>
      </c>
      <c r="L432" s="15" t="s">
        <v>233</v>
      </c>
      <c r="M432" s="15" t="s">
        <v>746</v>
      </c>
      <c r="N432" s="15" t="s">
        <v>240</v>
      </c>
      <c r="O432" s="15" t="s">
        <v>1362</v>
      </c>
      <c r="P432" s="15" t="s">
        <v>219</v>
      </c>
      <c r="Q432" s="15" t="s">
        <v>219</v>
      </c>
      <c r="R432" s="15" t="s">
        <v>219</v>
      </c>
      <c r="S432" s="15" t="s">
        <v>219</v>
      </c>
      <c r="T432" s="15" t="s">
        <v>219</v>
      </c>
      <c r="U432" s="15" t="s">
        <v>219</v>
      </c>
      <c r="V432" s="15" t="s">
        <v>219</v>
      </c>
      <c r="W432" s="15">
        <v>32</v>
      </c>
      <c r="X432" s="15" t="str">
        <f>_xlfn.XLOOKUP(tblMeasure[[#This Row],[id_src]],tblSource[id_src],tblSource[org])</f>
        <v xml:space="preserve">NIH National Institute of Ageing </v>
      </c>
      <c r="Y432" s="25" t="str">
        <f>_xlfn.XLOOKUP(tblMeasure[[#This Row],[id_src]],tblSource[id_src],tblSource[source])</f>
        <v>English Longitudinal Study of Ageing</v>
      </c>
      <c r="Z432" s="25" t="str">
        <f>_xlfn.XLOOKUP(tblMeasure[[#This Row],[id_src]],tblSource[id_src],tblSource[url_source])</f>
        <v>https://www.ifs.org.uk/uploads/ELSA_Wave_8_report.pdf</v>
      </c>
      <c r="AA432" s="25">
        <f>_xlfn.XLOOKUP(tblMeasure[[#This Row],[id_src]],tblSource[id_src],tblSource[year_first_published])</f>
        <v>2002</v>
      </c>
      <c r="AB432" s="25">
        <f>_xlfn.XLOOKUP(tblMeasure[[#This Row],[id_src]],tblSource[id_src],tblSource[year_last_published])</f>
        <v>2018</v>
      </c>
      <c r="AC432" s="25">
        <f>_xlfn.XLOOKUP(tblMeasure[[#This Row],[id_src]],tblSource[id_src],tblSource[discontinuity])</f>
        <v>0</v>
      </c>
      <c r="AD432" s="25" t="str">
        <f>_xlfn.XLOOKUP(tblMeasure[[#This Row],[id_src]],tblSource[id_src],tblSource[publication_frequency])</f>
        <v>Biennial</v>
      </c>
      <c r="AE432" s="15">
        <f>_xlfn.XLOOKUP(tblMeasure[[#This Row],[id_src]],tblSource[id_src],tblSource[publication_lag_months])</f>
        <v>10</v>
      </c>
      <c r="AF432" s="25" t="str">
        <f>_xlfn.XLOOKUP(tblMeasure[[#This Row],[id_src]],tblSource[id_src],tblSource[data_providers])</f>
        <v>UCL, IFS, Manchester University, NatCen, UEA</v>
      </c>
      <c r="AG432" s="25" t="str">
        <f>_xlfn.XLOOKUP(tblMeasure[[#This Row],[id_src]],tblSource[id_src],tblSource[statistic_class])</f>
        <v>TBD</v>
      </c>
      <c r="AH432" s="25" t="str">
        <f>_xlfn.XLOOKUP(tblMeasure[[#This Row],[id_src]],tblSource[id_src],tblSource[methodology_link])</f>
        <v>https://www.ifs.org.uk/uploads/ELSA_Wave_8_report.pdf</v>
      </c>
      <c r="AI432" s="25" t="str">
        <f>_xlfn.XLOOKUP(tblMeasure[[#This Row],[id_src]],tblSource[id_src],tblSource[quality_issues])</f>
        <v>TBD</v>
      </c>
      <c r="AJ432" s="25">
        <f>VLOOKUP(tblMeasure[[#This Row],[msr_population_or_survey]],strlu_msr_population_or_survey,2,FALSE)</f>
        <v>0</v>
      </c>
      <c r="AK432" s="25">
        <f>VLOOKUP(tblMeasure[[#This Row],[msr_min_geo_resolution]],strlu_msr_min_geo_resolution,2,FALSE)</f>
        <v>0</v>
      </c>
      <c r="AL432" s="25">
        <f>(MAX(tblMeasure[[#This Row],[src_year_last_published]]-2010+1,0)+MIN(2010-tblMeasure[[#This Row],[src_year_first_published]],0)-MAX(tblMeasure[[#This Row],[src_year_last_published]]-2019,0))/10</f>
        <v>0.9</v>
      </c>
      <c r="AM432" s="25">
        <f>IF(OR(tblMeasure[[#This Row],[src_discontinuity]]="None",tblMeasure[[#This Row],[src_discontinuity]]=0),1,0)</f>
        <v>1</v>
      </c>
      <c r="AN432" s="25">
        <f>VLOOKUP(tblMeasure[[#This Row],[src_pub_frequency]],strlu_src_pub_frequency,2,FALSE)</f>
        <v>0.5</v>
      </c>
      <c r="AO432" s="25">
        <f>VLOOKUP(tblMeasure[[#This Row],[src_pub_lag_months]],strlu_src_pub_lag_months,2,FALSE)</f>
        <v>0.1</v>
      </c>
      <c r="AP432" s="25">
        <f>VLOOKUP(tblMeasure[[#This Row],[src_statistic_class]],strlu_src_statistic_class,2,FALSE)</f>
        <v>0</v>
      </c>
      <c r="AQ432" s="25">
        <f>IF(tblMeasure[[#This Row],[src_methodology_url]]="TBD",0,1)</f>
        <v>1</v>
      </c>
      <c r="AR432" s="25">
        <f>IF(tblMeasure[[#This Row],[src_quality_url]]="TBD",0,1)</f>
        <v>0</v>
      </c>
      <c r="AS432" s="85" cm="1">
        <f t="array" ref="AS432">SUMPRODUCT(TRANSPOSE(tblMeasure[[#This Row],[str_msr_population_or_survey]:[str_src_quality_url]]),str_weights)/str_weights_total</f>
        <v>0.33846153846153848</v>
      </c>
    </row>
    <row r="433" spans="1:45" hidden="1" x14ac:dyDescent="0.15">
      <c r="A433" s="30">
        <v>431</v>
      </c>
      <c r="B433" s="32">
        <f>COUNTIF(requirement_measure_map!$D$3:$D$1514,measure!A433)</f>
        <v>0</v>
      </c>
      <c r="C433" s="30" t="s">
        <v>800</v>
      </c>
      <c r="D433" s="15" t="s">
        <v>1356</v>
      </c>
      <c r="E433" s="15" t="s">
        <v>1412</v>
      </c>
      <c r="F433" s="15" t="s">
        <v>1413</v>
      </c>
      <c r="G433" s="13" t="s">
        <v>1359</v>
      </c>
      <c r="H433" s="15"/>
      <c r="I433" s="15" t="s">
        <v>429</v>
      </c>
      <c r="J433" s="15" t="s">
        <v>1360</v>
      </c>
      <c r="K433" s="15" t="s">
        <v>239</v>
      </c>
      <c r="L433" s="15" t="s">
        <v>233</v>
      </c>
      <c r="M433" s="15" t="s">
        <v>746</v>
      </c>
      <c r="N433" s="15" t="s">
        <v>240</v>
      </c>
      <c r="O433" s="15" t="s">
        <v>1362</v>
      </c>
      <c r="P433" s="15" t="s">
        <v>219</v>
      </c>
      <c r="Q433" s="15" t="s">
        <v>219</v>
      </c>
      <c r="R433" s="15" t="s">
        <v>219</v>
      </c>
      <c r="S433" s="15" t="s">
        <v>219</v>
      </c>
      <c r="T433" s="15" t="s">
        <v>219</v>
      </c>
      <c r="U433" s="15" t="s">
        <v>219</v>
      </c>
      <c r="V433" s="15" t="s">
        <v>219</v>
      </c>
      <c r="W433" s="15">
        <v>32</v>
      </c>
      <c r="X433" s="15" t="str">
        <f>_xlfn.XLOOKUP(tblMeasure[[#This Row],[id_src]],tblSource[id_src],tblSource[org])</f>
        <v xml:space="preserve">NIH National Institute of Ageing </v>
      </c>
      <c r="Y433" s="25" t="str">
        <f>_xlfn.XLOOKUP(tblMeasure[[#This Row],[id_src]],tblSource[id_src],tblSource[source])</f>
        <v>English Longitudinal Study of Ageing</v>
      </c>
      <c r="Z433" s="25" t="str">
        <f>_xlfn.XLOOKUP(tblMeasure[[#This Row],[id_src]],tblSource[id_src],tblSource[url_source])</f>
        <v>https://www.ifs.org.uk/uploads/ELSA_Wave_8_report.pdf</v>
      </c>
      <c r="AA433" s="25">
        <f>_xlfn.XLOOKUP(tblMeasure[[#This Row],[id_src]],tblSource[id_src],tblSource[year_first_published])</f>
        <v>2002</v>
      </c>
      <c r="AB433" s="25">
        <f>_xlfn.XLOOKUP(tblMeasure[[#This Row],[id_src]],tblSource[id_src],tblSource[year_last_published])</f>
        <v>2018</v>
      </c>
      <c r="AC433" s="25">
        <f>_xlfn.XLOOKUP(tblMeasure[[#This Row],[id_src]],tblSource[id_src],tblSource[discontinuity])</f>
        <v>0</v>
      </c>
      <c r="AD433" s="25" t="str">
        <f>_xlfn.XLOOKUP(tblMeasure[[#This Row],[id_src]],tblSource[id_src],tblSource[publication_frequency])</f>
        <v>Biennial</v>
      </c>
      <c r="AE433" s="15">
        <f>_xlfn.XLOOKUP(tblMeasure[[#This Row],[id_src]],tblSource[id_src],tblSource[publication_lag_months])</f>
        <v>10</v>
      </c>
      <c r="AF433" s="25" t="str">
        <f>_xlfn.XLOOKUP(tblMeasure[[#This Row],[id_src]],tblSource[id_src],tblSource[data_providers])</f>
        <v>UCL, IFS, Manchester University, NatCen, UEA</v>
      </c>
      <c r="AG433" s="25" t="str">
        <f>_xlfn.XLOOKUP(tblMeasure[[#This Row],[id_src]],tblSource[id_src],tblSource[statistic_class])</f>
        <v>TBD</v>
      </c>
      <c r="AH433" s="25" t="str">
        <f>_xlfn.XLOOKUP(tblMeasure[[#This Row],[id_src]],tblSource[id_src],tblSource[methodology_link])</f>
        <v>https://www.ifs.org.uk/uploads/ELSA_Wave_8_report.pdf</v>
      </c>
      <c r="AI433" s="25" t="str">
        <f>_xlfn.XLOOKUP(tblMeasure[[#This Row],[id_src]],tblSource[id_src],tblSource[quality_issues])</f>
        <v>TBD</v>
      </c>
      <c r="AJ433" s="25">
        <f>VLOOKUP(tblMeasure[[#This Row],[msr_population_or_survey]],strlu_msr_population_or_survey,2,FALSE)</f>
        <v>0</v>
      </c>
      <c r="AK433" s="25">
        <f>VLOOKUP(tblMeasure[[#This Row],[msr_min_geo_resolution]],strlu_msr_min_geo_resolution,2,FALSE)</f>
        <v>0</v>
      </c>
      <c r="AL433" s="25">
        <f>(MAX(tblMeasure[[#This Row],[src_year_last_published]]-2010+1,0)+MIN(2010-tblMeasure[[#This Row],[src_year_first_published]],0)-MAX(tblMeasure[[#This Row],[src_year_last_published]]-2019,0))/10</f>
        <v>0.9</v>
      </c>
      <c r="AM433" s="25">
        <f>IF(OR(tblMeasure[[#This Row],[src_discontinuity]]="None",tblMeasure[[#This Row],[src_discontinuity]]=0),1,0)</f>
        <v>1</v>
      </c>
      <c r="AN433" s="25">
        <f>VLOOKUP(tblMeasure[[#This Row],[src_pub_frequency]],strlu_src_pub_frequency,2,FALSE)</f>
        <v>0.5</v>
      </c>
      <c r="AO433" s="25">
        <f>VLOOKUP(tblMeasure[[#This Row],[src_pub_lag_months]],strlu_src_pub_lag_months,2,FALSE)</f>
        <v>0.1</v>
      </c>
      <c r="AP433" s="25">
        <f>VLOOKUP(tblMeasure[[#This Row],[src_statistic_class]],strlu_src_statistic_class,2,FALSE)</f>
        <v>0</v>
      </c>
      <c r="AQ433" s="25">
        <f>IF(tblMeasure[[#This Row],[src_methodology_url]]="TBD",0,1)</f>
        <v>1</v>
      </c>
      <c r="AR433" s="25">
        <f>IF(tblMeasure[[#This Row],[src_quality_url]]="TBD",0,1)</f>
        <v>0</v>
      </c>
      <c r="AS433" s="85" cm="1">
        <f t="array" ref="AS433">SUMPRODUCT(TRANSPOSE(tblMeasure[[#This Row],[str_msr_population_or_survey]:[str_src_quality_url]]),str_weights)/str_weights_total</f>
        <v>0.33846153846153848</v>
      </c>
    </row>
    <row r="434" spans="1:45" hidden="1" x14ac:dyDescent="0.15">
      <c r="A434" s="30">
        <v>432</v>
      </c>
      <c r="B434" s="32">
        <f>COUNTIF(requirement_measure_map!$D$3:$D$1514,measure!A434)</f>
        <v>0</v>
      </c>
      <c r="C434" s="30" t="s">
        <v>800</v>
      </c>
      <c r="D434" s="15" t="s">
        <v>1356</v>
      </c>
      <c r="E434" s="15" t="s">
        <v>1414</v>
      </c>
      <c r="F434" s="15" t="s">
        <v>1415</v>
      </c>
      <c r="G434" s="13" t="s">
        <v>1359</v>
      </c>
      <c r="H434" s="15"/>
      <c r="I434" s="15" t="s">
        <v>429</v>
      </c>
      <c r="J434" s="15" t="s">
        <v>1360</v>
      </c>
      <c r="K434" s="15" t="s">
        <v>239</v>
      </c>
      <c r="L434" s="15" t="s">
        <v>233</v>
      </c>
      <c r="M434" s="15" t="s">
        <v>746</v>
      </c>
      <c r="N434" s="15" t="s">
        <v>267</v>
      </c>
      <c r="O434" s="15" t="s">
        <v>1362</v>
      </c>
      <c r="P434" s="15" t="s">
        <v>219</v>
      </c>
      <c r="Q434" s="15" t="s">
        <v>219</v>
      </c>
      <c r="R434" s="15" t="s">
        <v>219</v>
      </c>
      <c r="S434" s="15" t="s">
        <v>219</v>
      </c>
      <c r="T434" s="15" t="s">
        <v>219</v>
      </c>
      <c r="U434" s="15" t="s">
        <v>219</v>
      </c>
      <c r="V434" s="15" t="s">
        <v>219</v>
      </c>
      <c r="W434" s="15">
        <v>32</v>
      </c>
      <c r="X434" s="15" t="str">
        <f>_xlfn.XLOOKUP(tblMeasure[[#This Row],[id_src]],tblSource[id_src],tblSource[org])</f>
        <v xml:space="preserve">NIH National Institute of Ageing </v>
      </c>
      <c r="Y434" s="25" t="str">
        <f>_xlfn.XLOOKUP(tblMeasure[[#This Row],[id_src]],tblSource[id_src],tblSource[source])</f>
        <v>English Longitudinal Study of Ageing</v>
      </c>
      <c r="Z434" s="25" t="str">
        <f>_xlfn.XLOOKUP(tblMeasure[[#This Row],[id_src]],tblSource[id_src],tblSource[url_source])</f>
        <v>https://www.ifs.org.uk/uploads/ELSA_Wave_8_report.pdf</v>
      </c>
      <c r="AA434" s="25">
        <f>_xlfn.XLOOKUP(tblMeasure[[#This Row],[id_src]],tblSource[id_src],tblSource[year_first_published])</f>
        <v>2002</v>
      </c>
      <c r="AB434" s="25">
        <f>_xlfn.XLOOKUP(tblMeasure[[#This Row],[id_src]],tblSource[id_src],tblSource[year_last_published])</f>
        <v>2018</v>
      </c>
      <c r="AC434" s="25">
        <f>_xlfn.XLOOKUP(tblMeasure[[#This Row],[id_src]],tblSource[id_src],tblSource[discontinuity])</f>
        <v>0</v>
      </c>
      <c r="AD434" s="25" t="str">
        <f>_xlfn.XLOOKUP(tblMeasure[[#This Row],[id_src]],tblSource[id_src],tblSource[publication_frequency])</f>
        <v>Biennial</v>
      </c>
      <c r="AE434" s="15">
        <f>_xlfn.XLOOKUP(tblMeasure[[#This Row],[id_src]],tblSource[id_src],tblSource[publication_lag_months])</f>
        <v>10</v>
      </c>
      <c r="AF434" s="25" t="str">
        <f>_xlfn.XLOOKUP(tblMeasure[[#This Row],[id_src]],tblSource[id_src],tblSource[data_providers])</f>
        <v>UCL, IFS, Manchester University, NatCen, UEA</v>
      </c>
      <c r="AG434" s="25" t="str">
        <f>_xlfn.XLOOKUP(tblMeasure[[#This Row],[id_src]],tblSource[id_src],tblSource[statistic_class])</f>
        <v>TBD</v>
      </c>
      <c r="AH434" s="25" t="str">
        <f>_xlfn.XLOOKUP(tblMeasure[[#This Row],[id_src]],tblSource[id_src],tblSource[methodology_link])</f>
        <v>https://www.ifs.org.uk/uploads/ELSA_Wave_8_report.pdf</v>
      </c>
      <c r="AI434" s="25" t="str">
        <f>_xlfn.XLOOKUP(tblMeasure[[#This Row],[id_src]],tblSource[id_src],tblSource[quality_issues])</f>
        <v>TBD</v>
      </c>
      <c r="AJ434" s="25">
        <f>VLOOKUP(tblMeasure[[#This Row],[msr_population_or_survey]],strlu_msr_population_or_survey,2,FALSE)</f>
        <v>0</v>
      </c>
      <c r="AK434" s="25">
        <f>VLOOKUP(tblMeasure[[#This Row],[msr_min_geo_resolution]],strlu_msr_min_geo_resolution,2,FALSE)</f>
        <v>0</v>
      </c>
      <c r="AL434" s="25">
        <f>(MAX(tblMeasure[[#This Row],[src_year_last_published]]-2010+1,0)+MIN(2010-tblMeasure[[#This Row],[src_year_first_published]],0)-MAX(tblMeasure[[#This Row],[src_year_last_published]]-2019,0))/10</f>
        <v>0.9</v>
      </c>
      <c r="AM434" s="25">
        <f>IF(OR(tblMeasure[[#This Row],[src_discontinuity]]="None",tblMeasure[[#This Row],[src_discontinuity]]=0),1,0)</f>
        <v>1</v>
      </c>
      <c r="AN434" s="25">
        <f>VLOOKUP(tblMeasure[[#This Row],[src_pub_frequency]],strlu_src_pub_frequency,2,FALSE)</f>
        <v>0.5</v>
      </c>
      <c r="AO434" s="25">
        <f>VLOOKUP(tblMeasure[[#This Row],[src_pub_lag_months]],strlu_src_pub_lag_months,2,FALSE)</f>
        <v>0.1</v>
      </c>
      <c r="AP434" s="25">
        <f>VLOOKUP(tblMeasure[[#This Row],[src_statistic_class]],strlu_src_statistic_class,2,FALSE)</f>
        <v>0</v>
      </c>
      <c r="AQ434" s="25">
        <f>IF(tblMeasure[[#This Row],[src_methodology_url]]="TBD",0,1)</f>
        <v>1</v>
      </c>
      <c r="AR434" s="25">
        <f>IF(tblMeasure[[#This Row],[src_quality_url]]="TBD",0,1)</f>
        <v>0</v>
      </c>
      <c r="AS434" s="85" cm="1">
        <f t="array" ref="AS434">SUMPRODUCT(TRANSPOSE(tblMeasure[[#This Row],[str_msr_population_or_survey]:[str_src_quality_url]]),str_weights)/str_weights_total</f>
        <v>0.33846153846153848</v>
      </c>
    </row>
    <row r="435" spans="1:45" hidden="1" x14ac:dyDescent="0.15">
      <c r="A435" s="30">
        <v>433</v>
      </c>
      <c r="B435" s="32">
        <f>COUNTIF(requirement_measure_map!$D$3:$D$1514,measure!A435)</f>
        <v>0</v>
      </c>
      <c r="C435" s="30" t="s">
        <v>800</v>
      </c>
      <c r="D435" s="15" t="s">
        <v>1356</v>
      </c>
      <c r="E435" s="15" t="s">
        <v>1416</v>
      </c>
      <c r="F435" s="15" t="s">
        <v>1417</v>
      </c>
      <c r="G435" s="13" t="s">
        <v>1359</v>
      </c>
      <c r="H435" s="15"/>
      <c r="I435" s="15" t="s">
        <v>429</v>
      </c>
      <c r="J435" s="15" t="s">
        <v>1360</v>
      </c>
      <c r="K435" s="15" t="s">
        <v>239</v>
      </c>
      <c r="L435" s="15" t="s">
        <v>233</v>
      </c>
      <c r="M435" s="15" t="s">
        <v>746</v>
      </c>
      <c r="N435" s="15" t="s">
        <v>267</v>
      </c>
      <c r="O435" s="15" t="s">
        <v>1362</v>
      </c>
      <c r="P435" s="15" t="s">
        <v>219</v>
      </c>
      <c r="Q435" s="15" t="s">
        <v>219</v>
      </c>
      <c r="R435" s="15" t="s">
        <v>219</v>
      </c>
      <c r="S435" s="15" t="s">
        <v>219</v>
      </c>
      <c r="T435" s="15" t="s">
        <v>219</v>
      </c>
      <c r="U435" s="15" t="s">
        <v>219</v>
      </c>
      <c r="V435" s="15" t="s">
        <v>219</v>
      </c>
      <c r="W435" s="15">
        <v>32</v>
      </c>
      <c r="X435" s="15" t="str">
        <f>_xlfn.XLOOKUP(tblMeasure[[#This Row],[id_src]],tblSource[id_src],tblSource[org])</f>
        <v xml:space="preserve">NIH National Institute of Ageing </v>
      </c>
      <c r="Y435" s="25" t="str">
        <f>_xlfn.XLOOKUP(tblMeasure[[#This Row],[id_src]],tblSource[id_src],tblSource[source])</f>
        <v>English Longitudinal Study of Ageing</v>
      </c>
      <c r="Z435" s="25" t="str">
        <f>_xlfn.XLOOKUP(tblMeasure[[#This Row],[id_src]],tblSource[id_src],tblSource[url_source])</f>
        <v>https://www.ifs.org.uk/uploads/ELSA_Wave_8_report.pdf</v>
      </c>
      <c r="AA435" s="25">
        <f>_xlfn.XLOOKUP(tblMeasure[[#This Row],[id_src]],tblSource[id_src],tblSource[year_first_published])</f>
        <v>2002</v>
      </c>
      <c r="AB435" s="25">
        <f>_xlfn.XLOOKUP(tblMeasure[[#This Row],[id_src]],tblSource[id_src],tblSource[year_last_published])</f>
        <v>2018</v>
      </c>
      <c r="AC435" s="25">
        <f>_xlfn.XLOOKUP(tblMeasure[[#This Row],[id_src]],tblSource[id_src],tblSource[discontinuity])</f>
        <v>0</v>
      </c>
      <c r="AD435" s="25" t="str">
        <f>_xlfn.XLOOKUP(tblMeasure[[#This Row],[id_src]],tblSource[id_src],tblSource[publication_frequency])</f>
        <v>Biennial</v>
      </c>
      <c r="AE435" s="15">
        <f>_xlfn.XLOOKUP(tblMeasure[[#This Row],[id_src]],tblSource[id_src],tblSource[publication_lag_months])</f>
        <v>10</v>
      </c>
      <c r="AF435" s="25" t="str">
        <f>_xlfn.XLOOKUP(tblMeasure[[#This Row],[id_src]],tblSource[id_src],tblSource[data_providers])</f>
        <v>UCL, IFS, Manchester University, NatCen, UEA</v>
      </c>
      <c r="AG435" s="25" t="str">
        <f>_xlfn.XLOOKUP(tblMeasure[[#This Row],[id_src]],tblSource[id_src],tblSource[statistic_class])</f>
        <v>TBD</v>
      </c>
      <c r="AH435" s="25" t="str">
        <f>_xlfn.XLOOKUP(tblMeasure[[#This Row],[id_src]],tblSource[id_src],tblSource[methodology_link])</f>
        <v>https://www.ifs.org.uk/uploads/ELSA_Wave_8_report.pdf</v>
      </c>
      <c r="AI435" s="25" t="str">
        <f>_xlfn.XLOOKUP(tblMeasure[[#This Row],[id_src]],tblSource[id_src],tblSource[quality_issues])</f>
        <v>TBD</v>
      </c>
      <c r="AJ435" s="25">
        <f>VLOOKUP(tblMeasure[[#This Row],[msr_population_or_survey]],strlu_msr_population_or_survey,2,FALSE)</f>
        <v>0</v>
      </c>
      <c r="AK435" s="25">
        <f>VLOOKUP(tblMeasure[[#This Row],[msr_min_geo_resolution]],strlu_msr_min_geo_resolution,2,FALSE)</f>
        <v>0</v>
      </c>
      <c r="AL435" s="25">
        <f>(MAX(tblMeasure[[#This Row],[src_year_last_published]]-2010+1,0)+MIN(2010-tblMeasure[[#This Row],[src_year_first_published]],0)-MAX(tblMeasure[[#This Row],[src_year_last_published]]-2019,0))/10</f>
        <v>0.9</v>
      </c>
      <c r="AM435" s="25">
        <f>IF(OR(tblMeasure[[#This Row],[src_discontinuity]]="None",tblMeasure[[#This Row],[src_discontinuity]]=0),1,0)</f>
        <v>1</v>
      </c>
      <c r="AN435" s="25">
        <f>VLOOKUP(tblMeasure[[#This Row],[src_pub_frequency]],strlu_src_pub_frequency,2,FALSE)</f>
        <v>0.5</v>
      </c>
      <c r="AO435" s="25">
        <f>VLOOKUP(tblMeasure[[#This Row],[src_pub_lag_months]],strlu_src_pub_lag_months,2,FALSE)</f>
        <v>0.1</v>
      </c>
      <c r="AP435" s="25">
        <f>VLOOKUP(tblMeasure[[#This Row],[src_statistic_class]],strlu_src_statistic_class,2,FALSE)</f>
        <v>0</v>
      </c>
      <c r="AQ435" s="25">
        <f>IF(tblMeasure[[#This Row],[src_methodology_url]]="TBD",0,1)</f>
        <v>1</v>
      </c>
      <c r="AR435" s="25">
        <f>IF(tblMeasure[[#This Row],[src_quality_url]]="TBD",0,1)</f>
        <v>0</v>
      </c>
      <c r="AS435" s="85" cm="1">
        <f t="array" ref="AS435">SUMPRODUCT(TRANSPOSE(tblMeasure[[#This Row],[str_msr_population_or_survey]:[str_src_quality_url]]),str_weights)/str_weights_total</f>
        <v>0.33846153846153848</v>
      </c>
    </row>
    <row r="436" spans="1:45" hidden="1" x14ac:dyDescent="0.15">
      <c r="A436" s="30">
        <v>434</v>
      </c>
      <c r="B436" s="32">
        <f>COUNTIF(requirement_measure_map!$D$3:$D$1514,measure!A436)</f>
        <v>0</v>
      </c>
      <c r="C436" s="30" t="s">
        <v>800</v>
      </c>
      <c r="D436" s="15" t="s">
        <v>1356</v>
      </c>
      <c r="E436" s="15" t="s">
        <v>1418</v>
      </c>
      <c r="F436" s="15" t="s">
        <v>1419</v>
      </c>
      <c r="G436" s="13" t="s">
        <v>1359</v>
      </c>
      <c r="H436" s="15"/>
      <c r="I436" s="15" t="s">
        <v>429</v>
      </c>
      <c r="J436" s="15" t="s">
        <v>1360</v>
      </c>
      <c r="K436" s="15" t="s">
        <v>239</v>
      </c>
      <c r="L436" s="15" t="s">
        <v>233</v>
      </c>
      <c r="M436" s="15" t="s">
        <v>746</v>
      </c>
      <c r="N436" s="15" t="s">
        <v>267</v>
      </c>
      <c r="O436" s="15" t="s">
        <v>1362</v>
      </c>
      <c r="P436" s="15" t="s">
        <v>219</v>
      </c>
      <c r="Q436" s="15" t="s">
        <v>219</v>
      </c>
      <c r="R436" s="15" t="s">
        <v>219</v>
      </c>
      <c r="S436" s="15" t="s">
        <v>219</v>
      </c>
      <c r="T436" s="15" t="s">
        <v>219</v>
      </c>
      <c r="U436" s="15" t="s">
        <v>219</v>
      </c>
      <c r="V436" s="15" t="s">
        <v>219</v>
      </c>
      <c r="W436" s="15">
        <v>32</v>
      </c>
      <c r="X436" s="15" t="str">
        <f>_xlfn.XLOOKUP(tblMeasure[[#This Row],[id_src]],tblSource[id_src],tblSource[org])</f>
        <v xml:space="preserve">NIH National Institute of Ageing </v>
      </c>
      <c r="Y436" s="25" t="str">
        <f>_xlfn.XLOOKUP(tblMeasure[[#This Row],[id_src]],tblSource[id_src],tblSource[source])</f>
        <v>English Longitudinal Study of Ageing</v>
      </c>
      <c r="Z436" s="25" t="str">
        <f>_xlfn.XLOOKUP(tblMeasure[[#This Row],[id_src]],tblSource[id_src],tblSource[url_source])</f>
        <v>https://www.ifs.org.uk/uploads/ELSA_Wave_8_report.pdf</v>
      </c>
      <c r="AA436" s="25">
        <f>_xlfn.XLOOKUP(tblMeasure[[#This Row],[id_src]],tblSource[id_src],tblSource[year_first_published])</f>
        <v>2002</v>
      </c>
      <c r="AB436" s="25">
        <f>_xlfn.XLOOKUP(tblMeasure[[#This Row],[id_src]],tblSource[id_src],tblSource[year_last_published])</f>
        <v>2018</v>
      </c>
      <c r="AC436" s="25">
        <f>_xlfn.XLOOKUP(tblMeasure[[#This Row],[id_src]],tblSource[id_src],tblSource[discontinuity])</f>
        <v>0</v>
      </c>
      <c r="AD436" s="25" t="str">
        <f>_xlfn.XLOOKUP(tblMeasure[[#This Row],[id_src]],tblSource[id_src],tblSource[publication_frequency])</f>
        <v>Biennial</v>
      </c>
      <c r="AE436" s="15">
        <f>_xlfn.XLOOKUP(tblMeasure[[#This Row],[id_src]],tblSource[id_src],tblSource[publication_lag_months])</f>
        <v>10</v>
      </c>
      <c r="AF436" s="25" t="str">
        <f>_xlfn.XLOOKUP(tblMeasure[[#This Row],[id_src]],tblSource[id_src],tblSource[data_providers])</f>
        <v>UCL, IFS, Manchester University, NatCen, UEA</v>
      </c>
      <c r="AG436" s="25" t="str">
        <f>_xlfn.XLOOKUP(tblMeasure[[#This Row],[id_src]],tblSource[id_src],tblSource[statistic_class])</f>
        <v>TBD</v>
      </c>
      <c r="AH436" s="25" t="str">
        <f>_xlfn.XLOOKUP(tblMeasure[[#This Row],[id_src]],tblSource[id_src],tblSource[methodology_link])</f>
        <v>https://www.ifs.org.uk/uploads/ELSA_Wave_8_report.pdf</v>
      </c>
      <c r="AI436" s="25" t="str">
        <f>_xlfn.XLOOKUP(tblMeasure[[#This Row],[id_src]],tblSource[id_src],tblSource[quality_issues])</f>
        <v>TBD</v>
      </c>
      <c r="AJ436" s="25">
        <f>VLOOKUP(tblMeasure[[#This Row],[msr_population_or_survey]],strlu_msr_population_or_survey,2,FALSE)</f>
        <v>0</v>
      </c>
      <c r="AK436" s="25">
        <f>VLOOKUP(tblMeasure[[#This Row],[msr_min_geo_resolution]],strlu_msr_min_geo_resolution,2,FALSE)</f>
        <v>0</v>
      </c>
      <c r="AL436" s="25">
        <f>(MAX(tblMeasure[[#This Row],[src_year_last_published]]-2010+1,0)+MIN(2010-tblMeasure[[#This Row],[src_year_first_published]],0)-MAX(tblMeasure[[#This Row],[src_year_last_published]]-2019,0))/10</f>
        <v>0.9</v>
      </c>
      <c r="AM436" s="25">
        <f>IF(OR(tblMeasure[[#This Row],[src_discontinuity]]="None",tblMeasure[[#This Row],[src_discontinuity]]=0),1,0)</f>
        <v>1</v>
      </c>
      <c r="AN436" s="25">
        <f>VLOOKUP(tblMeasure[[#This Row],[src_pub_frequency]],strlu_src_pub_frequency,2,FALSE)</f>
        <v>0.5</v>
      </c>
      <c r="AO436" s="25">
        <f>VLOOKUP(tblMeasure[[#This Row],[src_pub_lag_months]],strlu_src_pub_lag_months,2,FALSE)</f>
        <v>0.1</v>
      </c>
      <c r="AP436" s="25">
        <f>VLOOKUP(tblMeasure[[#This Row],[src_statistic_class]],strlu_src_statistic_class,2,FALSE)</f>
        <v>0</v>
      </c>
      <c r="AQ436" s="25">
        <f>IF(tblMeasure[[#This Row],[src_methodology_url]]="TBD",0,1)</f>
        <v>1</v>
      </c>
      <c r="AR436" s="25">
        <f>IF(tblMeasure[[#This Row],[src_quality_url]]="TBD",0,1)</f>
        <v>0</v>
      </c>
      <c r="AS436" s="85" cm="1">
        <f t="array" ref="AS436">SUMPRODUCT(TRANSPOSE(tblMeasure[[#This Row],[str_msr_population_or_survey]:[str_src_quality_url]]),str_weights)/str_weights_total</f>
        <v>0.33846153846153848</v>
      </c>
    </row>
    <row r="437" spans="1:45" hidden="1" x14ac:dyDescent="0.15">
      <c r="A437" s="30">
        <v>435</v>
      </c>
      <c r="B437" s="32">
        <f>COUNTIF(requirement_measure_map!$D$3:$D$1514,measure!A437)</f>
        <v>0</v>
      </c>
      <c r="C437" s="30" t="s">
        <v>800</v>
      </c>
      <c r="D437" s="15" t="s">
        <v>1356</v>
      </c>
      <c r="E437" s="15" t="s">
        <v>1420</v>
      </c>
      <c r="F437" s="15" t="s">
        <v>1421</v>
      </c>
      <c r="G437" s="13" t="s">
        <v>1359</v>
      </c>
      <c r="H437" s="15"/>
      <c r="I437" s="15" t="s">
        <v>429</v>
      </c>
      <c r="J437" s="15" t="s">
        <v>1360</v>
      </c>
      <c r="K437" s="15" t="s">
        <v>239</v>
      </c>
      <c r="L437" s="15" t="s">
        <v>233</v>
      </c>
      <c r="M437" s="15" t="s">
        <v>746</v>
      </c>
      <c r="N437" s="15" t="s">
        <v>267</v>
      </c>
      <c r="O437" s="15" t="s">
        <v>1362</v>
      </c>
      <c r="P437" s="15" t="s">
        <v>219</v>
      </c>
      <c r="Q437" s="15" t="s">
        <v>219</v>
      </c>
      <c r="R437" s="15" t="s">
        <v>219</v>
      </c>
      <c r="S437" s="15" t="s">
        <v>219</v>
      </c>
      <c r="T437" s="15" t="s">
        <v>219</v>
      </c>
      <c r="U437" s="15" t="s">
        <v>219</v>
      </c>
      <c r="V437" s="15" t="s">
        <v>219</v>
      </c>
      <c r="W437" s="15">
        <v>32</v>
      </c>
      <c r="X437" s="15" t="str">
        <f>_xlfn.XLOOKUP(tblMeasure[[#This Row],[id_src]],tblSource[id_src],tblSource[org])</f>
        <v xml:space="preserve">NIH National Institute of Ageing </v>
      </c>
      <c r="Y437" s="25" t="str">
        <f>_xlfn.XLOOKUP(tblMeasure[[#This Row],[id_src]],tblSource[id_src],tblSource[source])</f>
        <v>English Longitudinal Study of Ageing</v>
      </c>
      <c r="Z437" s="25" t="str">
        <f>_xlfn.XLOOKUP(tblMeasure[[#This Row],[id_src]],tblSource[id_src],tblSource[url_source])</f>
        <v>https://www.ifs.org.uk/uploads/ELSA_Wave_8_report.pdf</v>
      </c>
      <c r="AA437" s="25">
        <f>_xlfn.XLOOKUP(tblMeasure[[#This Row],[id_src]],tblSource[id_src],tblSource[year_first_published])</f>
        <v>2002</v>
      </c>
      <c r="AB437" s="25">
        <f>_xlfn.XLOOKUP(tblMeasure[[#This Row],[id_src]],tblSource[id_src],tblSource[year_last_published])</f>
        <v>2018</v>
      </c>
      <c r="AC437" s="25">
        <f>_xlfn.XLOOKUP(tblMeasure[[#This Row],[id_src]],tblSource[id_src],tblSource[discontinuity])</f>
        <v>0</v>
      </c>
      <c r="AD437" s="25" t="str">
        <f>_xlfn.XLOOKUP(tblMeasure[[#This Row],[id_src]],tblSource[id_src],tblSource[publication_frequency])</f>
        <v>Biennial</v>
      </c>
      <c r="AE437" s="15">
        <f>_xlfn.XLOOKUP(tblMeasure[[#This Row],[id_src]],tblSource[id_src],tblSource[publication_lag_months])</f>
        <v>10</v>
      </c>
      <c r="AF437" s="25" t="str">
        <f>_xlfn.XLOOKUP(tblMeasure[[#This Row],[id_src]],tblSource[id_src],tblSource[data_providers])</f>
        <v>UCL, IFS, Manchester University, NatCen, UEA</v>
      </c>
      <c r="AG437" s="25" t="str">
        <f>_xlfn.XLOOKUP(tblMeasure[[#This Row],[id_src]],tblSource[id_src],tblSource[statistic_class])</f>
        <v>TBD</v>
      </c>
      <c r="AH437" s="25" t="str">
        <f>_xlfn.XLOOKUP(tblMeasure[[#This Row],[id_src]],tblSource[id_src],tblSource[methodology_link])</f>
        <v>https://www.ifs.org.uk/uploads/ELSA_Wave_8_report.pdf</v>
      </c>
      <c r="AI437" s="25" t="str">
        <f>_xlfn.XLOOKUP(tblMeasure[[#This Row],[id_src]],tblSource[id_src],tblSource[quality_issues])</f>
        <v>TBD</v>
      </c>
      <c r="AJ437" s="25">
        <f>VLOOKUP(tblMeasure[[#This Row],[msr_population_or_survey]],strlu_msr_population_or_survey,2,FALSE)</f>
        <v>0</v>
      </c>
      <c r="AK437" s="25">
        <f>VLOOKUP(tblMeasure[[#This Row],[msr_min_geo_resolution]],strlu_msr_min_geo_resolution,2,FALSE)</f>
        <v>0</v>
      </c>
      <c r="AL437" s="25">
        <f>(MAX(tblMeasure[[#This Row],[src_year_last_published]]-2010+1,0)+MIN(2010-tblMeasure[[#This Row],[src_year_first_published]],0)-MAX(tblMeasure[[#This Row],[src_year_last_published]]-2019,0))/10</f>
        <v>0.9</v>
      </c>
      <c r="AM437" s="25">
        <f>IF(OR(tblMeasure[[#This Row],[src_discontinuity]]="None",tblMeasure[[#This Row],[src_discontinuity]]=0),1,0)</f>
        <v>1</v>
      </c>
      <c r="AN437" s="25">
        <f>VLOOKUP(tblMeasure[[#This Row],[src_pub_frequency]],strlu_src_pub_frequency,2,FALSE)</f>
        <v>0.5</v>
      </c>
      <c r="AO437" s="25">
        <f>VLOOKUP(tblMeasure[[#This Row],[src_pub_lag_months]],strlu_src_pub_lag_months,2,FALSE)</f>
        <v>0.1</v>
      </c>
      <c r="AP437" s="25">
        <f>VLOOKUP(tblMeasure[[#This Row],[src_statistic_class]],strlu_src_statistic_class,2,FALSE)</f>
        <v>0</v>
      </c>
      <c r="AQ437" s="25">
        <f>IF(tblMeasure[[#This Row],[src_methodology_url]]="TBD",0,1)</f>
        <v>1</v>
      </c>
      <c r="AR437" s="25">
        <f>IF(tblMeasure[[#This Row],[src_quality_url]]="TBD",0,1)</f>
        <v>0</v>
      </c>
      <c r="AS437" s="85" cm="1">
        <f t="array" ref="AS437">SUMPRODUCT(TRANSPOSE(tblMeasure[[#This Row],[str_msr_population_or_survey]:[str_src_quality_url]]),str_weights)/str_weights_total</f>
        <v>0.33846153846153848</v>
      </c>
    </row>
    <row r="438" spans="1:45" hidden="1" x14ac:dyDescent="0.15">
      <c r="A438" s="30">
        <v>436</v>
      </c>
      <c r="B438" s="32">
        <f>COUNTIF(requirement_measure_map!$D$3:$D$1514,measure!A438)</f>
        <v>0</v>
      </c>
      <c r="C438" s="30" t="s">
        <v>800</v>
      </c>
      <c r="D438" s="15" t="s">
        <v>1356</v>
      </c>
      <c r="E438" s="15" t="s">
        <v>1422</v>
      </c>
      <c r="F438" s="15" t="s">
        <v>1423</v>
      </c>
      <c r="G438" s="13" t="s">
        <v>1359</v>
      </c>
      <c r="H438" s="15"/>
      <c r="I438" s="15" t="s">
        <v>429</v>
      </c>
      <c r="J438" s="15" t="s">
        <v>1360</v>
      </c>
      <c r="K438" s="15" t="s">
        <v>239</v>
      </c>
      <c r="L438" s="15" t="s">
        <v>233</v>
      </c>
      <c r="M438" s="15" t="s">
        <v>746</v>
      </c>
      <c r="N438" s="15" t="s">
        <v>267</v>
      </c>
      <c r="O438" s="15" t="s">
        <v>1362</v>
      </c>
      <c r="P438" s="15" t="s">
        <v>219</v>
      </c>
      <c r="Q438" s="15" t="s">
        <v>219</v>
      </c>
      <c r="R438" s="15" t="s">
        <v>219</v>
      </c>
      <c r="S438" s="15" t="s">
        <v>219</v>
      </c>
      <c r="T438" s="15" t="s">
        <v>219</v>
      </c>
      <c r="U438" s="15" t="s">
        <v>219</v>
      </c>
      <c r="V438" s="15" t="s">
        <v>219</v>
      </c>
      <c r="W438" s="15">
        <v>32</v>
      </c>
      <c r="X438" s="15" t="str">
        <f>_xlfn.XLOOKUP(tblMeasure[[#This Row],[id_src]],tblSource[id_src],tblSource[org])</f>
        <v xml:space="preserve">NIH National Institute of Ageing </v>
      </c>
      <c r="Y438" s="25" t="str">
        <f>_xlfn.XLOOKUP(tblMeasure[[#This Row],[id_src]],tblSource[id_src],tblSource[source])</f>
        <v>English Longitudinal Study of Ageing</v>
      </c>
      <c r="Z438" s="25" t="str">
        <f>_xlfn.XLOOKUP(tblMeasure[[#This Row],[id_src]],tblSource[id_src],tblSource[url_source])</f>
        <v>https://www.ifs.org.uk/uploads/ELSA_Wave_8_report.pdf</v>
      </c>
      <c r="AA438" s="25">
        <f>_xlfn.XLOOKUP(tblMeasure[[#This Row],[id_src]],tblSource[id_src],tblSource[year_first_published])</f>
        <v>2002</v>
      </c>
      <c r="AB438" s="25">
        <f>_xlfn.XLOOKUP(tblMeasure[[#This Row],[id_src]],tblSource[id_src],tblSource[year_last_published])</f>
        <v>2018</v>
      </c>
      <c r="AC438" s="25">
        <f>_xlfn.XLOOKUP(tblMeasure[[#This Row],[id_src]],tblSource[id_src],tblSource[discontinuity])</f>
        <v>0</v>
      </c>
      <c r="AD438" s="25" t="str">
        <f>_xlfn.XLOOKUP(tblMeasure[[#This Row],[id_src]],tblSource[id_src],tblSource[publication_frequency])</f>
        <v>Biennial</v>
      </c>
      <c r="AE438" s="15">
        <f>_xlfn.XLOOKUP(tblMeasure[[#This Row],[id_src]],tblSource[id_src],tblSource[publication_lag_months])</f>
        <v>10</v>
      </c>
      <c r="AF438" s="25" t="str">
        <f>_xlfn.XLOOKUP(tblMeasure[[#This Row],[id_src]],tblSource[id_src],tblSource[data_providers])</f>
        <v>UCL, IFS, Manchester University, NatCen, UEA</v>
      </c>
      <c r="AG438" s="25" t="str">
        <f>_xlfn.XLOOKUP(tblMeasure[[#This Row],[id_src]],tblSource[id_src],tblSource[statistic_class])</f>
        <v>TBD</v>
      </c>
      <c r="AH438" s="25" t="str">
        <f>_xlfn.XLOOKUP(tblMeasure[[#This Row],[id_src]],tblSource[id_src],tblSource[methodology_link])</f>
        <v>https://www.ifs.org.uk/uploads/ELSA_Wave_8_report.pdf</v>
      </c>
      <c r="AI438" s="25" t="str">
        <f>_xlfn.XLOOKUP(tblMeasure[[#This Row],[id_src]],tblSource[id_src],tblSource[quality_issues])</f>
        <v>TBD</v>
      </c>
      <c r="AJ438" s="25">
        <f>VLOOKUP(tblMeasure[[#This Row],[msr_population_or_survey]],strlu_msr_population_or_survey,2,FALSE)</f>
        <v>0</v>
      </c>
      <c r="AK438" s="25">
        <f>VLOOKUP(tblMeasure[[#This Row],[msr_min_geo_resolution]],strlu_msr_min_geo_resolution,2,FALSE)</f>
        <v>0</v>
      </c>
      <c r="AL438" s="25">
        <f>(MAX(tblMeasure[[#This Row],[src_year_last_published]]-2010+1,0)+MIN(2010-tblMeasure[[#This Row],[src_year_first_published]],0)-MAX(tblMeasure[[#This Row],[src_year_last_published]]-2019,0))/10</f>
        <v>0.9</v>
      </c>
      <c r="AM438" s="25">
        <f>IF(OR(tblMeasure[[#This Row],[src_discontinuity]]="None",tblMeasure[[#This Row],[src_discontinuity]]=0),1,0)</f>
        <v>1</v>
      </c>
      <c r="AN438" s="25">
        <f>VLOOKUP(tblMeasure[[#This Row],[src_pub_frequency]],strlu_src_pub_frequency,2,FALSE)</f>
        <v>0.5</v>
      </c>
      <c r="AO438" s="25">
        <f>VLOOKUP(tblMeasure[[#This Row],[src_pub_lag_months]],strlu_src_pub_lag_months,2,FALSE)</f>
        <v>0.1</v>
      </c>
      <c r="AP438" s="25">
        <f>VLOOKUP(tblMeasure[[#This Row],[src_statistic_class]],strlu_src_statistic_class,2,FALSE)</f>
        <v>0</v>
      </c>
      <c r="AQ438" s="25">
        <f>IF(tblMeasure[[#This Row],[src_methodology_url]]="TBD",0,1)</f>
        <v>1</v>
      </c>
      <c r="AR438" s="25">
        <f>IF(tblMeasure[[#This Row],[src_quality_url]]="TBD",0,1)</f>
        <v>0</v>
      </c>
      <c r="AS438" s="85" cm="1">
        <f t="array" ref="AS438">SUMPRODUCT(TRANSPOSE(tblMeasure[[#This Row],[str_msr_population_or_survey]:[str_src_quality_url]]),str_weights)/str_weights_total</f>
        <v>0.33846153846153848</v>
      </c>
    </row>
    <row r="439" spans="1:45" hidden="1" x14ac:dyDescent="0.15">
      <c r="A439" s="30">
        <v>437</v>
      </c>
      <c r="B439" s="32">
        <f>COUNTIF(requirement_measure_map!$D$3:$D$1514,measure!A439)</f>
        <v>0</v>
      </c>
      <c r="C439" s="30" t="s">
        <v>800</v>
      </c>
      <c r="D439" s="15" t="s">
        <v>1356</v>
      </c>
      <c r="E439" s="15" t="s">
        <v>1424</v>
      </c>
      <c r="F439" s="15" t="s">
        <v>1425</v>
      </c>
      <c r="G439" s="13" t="s">
        <v>1359</v>
      </c>
      <c r="H439" s="15"/>
      <c r="I439" s="15" t="s">
        <v>429</v>
      </c>
      <c r="J439" s="15" t="s">
        <v>1360</v>
      </c>
      <c r="K439" s="15" t="s">
        <v>239</v>
      </c>
      <c r="L439" s="15" t="s">
        <v>233</v>
      </c>
      <c r="M439" s="15" t="s">
        <v>349</v>
      </c>
      <c r="N439" s="15" t="s">
        <v>243</v>
      </c>
      <c r="O439" s="15" t="s">
        <v>1362</v>
      </c>
      <c r="P439" s="15" t="s">
        <v>219</v>
      </c>
      <c r="Q439" s="15" t="s">
        <v>219</v>
      </c>
      <c r="R439" s="15" t="s">
        <v>219</v>
      </c>
      <c r="S439" s="15" t="s">
        <v>219</v>
      </c>
      <c r="T439" s="15" t="s">
        <v>219</v>
      </c>
      <c r="U439" s="15" t="s">
        <v>219</v>
      </c>
      <c r="V439" s="15" t="s">
        <v>219</v>
      </c>
      <c r="W439" s="15">
        <v>32</v>
      </c>
      <c r="X439" s="15" t="str">
        <f>_xlfn.XLOOKUP(tblMeasure[[#This Row],[id_src]],tblSource[id_src],tblSource[org])</f>
        <v xml:space="preserve">NIH National Institute of Ageing </v>
      </c>
      <c r="Y439" s="25" t="str">
        <f>_xlfn.XLOOKUP(tblMeasure[[#This Row],[id_src]],tblSource[id_src],tblSource[source])</f>
        <v>English Longitudinal Study of Ageing</v>
      </c>
      <c r="Z439" s="25" t="str">
        <f>_xlfn.XLOOKUP(tblMeasure[[#This Row],[id_src]],tblSource[id_src],tblSource[url_source])</f>
        <v>https://www.ifs.org.uk/uploads/ELSA_Wave_8_report.pdf</v>
      </c>
      <c r="AA439" s="25">
        <f>_xlfn.XLOOKUP(tblMeasure[[#This Row],[id_src]],tblSource[id_src],tblSource[year_first_published])</f>
        <v>2002</v>
      </c>
      <c r="AB439" s="25">
        <f>_xlfn.XLOOKUP(tblMeasure[[#This Row],[id_src]],tblSource[id_src],tblSource[year_last_published])</f>
        <v>2018</v>
      </c>
      <c r="AC439" s="25">
        <f>_xlfn.XLOOKUP(tblMeasure[[#This Row],[id_src]],tblSource[id_src],tblSource[discontinuity])</f>
        <v>0</v>
      </c>
      <c r="AD439" s="25" t="str">
        <f>_xlfn.XLOOKUP(tblMeasure[[#This Row],[id_src]],tblSource[id_src],tblSource[publication_frequency])</f>
        <v>Biennial</v>
      </c>
      <c r="AE439" s="15">
        <f>_xlfn.XLOOKUP(tblMeasure[[#This Row],[id_src]],tblSource[id_src],tblSource[publication_lag_months])</f>
        <v>10</v>
      </c>
      <c r="AF439" s="25" t="str">
        <f>_xlfn.XLOOKUP(tblMeasure[[#This Row],[id_src]],tblSource[id_src],tblSource[data_providers])</f>
        <v>UCL, IFS, Manchester University, NatCen, UEA</v>
      </c>
      <c r="AG439" s="25" t="str">
        <f>_xlfn.XLOOKUP(tblMeasure[[#This Row],[id_src]],tblSource[id_src],tblSource[statistic_class])</f>
        <v>TBD</v>
      </c>
      <c r="AH439" s="25" t="str">
        <f>_xlfn.XLOOKUP(tblMeasure[[#This Row],[id_src]],tblSource[id_src],tblSource[methodology_link])</f>
        <v>https://www.ifs.org.uk/uploads/ELSA_Wave_8_report.pdf</v>
      </c>
      <c r="AI439" s="25" t="str">
        <f>_xlfn.XLOOKUP(tblMeasure[[#This Row],[id_src]],tblSource[id_src],tblSource[quality_issues])</f>
        <v>TBD</v>
      </c>
      <c r="AJ439" s="25">
        <f>VLOOKUP(tblMeasure[[#This Row],[msr_population_or_survey]],strlu_msr_population_or_survey,2,FALSE)</f>
        <v>0</v>
      </c>
      <c r="AK439" s="25">
        <f>VLOOKUP(tblMeasure[[#This Row],[msr_min_geo_resolution]],strlu_msr_min_geo_resolution,2,FALSE)</f>
        <v>0</v>
      </c>
      <c r="AL439" s="25">
        <f>(MAX(tblMeasure[[#This Row],[src_year_last_published]]-2010+1,0)+MIN(2010-tblMeasure[[#This Row],[src_year_first_published]],0)-MAX(tblMeasure[[#This Row],[src_year_last_published]]-2019,0))/10</f>
        <v>0.9</v>
      </c>
      <c r="AM439" s="25">
        <f>IF(OR(tblMeasure[[#This Row],[src_discontinuity]]="None",tblMeasure[[#This Row],[src_discontinuity]]=0),1,0)</f>
        <v>1</v>
      </c>
      <c r="AN439" s="25">
        <f>VLOOKUP(tblMeasure[[#This Row],[src_pub_frequency]],strlu_src_pub_frequency,2,FALSE)</f>
        <v>0.5</v>
      </c>
      <c r="AO439" s="25">
        <f>VLOOKUP(tblMeasure[[#This Row],[src_pub_lag_months]],strlu_src_pub_lag_months,2,FALSE)</f>
        <v>0.1</v>
      </c>
      <c r="AP439" s="25">
        <f>VLOOKUP(tblMeasure[[#This Row],[src_statistic_class]],strlu_src_statistic_class,2,FALSE)</f>
        <v>0</v>
      </c>
      <c r="AQ439" s="25">
        <f>IF(tblMeasure[[#This Row],[src_methodology_url]]="TBD",0,1)</f>
        <v>1</v>
      </c>
      <c r="AR439" s="25">
        <f>IF(tblMeasure[[#This Row],[src_quality_url]]="TBD",0,1)</f>
        <v>0</v>
      </c>
      <c r="AS439" s="85" cm="1">
        <f t="array" ref="AS439">SUMPRODUCT(TRANSPOSE(tblMeasure[[#This Row],[str_msr_population_or_survey]:[str_src_quality_url]]),str_weights)/str_weights_total</f>
        <v>0.33846153846153848</v>
      </c>
    </row>
    <row r="440" spans="1:45" hidden="1" x14ac:dyDescent="0.15">
      <c r="A440" s="30">
        <v>438</v>
      </c>
      <c r="B440" s="32">
        <f>COUNTIF(requirement_measure_map!$D$3:$D$1514,measure!A440)</f>
        <v>0</v>
      </c>
      <c r="C440" s="30" t="s">
        <v>800</v>
      </c>
      <c r="D440" s="15" t="s">
        <v>1356</v>
      </c>
      <c r="E440" s="15" t="s">
        <v>1426</v>
      </c>
      <c r="F440" s="15" t="s">
        <v>1427</v>
      </c>
      <c r="G440" s="13" t="s">
        <v>1359</v>
      </c>
      <c r="H440" s="15"/>
      <c r="I440" s="15" t="s">
        <v>429</v>
      </c>
      <c r="J440" s="15" t="s">
        <v>1360</v>
      </c>
      <c r="K440" s="15" t="s">
        <v>1428</v>
      </c>
      <c r="L440" s="15" t="s">
        <v>233</v>
      </c>
      <c r="M440" s="15" t="s">
        <v>349</v>
      </c>
      <c r="N440" s="15" t="s">
        <v>746</v>
      </c>
      <c r="O440" s="15" t="s">
        <v>1362</v>
      </c>
      <c r="P440" s="15" t="s">
        <v>219</v>
      </c>
      <c r="Q440" s="15" t="s">
        <v>219</v>
      </c>
      <c r="R440" s="15" t="s">
        <v>219</v>
      </c>
      <c r="S440" s="15" t="s">
        <v>219</v>
      </c>
      <c r="T440" s="15" t="s">
        <v>219</v>
      </c>
      <c r="U440" s="15" t="s">
        <v>219</v>
      </c>
      <c r="V440" s="15" t="s">
        <v>219</v>
      </c>
      <c r="W440" s="15">
        <v>32</v>
      </c>
      <c r="X440" s="15" t="str">
        <f>_xlfn.XLOOKUP(tblMeasure[[#This Row],[id_src]],tblSource[id_src],tblSource[org])</f>
        <v xml:space="preserve">NIH National Institute of Ageing </v>
      </c>
      <c r="Y440" s="25" t="str">
        <f>_xlfn.XLOOKUP(tblMeasure[[#This Row],[id_src]],tblSource[id_src],tblSource[source])</f>
        <v>English Longitudinal Study of Ageing</v>
      </c>
      <c r="Z440" s="25" t="str">
        <f>_xlfn.XLOOKUP(tblMeasure[[#This Row],[id_src]],tblSource[id_src],tblSource[url_source])</f>
        <v>https://www.ifs.org.uk/uploads/ELSA_Wave_8_report.pdf</v>
      </c>
      <c r="AA440" s="25">
        <f>_xlfn.XLOOKUP(tblMeasure[[#This Row],[id_src]],tblSource[id_src],tblSource[year_first_published])</f>
        <v>2002</v>
      </c>
      <c r="AB440" s="25">
        <f>_xlfn.XLOOKUP(tblMeasure[[#This Row],[id_src]],tblSource[id_src],tblSource[year_last_published])</f>
        <v>2018</v>
      </c>
      <c r="AC440" s="25">
        <f>_xlfn.XLOOKUP(tblMeasure[[#This Row],[id_src]],tblSource[id_src],tblSource[discontinuity])</f>
        <v>0</v>
      </c>
      <c r="AD440" s="25" t="str">
        <f>_xlfn.XLOOKUP(tblMeasure[[#This Row],[id_src]],tblSource[id_src],tblSource[publication_frequency])</f>
        <v>Biennial</v>
      </c>
      <c r="AE440" s="15">
        <f>_xlfn.XLOOKUP(tblMeasure[[#This Row],[id_src]],tblSource[id_src],tblSource[publication_lag_months])</f>
        <v>10</v>
      </c>
      <c r="AF440" s="25" t="str">
        <f>_xlfn.XLOOKUP(tblMeasure[[#This Row],[id_src]],tblSource[id_src],tblSource[data_providers])</f>
        <v>UCL, IFS, Manchester University, NatCen, UEA</v>
      </c>
      <c r="AG440" s="25" t="str">
        <f>_xlfn.XLOOKUP(tblMeasure[[#This Row],[id_src]],tblSource[id_src],tblSource[statistic_class])</f>
        <v>TBD</v>
      </c>
      <c r="AH440" s="25" t="str">
        <f>_xlfn.XLOOKUP(tblMeasure[[#This Row],[id_src]],tblSource[id_src],tblSource[methodology_link])</f>
        <v>https://www.ifs.org.uk/uploads/ELSA_Wave_8_report.pdf</v>
      </c>
      <c r="AI440" s="25" t="str">
        <f>_xlfn.XLOOKUP(tblMeasure[[#This Row],[id_src]],tblSource[id_src],tblSource[quality_issues])</f>
        <v>TBD</v>
      </c>
      <c r="AJ440" s="25">
        <f>VLOOKUP(tblMeasure[[#This Row],[msr_population_or_survey]],strlu_msr_population_or_survey,2,FALSE)</f>
        <v>0</v>
      </c>
      <c r="AK440" s="25">
        <f>VLOOKUP(tblMeasure[[#This Row],[msr_min_geo_resolution]],strlu_msr_min_geo_resolution,2,FALSE)</f>
        <v>0</v>
      </c>
      <c r="AL440" s="25">
        <f>(MAX(tblMeasure[[#This Row],[src_year_last_published]]-2010+1,0)+MIN(2010-tblMeasure[[#This Row],[src_year_first_published]],0)-MAX(tblMeasure[[#This Row],[src_year_last_published]]-2019,0))/10</f>
        <v>0.9</v>
      </c>
      <c r="AM440" s="25">
        <f>IF(OR(tblMeasure[[#This Row],[src_discontinuity]]="None",tblMeasure[[#This Row],[src_discontinuity]]=0),1,0)</f>
        <v>1</v>
      </c>
      <c r="AN440" s="25">
        <f>VLOOKUP(tblMeasure[[#This Row],[src_pub_frequency]],strlu_src_pub_frequency,2,FALSE)</f>
        <v>0.5</v>
      </c>
      <c r="AO440" s="25">
        <f>VLOOKUP(tblMeasure[[#This Row],[src_pub_lag_months]],strlu_src_pub_lag_months,2,FALSE)</f>
        <v>0.1</v>
      </c>
      <c r="AP440" s="25">
        <f>VLOOKUP(tblMeasure[[#This Row],[src_statistic_class]],strlu_src_statistic_class,2,FALSE)</f>
        <v>0</v>
      </c>
      <c r="AQ440" s="25">
        <f>IF(tblMeasure[[#This Row],[src_methodology_url]]="TBD",0,1)</f>
        <v>1</v>
      </c>
      <c r="AR440" s="25">
        <f>IF(tblMeasure[[#This Row],[src_quality_url]]="TBD",0,1)</f>
        <v>0</v>
      </c>
      <c r="AS440" s="85" cm="1">
        <f t="array" ref="AS440">SUMPRODUCT(TRANSPOSE(tblMeasure[[#This Row],[str_msr_population_or_survey]:[str_src_quality_url]]),str_weights)/str_weights_total</f>
        <v>0.33846153846153848</v>
      </c>
    </row>
    <row r="441" spans="1:45" hidden="1" x14ac:dyDescent="0.15">
      <c r="A441" s="30">
        <v>439</v>
      </c>
      <c r="B441" s="32">
        <f>COUNTIF(requirement_measure_map!$D$3:$D$1514,measure!A441)</f>
        <v>0</v>
      </c>
      <c r="C441" s="30" t="s">
        <v>800</v>
      </c>
      <c r="D441" s="15" t="s">
        <v>1356</v>
      </c>
      <c r="E441" s="15" t="s">
        <v>1429</v>
      </c>
      <c r="F441" s="15" t="s">
        <v>1430</v>
      </c>
      <c r="G441" s="13" t="s">
        <v>1359</v>
      </c>
      <c r="H441" s="15"/>
      <c r="I441" s="15" t="s">
        <v>429</v>
      </c>
      <c r="J441" s="15" t="s">
        <v>1360</v>
      </c>
      <c r="K441" s="15" t="s">
        <v>1428</v>
      </c>
      <c r="L441" s="15" t="s">
        <v>233</v>
      </c>
      <c r="M441" s="15" t="s">
        <v>349</v>
      </c>
      <c r="N441" s="15" t="s">
        <v>746</v>
      </c>
      <c r="O441" s="15" t="s">
        <v>1362</v>
      </c>
      <c r="P441" s="15" t="s">
        <v>219</v>
      </c>
      <c r="Q441" s="15" t="s">
        <v>219</v>
      </c>
      <c r="R441" s="15" t="s">
        <v>219</v>
      </c>
      <c r="S441" s="15" t="s">
        <v>219</v>
      </c>
      <c r="T441" s="15" t="s">
        <v>219</v>
      </c>
      <c r="U441" s="15" t="s">
        <v>219</v>
      </c>
      <c r="V441" s="15" t="s">
        <v>219</v>
      </c>
      <c r="W441" s="15">
        <v>32</v>
      </c>
      <c r="X441" s="15" t="str">
        <f>_xlfn.XLOOKUP(tblMeasure[[#This Row],[id_src]],tblSource[id_src],tblSource[org])</f>
        <v xml:space="preserve">NIH National Institute of Ageing </v>
      </c>
      <c r="Y441" s="25" t="str">
        <f>_xlfn.XLOOKUP(tblMeasure[[#This Row],[id_src]],tblSource[id_src],tblSource[source])</f>
        <v>English Longitudinal Study of Ageing</v>
      </c>
      <c r="Z441" s="25" t="str">
        <f>_xlfn.XLOOKUP(tblMeasure[[#This Row],[id_src]],tblSource[id_src],tblSource[url_source])</f>
        <v>https://www.ifs.org.uk/uploads/ELSA_Wave_8_report.pdf</v>
      </c>
      <c r="AA441" s="25">
        <f>_xlfn.XLOOKUP(tblMeasure[[#This Row],[id_src]],tblSource[id_src],tblSource[year_first_published])</f>
        <v>2002</v>
      </c>
      <c r="AB441" s="25">
        <f>_xlfn.XLOOKUP(tblMeasure[[#This Row],[id_src]],tblSource[id_src],tblSource[year_last_published])</f>
        <v>2018</v>
      </c>
      <c r="AC441" s="25">
        <f>_xlfn.XLOOKUP(tblMeasure[[#This Row],[id_src]],tblSource[id_src],tblSource[discontinuity])</f>
        <v>0</v>
      </c>
      <c r="AD441" s="25" t="str">
        <f>_xlfn.XLOOKUP(tblMeasure[[#This Row],[id_src]],tblSource[id_src],tblSource[publication_frequency])</f>
        <v>Biennial</v>
      </c>
      <c r="AE441" s="15">
        <f>_xlfn.XLOOKUP(tblMeasure[[#This Row],[id_src]],tblSource[id_src],tblSource[publication_lag_months])</f>
        <v>10</v>
      </c>
      <c r="AF441" s="25" t="str">
        <f>_xlfn.XLOOKUP(tblMeasure[[#This Row],[id_src]],tblSource[id_src],tblSource[data_providers])</f>
        <v>UCL, IFS, Manchester University, NatCen, UEA</v>
      </c>
      <c r="AG441" s="25" t="str">
        <f>_xlfn.XLOOKUP(tblMeasure[[#This Row],[id_src]],tblSource[id_src],tblSource[statistic_class])</f>
        <v>TBD</v>
      </c>
      <c r="AH441" s="25" t="str">
        <f>_xlfn.XLOOKUP(tblMeasure[[#This Row],[id_src]],tblSource[id_src],tblSource[methodology_link])</f>
        <v>https://www.ifs.org.uk/uploads/ELSA_Wave_8_report.pdf</v>
      </c>
      <c r="AI441" s="25" t="str">
        <f>_xlfn.XLOOKUP(tblMeasure[[#This Row],[id_src]],tblSource[id_src],tblSource[quality_issues])</f>
        <v>TBD</v>
      </c>
      <c r="AJ441" s="25">
        <f>VLOOKUP(tblMeasure[[#This Row],[msr_population_or_survey]],strlu_msr_population_or_survey,2,FALSE)</f>
        <v>0</v>
      </c>
      <c r="AK441" s="25">
        <f>VLOOKUP(tblMeasure[[#This Row],[msr_min_geo_resolution]],strlu_msr_min_geo_resolution,2,FALSE)</f>
        <v>0</v>
      </c>
      <c r="AL441" s="25">
        <f>(MAX(tblMeasure[[#This Row],[src_year_last_published]]-2010+1,0)+MIN(2010-tblMeasure[[#This Row],[src_year_first_published]],0)-MAX(tblMeasure[[#This Row],[src_year_last_published]]-2019,0))/10</f>
        <v>0.9</v>
      </c>
      <c r="AM441" s="25">
        <f>IF(OR(tblMeasure[[#This Row],[src_discontinuity]]="None",tblMeasure[[#This Row],[src_discontinuity]]=0),1,0)</f>
        <v>1</v>
      </c>
      <c r="AN441" s="25">
        <f>VLOOKUP(tblMeasure[[#This Row],[src_pub_frequency]],strlu_src_pub_frequency,2,FALSE)</f>
        <v>0.5</v>
      </c>
      <c r="AO441" s="25">
        <f>VLOOKUP(tblMeasure[[#This Row],[src_pub_lag_months]],strlu_src_pub_lag_months,2,FALSE)</f>
        <v>0.1</v>
      </c>
      <c r="AP441" s="25">
        <f>VLOOKUP(tblMeasure[[#This Row],[src_statistic_class]],strlu_src_statistic_class,2,FALSE)</f>
        <v>0</v>
      </c>
      <c r="AQ441" s="25">
        <f>IF(tblMeasure[[#This Row],[src_methodology_url]]="TBD",0,1)</f>
        <v>1</v>
      </c>
      <c r="AR441" s="25">
        <f>IF(tblMeasure[[#This Row],[src_quality_url]]="TBD",0,1)</f>
        <v>0</v>
      </c>
      <c r="AS441" s="85" cm="1">
        <f t="array" ref="AS441">SUMPRODUCT(TRANSPOSE(tblMeasure[[#This Row],[str_msr_population_or_survey]:[str_src_quality_url]]),str_weights)/str_weights_total</f>
        <v>0.33846153846153848</v>
      </c>
    </row>
    <row r="442" spans="1:45" hidden="1" x14ac:dyDescent="0.15">
      <c r="A442" s="30">
        <v>440</v>
      </c>
      <c r="B442" s="32">
        <f>COUNTIF(requirement_measure_map!$D$3:$D$1514,measure!A442)</f>
        <v>0</v>
      </c>
      <c r="C442" s="30" t="s">
        <v>800</v>
      </c>
      <c r="D442" s="15" t="s">
        <v>1356</v>
      </c>
      <c r="E442" s="15" t="s">
        <v>1431</v>
      </c>
      <c r="F442" s="15" t="s">
        <v>1432</v>
      </c>
      <c r="G442" s="13" t="s">
        <v>1359</v>
      </c>
      <c r="H442" s="15"/>
      <c r="I442" s="15" t="s">
        <v>429</v>
      </c>
      <c r="J442" s="15" t="s">
        <v>1360</v>
      </c>
      <c r="K442" s="15" t="s">
        <v>1433</v>
      </c>
      <c r="L442" s="15" t="s">
        <v>233</v>
      </c>
      <c r="M442" s="15" t="s">
        <v>349</v>
      </c>
      <c r="N442" s="15" t="s">
        <v>746</v>
      </c>
      <c r="O442" s="15" t="s">
        <v>1362</v>
      </c>
      <c r="P442" s="15" t="s">
        <v>219</v>
      </c>
      <c r="Q442" s="15" t="s">
        <v>219</v>
      </c>
      <c r="R442" s="15" t="s">
        <v>219</v>
      </c>
      <c r="S442" s="15" t="s">
        <v>219</v>
      </c>
      <c r="T442" s="15" t="s">
        <v>219</v>
      </c>
      <c r="U442" s="15" t="s">
        <v>219</v>
      </c>
      <c r="V442" s="15" t="s">
        <v>219</v>
      </c>
      <c r="W442" s="15">
        <v>32</v>
      </c>
      <c r="X442" s="15" t="str">
        <f>_xlfn.XLOOKUP(tblMeasure[[#This Row],[id_src]],tblSource[id_src],tblSource[org])</f>
        <v xml:space="preserve">NIH National Institute of Ageing </v>
      </c>
      <c r="Y442" s="25" t="str">
        <f>_xlfn.XLOOKUP(tblMeasure[[#This Row],[id_src]],tblSource[id_src],tblSource[source])</f>
        <v>English Longitudinal Study of Ageing</v>
      </c>
      <c r="Z442" s="25" t="str">
        <f>_xlfn.XLOOKUP(tblMeasure[[#This Row],[id_src]],tblSource[id_src],tblSource[url_source])</f>
        <v>https://www.ifs.org.uk/uploads/ELSA_Wave_8_report.pdf</v>
      </c>
      <c r="AA442" s="25">
        <f>_xlfn.XLOOKUP(tblMeasure[[#This Row],[id_src]],tblSource[id_src],tblSource[year_first_published])</f>
        <v>2002</v>
      </c>
      <c r="AB442" s="25">
        <f>_xlfn.XLOOKUP(tblMeasure[[#This Row],[id_src]],tblSource[id_src],tblSource[year_last_published])</f>
        <v>2018</v>
      </c>
      <c r="AC442" s="25">
        <f>_xlfn.XLOOKUP(tblMeasure[[#This Row],[id_src]],tblSource[id_src],tblSource[discontinuity])</f>
        <v>0</v>
      </c>
      <c r="AD442" s="25" t="str">
        <f>_xlfn.XLOOKUP(tblMeasure[[#This Row],[id_src]],tblSource[id_src],tblSource[publication_frequency])</f>
        <v>Biennial</v>
      </c>
      <c r="AE442" s="15">
        <f>_xlfn.XLOOKUP(tblMeasure[[#This Row],[id_src]],tblSource[id_src],tblSource[publication_lag_months])</f>
        <v>10</v>
      </c>
      <c r="AF442" s="25" t="str">
        <f>_xlfn.XLOOKUP(tblMeasure[[#This Row],[id_src]],tblSource[id_src],tblSource[data_providers])</f>
        <v>UCL, IFS, Manchester University, NatCen, UEA</v>
      </c>
      <c r="AG442" s="25" t="str">
        <f>_xlfn.XLOOKUP(tblMeasure[[#This Row],[id_src]],tblSource[id_src],tblSource[statistic_class])</f>
        <v>TBD</v>
      </c>
      <c r="AH442" s="25" t="str">
        <f>_xlfn.XLOOKUP(tblMeasure[[#This Row],[id_src]],tblSource[id_src],tblSource[methodology_link])</f>
        <v>https://www.ifs.org.uk/uploads/ELSA_Wave_8_report.pdf</v>
      </c>
      <c r="AI442" s="25" t="str">
        <f>_xlfn.XLOOKUP(tblMeasure[[#This Row],[id_src]],tblSource[id_src],tblSource[quality_issues])</f>
        <v>TBD</v>
      </c>
      <c r="AJ442" s="25">
        <f>VLOOKUP(tblMeasure[[#This Row],[msr_population_or_survey]],strlu_msr_population_or_survey,2,FALSE)</f>
        <v>0</v>
      </c>
      <c r="AK442" s="25">
        <f>VLOOKUP(tblMeasure[[#This Row],[msr_min_geo_resolution]],strlu_msr_min_geo_resolution,2,FALSE)</f>
        <v>0</v>
      </c>
      <c r="AL442" s="25">
        <f>(MAX(tblMeasure[[#This Row],[src_year_last_published]]-2010+1,0)+MIN(2010-tblMeasure[[#This Row],[src_year_first_published]],0)-MAX(tblMeasure[[#This Row],[src_year_last_published]]-2019,0))/10</f>
        <v>0.9</v>
      </c>
      <c r="AM442" s="25">
        <f>IF(OR(tblMeasure[[#This Row],[src_discontinuity]]="None",tblMeasure[[#This Row],[src_discontinuity]]=0),1,0)</f>
        <v>1</v>
      </c>
      <c r="AN442" s="25">
        <f>VLOOKUP(tblMeasure[[#This Row],[src_pub_frequency]],strlu_src_pub_frequency,2,FALSE)</f>
        <v>0.5</v>
      </c>
      <c r="AO442" s="25">
        <f>VLOOKUP(tblMeasure[[#This Row],[src_pub_lag_months]],strlu_src_pub_lag_months,2,FALSE)</f>
        <v>0.1</v>
      </c>
      <c r="AP442" s="25">
        <f>VLOOKUP(tblMeasure[[#This Row],[src_statistic_class]],strlu_src_statistic_class,2,FALSE)</f>
        <v>0</v>
      </c>
      <c r="AQ442" s="25">
        <f>IF(tblMeasure[[#This Row],[src_methodology_url]]="TBD",0,1)</f>
        <v>1</v>
      </c>
      <c r="AR442" s="25">
        <f>IF(tblMeasure[[#This Row],[src_quality_url]]="TBD",0,1)</f>
        <v>0</v>
      </c>
      <c r="AS442" s="85" cm="1">
        <f t="array" ref="AS442">SUMPRODUCT(TRANSPOSE(tblMeasure[[#This Row],[str_msr_population_or_survey]:[str_src_quality_url]]),str_weights)/str_weights_total</f>
        <v>0.33846153846153848</v>
      </c>
    </row>
    <row r="443" spans="1:45" hidden="1" x14ac:dyDescent="0.15">
      <c r="A443" s="30">
        <v>441</v>
      </c>
      <c r="B443" s="32">
        <f>COUNTIF(requirement_measure_map!$D$3:$D$1514,measure!A443)</f>
        <v>0</v>
      </c>
      <c r="C443" s="30" t="s">
        <v>800</v>
      </c>
      <c r="D443" s="15" t="s">
        <v>1356</v>
      </c>
      <c r="E443" s="15" t="s">
        <v>1434</v>
      </c>
      <c r="F443" s="15" t="s">
        <v>1435</v>
      </c>
      <c r="G443" s="13" t="s">
        <v>1359</v>
      </c>
      <c r="H443" s="15"/>
      <c r="I443" s="15" t="s">
        <v>429</v>
      </c>
      <c r="J443" s="15" t="s">
        <v>1360</v>
      </c>
      <c r="K443" s="15" t="s">
        <v>1433</v>
      </c>
      <c r="L443" s="15" t="s">
        <v>233</v>
      </c>
      <c r="M443" s="15" t="s">
        <v>220</v>
      </c>
      <c r="N443" s="15" t="s">
        <v>240</v>
      </c>
      <c r="O443" s="15" t="s">
        <v>1362</v>
      </c>
      <c r="P443" s="15" t="s">
        <v>219</v>
      </c>
      <c r="Q443" s="15" t="s">
        <v>219</v>
      </c>
      <c r="R443" s="15" t="s">
        <v>219</v>
      </c>
      <c r="S443" s="15" t="s">
        <v>219</v>
      </c>
      <c r="T443" s="15" t="s">
        <v>219</v>
      </c>
      <c r="U443" s="15" t="s">
        <v>219</v>
      </c>
      <c r="V443" s="15" t="s">
        <v>219</v>
      </c>
      <c r="W443" s="15">
        <v>32</v>
      </c>
      <c r="X443" s="15" t="str">
        <f>_xlfn.XLOOKUP(tblMeasure[[#This Row],[id_src]],tblSource[id_src],tblSource[org])</f>
        <v xml:space="preserve">NIH National Institute of Ageing </v>
      </c>
      <c r="Y443" s="25" t="str">
        <f>_xlfn.XLOOKUP(tblMeasure[[#This Row],[id_src]],tblSource[id_src],tblSource[source])</f>
        <v>English Longitudinal Study of Ageing</v>
      </c>
      <c r="Z443" s="25" t="str">
        <f>_xlfn.XLOOKUP(tblMeasure[[#This Row],[id_src]],tblSource[id_src],tblSource[url_source])</f>
        <v>https://www.ifs.org.uk/uploads/ELSA_Wave_8_report.pdf</v>
      </c>
      <c r="AA443" s="25">
        <f>_xlfn.XLOOKUP(tblMeasure[[#This Row],[id_src]],tblSource[id_src],tblSource[year_first_published])</f>
        <v>2002</v>
      </c>
      <c r="AB443" s="25">
        <f>_xlfn.XLOOKUP(tblMeasure[[#This Row],[id_src]],tblSource[id_src],tblSource[year_last_published])</f>
        <v>2018</v>
      </c>
      <c r="AC443" s="25">
        <f>_xlfn.XLOOKUP(tblMeasure[[#This Row],[id_src]],tblSource[id_src],tblSource[discontinuity])</f>
        <v>0</v>
      </c>
      <c r="AD443" s="25" t="str">
        <f>_xlfn.XLOOKUP(tblMeasure[[#This Row],[id_src]],tblSource[id_src],tblSource[publication_frequency])</f>
        <v>Biennial</v>
      </c>
      <c r="AE443" s="15">
        <f>_xlfn.XLOOKUP(tblMeasure[[#This Row],[id_src]],tblSource[id_src],tblSource[publication_lag_months])</f>
        <v>10</v>
      </c>
      <c r="AF443" s="25" t="str">
        <f>_xlfn.XLOOKUP(tblMeasure[[#This Row],[id_src]],tblSource[id_src],tblSource[data_providers])</f>
        <v>UCL, IFS, Manchester University, NatCen, UEA</v>
      </c>
      <c r="AG443" s="25" t="str">
        <f>_xlfn.XLOOKUP(tblMeasure[[#This Row],[id_src]],tblSource[id_src],tblSource[statistic_class])</f>
        <v>TBD</v>
      </c>
      <c r="AH443" s="25" t="str">
        <f>_xlfn.XLOOKUP(tblMeasure[[#This Row],[id_src]],tblSource[id_src],tblSource[methodology_link])</f>
        <v>https://www.ifs.org.uk/uploads/ELSA_Wave_8_report.pdf</v>
      </c>
      <c r="AI443" s="25" t="str">
        <f>_xlfn.XLOOKUP(tblMeasure[[#This Row],[id_src]],tblSource[id_src],tblSource[quality_issues])</f>
        <v>TBD</v>
      </c>
      <c r="AJ443" s="25">
        <f>VLOOKUP(tblMeasure[[#This Row],[msr_population_or_survey]],strlu_msr_population_or_survey,2,FALSE)</f>
        <v>0</v>
      </c>
      <c r="AK443" s="25">
        <f>VLOOKUP(tblMeasure[[#This Row],[msr_min_geo_resolution]],strlu_msr_min_geo_resolution,2,FALSE)</f>
        <v>0</v>
      </c>
      <c r="AL443" s="25">
        <f>(MAX(tblMeasure[[#This Row],[src_year_last_published]]-2010+1,0)+MIN(2010-tblMeasure[[#This Row],[src_year_first_published]],0)-MAX(tblMeasure[[#This Row],[src_year_last_published]]-2019,0))/10</f>
        <v>0.9</v>
      </c>
      <c r="AM443" s="25">
        <f>IF(OR(tblMeasure[[#This Row],[src_discontinuity]]="None",tblMeasure[[#This Row],[src_discontinuity]]=0),1,0)</f>
        <v>1</v>
      </c>
      <c r="AN443" s="25">
        <f>VLOOKUP(tblMeasure[[#This Row],[src_pub_frequency]],strlu_src_pub_frequency,2,FALSE)</f>
        <v>0.5</v>
      </c>
      <c r="AO443" s="25">
        <f>VLOOKUP(tblMeasure[[#This Row],[src_pub_lag_months]],strlu_src_pub_lag_months,2,FALSE)</f>
        <v>0.1</v>
      </c>
      <c r="AP443" s="25">
        <f>VLOOKUP(tblMeasure[[#This Row],[src_statistic_class]],strlu_src_statistic_class,2,FALSE)</f>
        <v>0</v>
      </c>
      <c r="AQ443" s="25">
        <f>IF(tblMeasure[[#This Row],[src_methodology_url]]="TBD",0,1)</f>
        <v>1</v>
      </c>
      <c r="AR443" s="25">
        <f>IF(tblMeasure[[#This Row],[src_quality_url]]="TBD",0,1)</f>
        <v>0</v>
      </c>
      <c r="AS443" s="85" cm="1">
        <f t="array" ref="AS443">SUMPRODUCT(TRANSPOSE(tblMeasure[[#This Row],[str_msr_population_or_survey]:[str_src_quality_url]]),str_weights)/str_weights_total</f>
        <v>0.33846153846153848</v>
      </c>
    </row>
    <row r="444" spans="1:45" hidden="1" x14ac:dyDescent="0.15">
      <c r="A444" s="30">
        <v>442</v>
      </c>
      <c r="B444" s="32">
        <f>COUNTIF(requirement_measure_map!$D$3:$D$1514,measure!A444)</f>
        <v>0</v>
      </c>
      <c r="C444" s="30" t="s">
        <v>800</v>
      </c>
      <c r="D444" s="15" t="s">
        <v>1356</v>
      </c>
      <c r="E444" s="15" t="s">
        <v>1436</v>
      </c>
      <c r="F444" s="15" t="s">
        <v>1437</v>
      </c>
      <c r="G444" s="13" t="s">
        <v>1359</v>
      </c>
      <c r="H444" s="15"/>
      <c r="I444" s="15" t="s">
        <v>429</v>
      </c>
      <c r="J444" s="15" t="s">
        <v>1360</v>
      </c>
      <c r="K444" s="15" t="s">
        <v>1433</v>
      </c>
      <c r="L444" s="15" t="s">
        <v>233</v>
      </c>
      <c r="M444" s="15" t="s">
        <v>220</v>
      </c>
      <c r="N444" s="15" t="s">
        <v>240</v>
      </c>
      <c r="O444" s="15" t="s">
        <v>1362</v>
      </c>
      <c r="P444" s="15" t="s">
        <v>219</v>
      </c>
      <c r="Q444" s="15" t="s">
        <v>219</v>
      </c>
      <c r="R444" s="15" t="s">
        <v>219</v>
      </c>
      <c r="S444" s="15" t="s">
        <v>219</v>
      </c>
      <c r="T444" s="15" t="s">
        <v>219</v>
      </c>
      <c r="U444" s="15" t="s">
        <v>219</v>
      </c>
      <c r="V444" s="15" t="s">
        <v>219</v>
      </c>
      <c r="W444" s="15">
        <v>32</v>
      </c>
      <c r="X444" s="15" t="str">
        <f>_xlfn.XLOOKUP(tblMeasure[[#This Row],[id_src]],tblSource[id_src],tblSource[org])</f>
        <v xml:space="preserve">NIH National Institute of Ageing </v>
      </c>
      <c r="Y444" s="25" t="str">
        <f>_xlfn.XLOOKUP(tblMeasure[[#This Row],[id_src]],tblSource[id_src],tblSource[source])</f>
        <v>English Longitudinal Study of Ageing</v>
      </c>
      <c r="Z444" s="25" t="str">
        <f>_xlfn.XLOOKUP(tblMeasure[[#This Row],[id_src]],tblSource[id_src],tblSource[url_source])</f>
        <v>https://www.ifs.org.uk/uploads/ELSA_Wave_8_report.pdf</v>
      </c>
      <c r="AA444" s="25">
        <f>_xlfn.XLOOKUP(tblMeasure[[#This Row],[id_src]],tblSource[id_src],tblSource[year_first_published])</f>
        <v>2002</v>
      </c>
      <c r="AB444" s="25">
        <f>_xlfn.XLOOKUP(tblMeasure[[#This Row],[id_src]],tblSource[id_src],tblSource[year_last_published])</f>
        <v>2018</v>
      </c>
      <c r="AC444" s="25">
        <f>_xlfn.XLOOKUP(tblMeasure[[#This Row],[id_src]],tblSource[id_src],tblSource[discontinuity])</f>
        <v>0</v>
      </c>
      <c r="AD444" s="25" t="str">
        <f>_xlfn.XLOOKUP(tblMeasure[[#This Row],[id_src]],tblSource[id_src],tblSource[publication_frequency])</f>
        <v>Biennial</v>
      </c>
      <c r="AE444" s="15">
        <f>_xlfn.XLOOKUP(tblMeasure[[#This Row],[id_src]],tblSource[id_src],tblSource[publication_lag_months])</f>
        <v>10</v>
      </c>
      <c r="AF444" s="25" t="str">
        <f>_xlfn.XLOOKUP(tblMeasure[[#This Row],[id_src]],tblSource[id_src],tblSource[data_providers])</f>
        <v>UCL, IFS, Manchester University, NatCen, UEA</v>
      </c>
      <c r="AG444" s="25" t="str">
        <f>_xlfn.XLOOKUP(tblMeasure[[#This Row],[id_src]],tblSource[id_src],tblSource[statistic_class])</f>
        <v>TBD</v>
      </c>
      <c r="AH444" s="25" t="str">
        <f>_xlfn.XLOOKUP(tblMeasure[[#This Row],[id_src]],tblSource[id_src],tblSource[methodology_link])</f>
        <v>https://www.ifs.org.uk/uploads/ELSA_Wave_8_report.pdf</v>
      </c>
      <c r="AI444" s="25" t="str">
        <f>_xlfn.XLOOKUP(tblMeasure[[#This Row],[id_src]],tblSource[id_src],tblSource[quality_issues])</f>
        <v>TBD</v>
      </c>
      <c r="AJ444" s="25">
        <f>VLOOKUP(tblMeasure[[#This Row],[msr_population_or_survey]],strlu_msr_population_or_survey,2,FALSE)</f>
        <v>0</v>
      </c>
      <c r="AK444" s="25">
        <f>VLOOKUP(tblMeasure[[#This Row],[msr_min_geo_resolution]],strlu_msr_min_geo_resolution,2,FALSE)</f>
        <v>0</v>
      </c>
      <c r="AL444" s="25">
        <f>(MAX(tblMeasure[[#This Row],[src_year_last_published]]-2010+1,0)+MIN(2010-tblMeasure[[#This Row],[src_year_first_published]],0)-MAX(tblMeasure[[#This Row],[src_year_last_published]]-2019,0))/10</f>
        <v>0.9</v>
      </c>
      <c r="AM444" s="25">
        <f>IF(OR(tblMeasure[[#This Row],[src_discontinuity]]="None",tblMeasure[[#This Row],[src_discontinuity]]=0),1,0)</f>
        <v>1</v>
      </c>
      <c r="AN444" s="25">
        <f>VLOOKUP(tblMeasure[[#This Row],[src_pub_frequency]],strlu_src_pub_frequency,2,FALSE)</f>
        <v>0.5</v>
      </c>
      <c r="AO444" s="25">
        <f>VLOOKUP(tblMeasure[[#This Row],[src_pub_lag_months]],strlu_src_pub_lag_months,2,FALSE)</f>
        <v>0.1</v>
      </c>
      <c r="AP444" s="25">
        <f>VLOOKUP(tblMeasure[[#This Row],[src_statistic_class]],strlu_src_statistic_class,2,FALSE)</f>
        <v>0</v>
      </c>
      <c r="AQ444" s="25">
        <f>IF(tblMeasure[[#This Row],[src_methodology_url]]="TBD",0,1)</f>
        <v>1</v>
      </c>
      <c r="AR444" s="25">
        <f>IF(tblMeasure[[#This Row],[src_quality_url]]="TBD",0,1)</f>
        <v>0</v>
      </c>
      <c r="AS444" s="85" cm="1">
        <f t="array" ref="AS444">SUMPRODUCT(TRANSPOSE(tblMeasure[[#This Row],[str_msr_population_or_survey]:[str_src_quality_url]]),str_weights)/str_weights_total</f>
        <v>0.33846153846153848</v>
      </c>
    </row>
    <row r="445" spans="1:45" hidden="1" x14ac:dyDescent="0.15">
      <c r="A445" s="30">
        <v>443</v>
      </c>
      <c r="B445" s="32">
        <f>COUNTIF(requirement_measure_map!$D$3:$D$1514,measure!A445)</f>
        <v>0</v>
      </c>
      <c r="C445" s="30" t="s">
        <v>800</v>
      </c>
      <c r="D445" s="15" t="s">
        <v>1356</v>
      </c>
      <c r="E445" s="15" t="s">
        <v>1438</v>
      </c>
      <c r="F445" s="15" t="s">
        <v>1439</v>
      </c>
      <c r="G445" s="13" t="s">
        <v>1359</v>
      </c>
      <c r="H445" s="15"/>
      <c r="I445" s="15" t="s">
        <v>429</v>
      </c>
      <c r="J445" s="15" t="s">
        <v>1360</v>
      </c>
      <c r="K445" s="15" t="s">
        <v>1433</v>
      </c>
      <c r="L445" s="15" t="s">
        <v>233</v>
      </c>
      <c r="M445" s="15" t="s">
        <v>220</v>
      </c>
      <c r="N445" s="15" t="s">
        <v>240</v>
      </c>
      <c r="O445" s="15" t="s">
        <v>1362</v>
      </c>
      <c r="P445" s="15" t="s">
        <v>219</v>
      </c>
      <c r="Q445" s="15" t="s">
        <v>219</v>
      </c>
      <c r="R445" s="15" t="s">
        <v>219</v>
      </c>
      <c r="S445" s="15" t="s">
        <v>219</v>
      </c>
      <c r="T445" s="15" t="s">
        <v>219</v>
      </c>
      <c r="U445" s="15" t="s">
        <v>219</v>
      </c>
      <c r="V445" s="15" t="s">
        <v>219</v>
      </c>
      <c r="W445" s="15">
        <v>32</v>
      </c>
      <c r="X445" s="15" t="str">
        <f>_xlfn.XLOOKUP(tblMeasure[[#This Row],[id_src]],tblSource[id_src],tblSource[org])</f>
        <v xml:space="preserve">NIH National Institute of Ageing </v>
      </c>
      <c r="Y445" s="25" t="str">
        <f>_xlfn.XLOOKUP(tblMeasure[[#This Row],[id_src]],tblSource[id_src],tblSource[source])</f>
        <v>English Longitudinal Study of Ageing</v>
      </c>
      <c r="Z445" s="25" t="str">
        <f>_xlfn.XLOOKUP(tblMeasure[[#This Row],[id_src]],tblSource[id_src],tblSource[url_source])</f>
        <v>https://www.ifs.org.uk/uploads/ELSA_Wave_8_report.pdf</v>
      </c>
      <c r="AA445" s="25">
        <f>_xlfn.XLOOKUP(tblMeasure[[#This Row],[id_src]],tblSource[id_src],tblSource[year_first_published])</f>
        <v>2002</v>
      </c>
      <c r="AB445" s="25">
        <f>_xlfn.XLOOKUP(tblMeasure[[#This Row],[id_src]],tblSource[id_src],tblSource[year_last_published])</f>
        <v>2018</v>
      </c>
      <c r="AC445" s="25">
        <f>_xlfn.XLOOKUP(tblMeasure[[#This Row],[id_src]],tblSource[id_src],tblSource[discontinuity])</f>
        <v>0</v>
      </c>
      <c r="AD445" s="25" t="str">
        <f>_xlfn.XLOOKUP(tblMeasure[[#This Row],[id_src]],tblSource[id_src],tblSource[publication_frequency])</f>
        <v>Biennial</v>
      </c>
      <c r="AE445" s="15">
        <f>_xlfn.XLOOKUP(tblMeasure[[#This Row],[id_src]],tblSource[id_src],tblSource[publication_lag_months])</f>
        <v>10</v>
      </c>
      <c r="AF445" s="25" t="str">
        <f>_xlfn.XLOOKUP(tblMeasure[[#This Row],[id_src]],tblSource[id_src],tblSource[data_providers])</f>
        <v>UCL, IFS, Manchester University, NatCen, UEA</v>
      </c>
      <c r="AG445" s="25" t="str">
        <f>_xlfn.XLOOKUP(tblMeasure[[#This Row],[id_src]],tblSource[id_src],tblSource[statistic_class])</f>
        <v>TBD</v>
      </c>
      <c r="AH445" s="25" t="str">
        <f>_xlfn.XLOOKUP(tblMeasure[[#This Row],[id_src]],tblSource[id_src],tblSource[methodology_link])</f>
        <v>https://www.ifs.org.uk/uploads/ELSA_Wave_8_report.pdf</v>
      </c>
      <c r="AI445" s="25" t="str">
        <f>_xlfn.XLOOKUP(tblMeasure[[#This Row],[id_src]],tblSource[id_src],tblSource[quality_issues])</f>
        <v>TBD</v>
      </c>
      <c r="AJ445" s="25">
        <f>VLOOKUP(tblMeasure[[#This Row],[msr_population_or_survey]],strlu_msr_population_or_survey,2,FALSE)</f>
        <v>0</v>
      </c>
      <c r="AK445" s="25">
        <f>VLOOKUP(tblMeasure[[#This Row],[msr_min_geo_resolution]],strlu_msr_min_geo_resolution,2,FALSE)</f>
        <v>0</v>
      </c>
      <c r="AL445" s="25">
        <f>(MAX(tblMeasure[[#This Row],[src_year_last_published]]-2010+1,0)+MIN(2010-tblMeasure[[#This Row],[src_year_first_published]],0)-MAX(tblMeasure[[#This Row],[src_year_last_published]]-2019,0))/10</f>
        <v>0.9</v>
      </c>
      <c r="AM445" s="25">
        <f>IF(OR(tblMeasure[[#This Row],[src_discontinuity]]="None",tblMeasure[[#This Row],[src_discontinuity]]=0),1,0)</f>
        <v>1</v>
      </c>
      <c r="AN445" s="25">
        <f>VLOOKUP(tblMeasure[[#This Row],[src_pub_frequency]],strlu_src_pub_frequency,2,FALSE)</f>
        <v>0.5</v>
      </c>
      <c r="AO445" s="25">
        <f>VLOOKUP(tblMeasure[[#This Row],[src_pub_lag_months]],strlu_src_pub_lag_months,2,FALSE)</f>
        <v>0.1</v>
      </c>
      <c r="AP445" s="25">
        <f>VLOOKUP(tblMeasure[[#This Row],[src_statistic_class]],strlu_src_statistic_class,2,FALSE)</f>
        <v>0</v>
      </c>
      <c r="AQ445" s="25">
        <f>IF(tblMeasure[[#This Row],[src_methodology_url]]="TBD",0,1)</f>
        <v>1</v>
      </c>
      <c r="AR445" s="25">
        <f>IF(tblMeasure[[#This Row],[src_quality_url]]="TBD",0,1)</f>
        <v>0</v>
      </c>
      <c r="AS445" s="85" cm="1">
        <f t="array" ref="AS445">SUMPRODUCT(TRANSPOSE(tblMeasure[[#This Row],[str_msr_population_or_survey]:[str_src_quality_url]]),str_weights)/str_weights_total</f>
        <v>0.33846153846153848</v>
      </c>
    </row>
    <row r="446" spans="1:45" hidden="1" x14ac:dyDescent="0.15">
      <c r="A446" s="30">
        <v>444</v>
      </c>
      <c r="B446" s="32">
        <f>COUNTIF(requirement_measure_map!$D$3:$D$1514,measure!A446)</f>
        <v>0</v>
      </c>
      <c r="C446" s="30" t="s">
        <v>800</v>
      </c>
      <c r="D446" s="15" t="s">
        <v>1356</v>
      </c>
      <c r="E446" s="15" t="s">
        <v>1440</v>
      </c>
      <c r="F446" s="15" t="s">
        <v>1441</v>
      </c>
      <c r="G446" s="13" t="s">
        <v>1359</v>
      </c>
      <c r="H446" s="15"/>
      <c r="I446" s="15" t="s">
        <v>429</v>
      </c>
      <c r="J446" s="15" t="s">
        <v>1360</v>
      </c>
      <c r="K446" s="15" t="s">
        <v>1442</v>
      </c>
      <c r="L446" s="15" t="s">
        <v>233</v>
      </c>
      <c r="M446" s="15" t="s">
        <v>243</v>
      </c>
      <c r="N446" s="15" t="s">
        <v>243</v>
      </c>
      <c r="O446" s="15" t="s">
        <v>1362</v>
      </c>
      <c r="P446" s="15" t="s">
        <v>219</v>
      </c>
      <c r="Q446" s="15" t="s">
        <v>219</v>
      </c>
      <c r="R446" s="15" t="s">
        <v>219</v>
      </c>
      <c r="S446" s="15" t="s">
        <v>219</v>
      </c>
      <c r="T446" s="15" t="s">
        <v>219</v>
      </c>
      <c r="U446" s="15" t="s">
        <v>219</v>
      </c>
      <c r="V446" s="15" t="s">
        <v>219</v>
      </c>
      <c r="W446" s="15">
        <v>32</v>
      </c>
      <c r="X446" s="15" t="str">
        <f>_xlfn.XLOOKUP(tblMeasure[[#This Row],[id_src]],tblSource[id_src],tblSource[org])</f>
        <v xml:space="preserve">NIH National Institute of Ageing </v>
      </c>
      <c r="Y446" s="25" t="str">
        <f>_xlfn.XLOOKUP(tblMeasure[[#This Row],[id_src]],tblSource[id_src],tblSource[source])</f>
        <v>English Longitudinal Study of Ageing</v>
      </c>
      <c r="Z446" s="25" t="str">
        <f>_xlfn.XLOOKUP(tblMeasure[[#This Row],[id_src]],tblSource[id_src],tblSource[url_source])</f>
        <v>https://www.ifs.org.uk/uploads/ELSA_Wave_8_report.pdf</v>
      </c>
      <c r="AA446" s="25">
        <f>_xlfn.XLOOKUP(tblMeasure[[#This Row],[id_src]],tblSource[id_src],tblSource[year_first_published])</f>
        <v>2002</v>
      </c>
      <c r="AB446" s="25">
        <f>_xlfn.XLOOKUP(tblMeasure[[#This Row],[id_src]],tblSource[id_src],tblSource[year_last_published])</f>
        <v>2018</v>
      </c>
      <c r="AC446" s="25">
        <f>_xlfn.XLOOKUP(tblMeasure[[#This Row],[id_src]],tblSource[id_src],tblSource[discontinuity])</f>
        <v>0</v>
      </c>
      <c r="AD446" s="25" t="str">
        <f>_xlfn.XLOOKUP(tblMeasure[[#This Row],[id_src]],tblSource[id_src],tblSource[publication_frequency])</f>
        <v>Biennial</v>
      </c>
      <c r="AE446" s="15">
        <f>_xlfn.XLOOKUP(tblMeasure[[#This Row],[id_src]],tblSource[id_src],tblSource[publication_lag_months])</f>
        <v>10</v>
      </c>
      <c r="AF446" s="25" t="str">
        <f>_xlfn.XLOOKUP(tblMeasure[[#This Row],[id_src]],tblSource[id_src],tblSource[data_providers])</f>
        <v>UCL, IFS, Manchester University, NatCen, UEA</v>
      </c>
      <c r="AG446" s="25" t="str">
        <f>_xlfn.XLOOKUP(tblMeasure[[#This Row],[id_src]],tblSource[id_src],tblSource[statistic_class])</f>
        <v>TBD</v>
      </c>
      <c r="AH446" s="25" t="str">
        <f>_xlfn.XLOOKUP(tblMeasure[[#This Row],[id_src]],tblSource[id_src],tblSource[methodology_link])</f>
        <v>https://www.ifs.org.uk/uploads/ELSA_Wave_8_report.pdf</v>
      </c>
      <c r="AI446" s="25" t="str">
        <f>_xlfn.XLOOKUP(tblMeasure[[#This Row],[id_src]],tblSource[id_src],tblSource[quality_issues])</f>
        <v>TBD</v>
      </c>
      <c r="AJ446" s="25">
        <f>VLOOKUP(tblMeasure[[#This Row],[msr_population_or_survey]],strlu_msr_population_or_survey,2,FALSE)</f>
        <v>0</v>
      </c>
      <c r="AK446" s="25">
        <f>VLOOKUP(tblMeasure[[#This Row],[msr_min_geo_resolution]],strlu_msr_min_geo_resolution,2,FALSE)</f>
        <v>0</v>
      </c>
      <c r="AL446" s="25">
        <f>(MAX(tblMeasure[[#This Row],[src_year_last_published]]-2010+1,0)+MIN(2010-tblMeasure[[#This Row],[src_year_first_published]],0)-MAX(tblMeasure[[#This Row],[src_year_last_published]]-2019,0))/10</f>
        <v>0.9</v>
      </c>
      <c r="AM446" s="25">
        <f>IF(OR(tblMeasure[[#This Row],[src_discontinuity]]="None",tblMeasure[[#This Row],[src_discontinuity]]=0),1,0)</f>
        <v>1</v>
      </c>
      <c r="AN446" s="25">
        <f>VLOOKUP(tblMeasure[[#This Row],[src_pub_frequency]],strlu_src_pub_frequency,2,FALSE)</f>
        <v>0.5</v>
      </c>
      <c r="AO446" s="25">
        <f>VLOOKUP(tblMeasure[[#This Row],[src_pub_lag_months]],strlu_src_pub_lag_months,2,FALSE)</f>
        <v>0.1</v>
      </c>
      <c r="AP446" s="25">
        <f>VLOOKUP(tblMeasure[[#This Row],[src_statistic_class]],strlu_src_statistic_class,2,FALSE)</f>
        <v>0</v>
      </c>
      <c r="AQ446" s="25">
        <f>IF(tblMeasure[[#This Row],[src_methodology_url]]="TBD",0,1)</f>
        <v>1</v>
      </c>
      <c r="AR446" s="25">
        <f>IF(tblMeasure[[#This Row],[src_quality_url]]="TBD",0,1)</f>
        <v>0</v>
      </c>
      <c r="AS446" s="85" cm="1">
        <f t="array" ref="AS446">SUMPRODUCT(TRANSPOSE(tblMeasure[[#This Row],[str_msr_population_or_survey]:[str_src_quality_url]]),str_weights)/str_weights_total</f>
        <v>0.33846153846153848</v>
      </c>
    </row>
    <row r="447" spans="1:45" hidden="1" x14ac:dyDescent="0.15">
      <c r="A447" s="30">
        <v>445</v>
      </c>
      <c r="B447" s="32">
        <f>COUNTIF(requirement_measure_map!$D$3:$D$1514,measure!A447)</f>
        <v>0</v>
      </c>
      <c r="C447" s="30" t="s">
        <v>800</v>
      </c>
      <c r="D447" s="15" t="s">
        <v>1356</v>
      </c>
      <c r="E447" s="15" t="s">
        <v>1443</v>
      </c>
      <c r="F447" s="15" t="s">
        <v>1444</v>
      </c>
      <c r="G447" s="13" t="s">
        <v>1359</v>
      </c>
      <c r="H447" s="15"/>
      <c r="I447" s="15" t="s">
        <v>429</v>
      </c>
      <c r="J447" s="15" t="s">
        <v>1360</v>
      </c>
      <c r="K447" s="15" t="s">
        <v>1442</v>
      </c>
      <c r="L447" s="15" t="s">
        <v>233</v>
      </c>
      <c r="M447" s="15" t="s">
        <v>243</v>
      </c>
      <c r="N447" s="15" t="s">
        <v>243</v>
      </c>
      <c r="O447" s="15" t="s">
        <v>1362</v>
      </c>
      <c r="P447" s="15" t="s">
        <v>219</v>
      </c>
      <c r="Q447" s="15" t="s">
        <v>219</v>
      </c>
      <c r="R447" s="15" t="s">
        <v>219</v>
      </c>
      <c r="S447" s="15" t="s">
        <v>219</v>
      </c>
      <c r="T447" s="15" t="s">
        <v>219</v>
      </c>
      <c r="U447" s="15" t="s">
        <v>219</v>
      </c>
      <c r="V447" s="15" t="s">
        <v>219</v>
      </c>
      <c r="W447" s="15">
        <v>32</v>
      </c>
      <c r="X447" s="15" t="str">
        <f>_xlfn.XLOOKUP(tblMeasure[[#This Row],[id_src]],tblSource[id_src],tblSource[org])</f>
        <v xml:space="preserve">NIH National Institute of Ageing </v>
      </c>
      <c r="Y447" s="25" t="str">
        <f>_xlfn.XLOOKUP(tblMeasure[[#This Row],[id_src]],tblSource[id_src],tblSource[source])</f>
        <v>English Longitudinal Study of Ageing</v>
      </c>
      <c r="Z447" s="25" t="str">
        <f>_xlfn.XLOOKUP(tblMeasure[[#This Row],[id_src]],tblSource[id_src],tblSource[url_source])</f>
        <v>https://www.ifs.org.uk/uploads/ELSA_Wave_8_report.pdf</v>
      </c>
      <c r="AA447" s="25">
        <f>_xlfn.XLOOKUP(tblMeasure[[#This Row],[id_src]],tblSource[id_src],tblSource[year_first_published])</f>
        <v>2002</v>
      </c>
      <c r="AB447" s="25">
        <f>_xlfn.XLOOKUP(tblMeasure[[#This Row],[id_src]],tblSource[id_src],tblSource[year_last_published])</f>
        <v>2018</v>
      </c>
      <c r="AC447" s="25">
        <f>_xlfn.XLOOKUP(tblMeasure[[#This Row],[id_src]],tblSource[id_src],tblSource[discontinuity])</f>
        <v>0</v>
      </c>
      <c r="AD447" s="25" t="str">
        <f>_xlfn.XLOOKUP(tblMeasure[[#This Row],[id_src]],tblSource[id_src],tblSource[publication_frequency])</f>
        <v>Biennial</v>
      </c>
      <c r="AE447" s="15">
        <f>_xlfn.XLOOKUP(tblMeasure[[#This Row],[id_src]],tblSource[id_src],tblSource[publication_lag_months])</f>
        <v>10</v>
      </c>
      <c r="AF447" s="25" t="str">
        <f>_xlfn.XLOOKUP(tblMeasure[[#This Row],[id_src]],tblSource[id_src],tblSource[data_providers])</f>
        <v>UCL, IFS, Manchester University, NatCen, UEA</v>
      </c>
      <c r="AG447" s="25" t="str">
        <f>_xlfn.XLOOKUP(tblMeasure[[#This Row],[id_src]],tblSource[id_src],tblSource[statistic_class])</f>
        <v>TBD</v>
      </c>
      <c r="AH447" s="25" t="str">
        <f>_xlfn.XLOOKUP(tblMeasure[[#This Row],[id_src]],tblSource[id_src],tblSource[methodology_link])</f>
        <v>https://www.ifs.org.uk/uploads/ELSA_Wave_8_report.pdf</v>
      </c>
      <c r="AI447" s="25" t="str">
        <f>_xlfn.XLOOKUP(tblMeasure[[#This Row],[id_src]],tblSource[id_src],tblSource[quality_issues])</f>
        <v>TBD</v>
      </c>
      <c r="AJ447" s="25">
        <f>VLOOKUP(tblMeasure[[#This Row],[msr_population_or_survey]],strlu_msr_population_or_survey,2,FALSE)</f>
        <v>0</v>
      </c>
      <c r="AK447" s="25">
        <f>VLOOKUP(tblMeasure[[#This Row],[msr_min_geo_resolution]],strlu_msr_min_geo_resolution,2,FALSE)</f>
        <v>0</v>
      </c>
      <c r="AL447" s="25">
        <f>(MAX(tblMeasure[[#This Row],[src_year_last_published]]-2010+1,0)+MIN(2010-tblMeasure[[#This Row],[src_year_first_published]],0)-MAX(tblMeasure[[#This Row],[src_year_last_published]]-2019,0))/10</f>
        <v>0.9</v>
      </c>
      <c r="AM447" s="25">
        <f>IF(OR(tblMeasure[[#This Row],[src_discontinuity]]="None",tblMeasure[[#This Row],[src_discontinuity]]=0),1,0)</f>
        <v>1</v>
      </c>
      <c r="AN447" s="25">
        <f>VLOOKUP(tblMeasure[[#This Row],[src_pub_frequency]],strlu_src_pub_frequency,2,FALSE)</f>
        <v>0.5</v>
      </c>
      <c r="AO447" s="25">
        <f>VLOOKUP(tblMeasure[[#This Row],[src_pub_lag_months]],strlu_src_pub_lag_months,2,FALSE)</f>
        <v>0.1</v>
      </c>
      <c r="AP447" s="25">
        <f>VLOOKUP(tblMeasure[[#This Row],[src_statistic_class]],strlu_src_statistic_class,2,FALSE)</f>
        <v>0</v>
      </c>
      <c r="AQ447" s="25">
        <f>IF(tblMeasure[[#This Row],[src_methodology_url]]="TBD",0,1)</f>
        <v>1</v>
      </c>
      <c r="AR447" s="25">
        <f>IF(tblMeasure[[#This Row],[src_quality_url]]="TBD",0,1)</f>
        <v>0</v>
      </c>
      <c r="AS447" s="85" cm="1">
        <f t="array" ref="AS447">SUMPRODUCT(TRANSPOSE(tblMeasure[[#This Row],[str_msr_population_or_survey]:[str_src_quality_url]]),str_weights)/str_weights_total</f>
        <v>0.33846153846153848</v>
      </c>
    </row>
    <row r="448" spans="1:45" hidden="1" x14ac:dyDescent="0.15">
      <c r="A448" s="30">
        <v>446</v>
      </c>
      <c r="B448" s="32">
        <f>COUNTIF(requirement_measure_map!$D$3:$D$1514,measure!A448)</f>
        <v>0</v>
      </c>
      <c r="C448" s="30" t="s">
        <v>800</v>
      </c>
      <c r="D448" s="15" t="s">
        <v>1356</v>
      </c>
      <c r="E448" s="15" t="s">
        <v>1445</v>
      </c>
      <c r="F448" s="15" t="s">
        <v>1446</v>
      </c>
      <c r="G448" s="13" t="s">
        <v>1359</v>
      </c>
      <c r="H448" s="15"/>
      <c r="I448" s="15" t="s">
        <v>429</v>
      </c>
      <c r="J448" s="15" t="s">
        <v>1360</v>
      </c>
      <c r="K448" s="15" t="s">
        <v>1442</v>
      </c>
      <c r="L448" s="15" t="s">
        <v>233</v>
      </c>
      <c r="M448" s="15" t="s">
        <v>240</v>
      </c>
      <c r="N448" s="15" t="s">
        <v>220</v>
      </c>
      <c r="O448" s="15" t="s">
        <v>1362</v>
      </c>
      <c r="P448" s="15" t="s">
        <v>219</v>
      </c>
      <c r="Q448" s="15" t="s">
        <v>219</v>
      </c>
      <c r="R448" s="15" t="s">
        <v>219</v>
      </c>
      <c r="S448" s="15" t="s">
        <v>219</v>
      </c>
      <c r="T448" s="15" t="s">
        <v>219</v>
      </c>
      <c r="U448" s="15" t="s">
        <v>219</v>
      </c>
      <c r="V448" s="15" t="s">
        <v>219</v>
      </c>
      <c r="W448" s="15">
        <v>32</v>
      </c>
      <c r="X448" s="15" t="str">
        <f>_xlfn.XLOOKUP(tblMeasure[[#This Row],[id_src]],tblSource[id_src],tblSource[org])</f>
        <v xml:space="preserve">NIH National Institute of Ageing </v>
      </c>
      <c r="Y448" s="25" t="str">
        <f>_xlfn.XLOOKUP(tblMeasure[[#This Row],[id_src]],tblSource[id_src],tblSource[source])</f>
        <v>English Longitudinal Study of Ageing</v>
      </c>
      <c r="Z448" s="25" t="str">
        <f>_xlfn.XLOOKUP(tblMeasure[[#This Row],[id_src]],tblSource[id_src],tblSource[url_source])</f>
        <v>https://www.ifs.org.uk/uploads/ELSA_Wave_8_report.pdf</v>
      </c>
      <c r="AA448" s="25">
        <f>_xlfn.XLOOKUP(tblMeasure[[#This Row],[id_src]],tblSource[id_src],tblSource[year_first_published])</f>
        <v>2002</v>
      </c>
      <c r="AB448" s="25">
        <f>_xlfn.XLOOKUP(tblMeasure[[#This Row],[id_src]],tblSource[id_src],tblSource[year_last_published])</f>
        <v>2018</v>
      </c>
      <c r="AC448" s="25">
        <f>_xlfn.XLOOKUP(tblMeasure[[#This Row],[id_src]],tblSource[id_src],tblSource[discontinuity])</f>
        <v>0</v>
      </c>
      <c r="AD448" s="25" t="str">
        <f>_xlfn.XLOOKUP(tblMeasure[[#This Row],[id_src]],tblSource[id_src],tblSource[publication_frequency])</f>
        <v>Biennial</v>
      </c>
      <c r="AE448" s="15">
        <f>_xlfn.XLOOKUP(tblMeasure[[#This Row],[id_src]],tblSource[id_src],tblSource[publication_lag_months])</f>
        <v>10</v>
      </c>
      <c r="AF448" s="25" t="str">
        <f>_xlfn.XLOOKUP(tblMeasure[[#This Row],[id_src]],tblSource[id_src],tblSource[data_providers])</f>
        <v>UCL, IFS, Manchester University, NatCen, UEA</v>
      </c>
      <c r="AG448" s="25" t="str">
        <f>_xlfn.XLOOKUP(tblMeasure[[#This Row],[id_src]],tblSource[id_src],tblSource[statistic_class])</f>
        <v>TBD</v>
      </c>
      <c r="AH448" s="25" t="str">
        <f>_xlfn.XLOOKUP(tblMeasure[[#This Row],[id_src]],tblSource[id_src],tblSource[methodology_link])</f>
        <v>https://www.ifs.org.uk/uploads/ELSA_Wave_8_report.pdf</v>
      </c>
      <c r="AI448" s="25" t="str">
        <f>_xlfn.XLOOKUP(tblMeasure[[#This Row],[id_src]],tblSource[id_src],tblSource[quality_issues])</f>
        <v>TBD</v>
      </c>
      <c r="AJ448" s="25">
        <f>VLOOKUP(tblMeasure[[#This Row],[msr_population_or_survey]],strlu_msr_population_or_survey,2,FALSE)</f>
        <v>0</v>
      </c>
      <c r="AK448" s="25">
        <f>VLOOKUP(tblMeasure[[#This Row],[msr_min_geo_resolution]],strlu_msr_min_geo_resolution,2,FALSE)</f>
        <v>0</v>
      </c>
      <c r="AL448" s="25">
        <f>(MAX(tblMeasure[[#This Row],[src_year_last_published]]-2010+1,0)+MIN(2010-tblMeasure[[#This Row],[src_year_first_published]],0)-MAX(tblMeasure[[#This Row],[src_year_last_published]]-2019,0))/10</f>
        <v>0.9</v>
      </c>
      <c r="AM448" s="25">
        <f>IF(OR(tblMeasure[[#This Row],[src_discontinuity]]="None",tblMeasure[[#This Row],[src_discontinuity]]=0),1,0)</f>
        <v>1</v>
      </c>
      <c r="AN448" s="25">
        <f>VLOOKUP(tblMeasure[[#This Row],[src_pub_frequency]],strlu_src_pub_frequency,2,FALSE)</f>
        <v>0.5</v>
      </c>
      <c r="AO448" s="25">
        <f>VLOOKUP(tblMeasure[[#This Row],[src_pub_lag_months]],strlu_src_pub_lag_months,2,FALSE)</f>
        <v>0.1</v>
      </c>
      <c r="AP448" s="25">
        <f>VLOOKUP(tblMeasure[[#This Row],[src_statistic_class]],strlu_src_statistic_class,2,FALSE)</f>
        <v>0</v>
      </c>
      <c r="AQ448" s="25">
        <f>IF(tblMeasure[[#This Row],[src_methodology_url]]="TBD",0,1)</f>
        <v>1</v>
      </c>
      <c r="AR448" s="25">
        <f>IF(tblMeasure[[#This Row],[src_quality_url]]="TBD",0,1)</f>
        <v>0</v>
      </c>
      <c r="AS448" s="85" cm="1">
        <f t="array" ref="AS448">SUMPRODUCT(TRANSPOSE(tblMeasure[[#This Row],[str_msr_population_or_survey]:[str_src_quality_url]]),str_weights)/str_weights_total</f>
        <v>0.33846153846153848</v>
      </c>
    </row>
    <row r="449" spans="1:45" hidden="1" x14ac:dyDescent="0.15">
      <c r="A449" s="30">
        <v>447</v>
      </c>
      <c r="B449" s="32">
        <f>COUNTIF(requirement_measure_map!$D$3:$D$1514,measure!A449)</f>
        <v>3</v>
      </c>
      <c r="C449" s="30" t="s">
        <v>1395</v>
      </c>
      <c r="D449" s="15" t="s">
        <v>1356</v>
      </c>
      <c r="E449" s="15" t="s">
        <v>1447</v>
      </c>
      <c r="F449" s="15" t="s">
        <v>1448</v>
      </c>
      <c r="G449" s="13" t="s">
        <v>1359</v>
      </c>
      <c r="H449" s="15"/>
      <c r="I449" s="15" t="s">
        <v>429</v>
      </c>
      <c r="J449" s="15" t="s">
        <v>1360</v>
      </c>
      <c r="K449" s="15" t="s">
        <v>1398</v>
      </c>
      <c r="L449" s="15" t="s">
        <v>233</v>
      </c>
      <c r="M449" s="15" t="s">
        <v>243</v>
      </c>
      <c r="N449" s="15" t="s">
        <v>746</v>
      </c>
      <c r="O449" s="15" t="s">
        <v>1362</v>
      </c>
      <c r="P449" s="15" t="s">
        <v>219</v>
      </c>
      <c r="Q449" s="15" t="s">
        <v>219</v>
      </c>
      <c r="R449" s="15" t="s">
        <v>219</v>
      </c>
      <c r="S449" s="15" t="s">
        <v>219</v>
      </c>
      <c r="T449" s="15" t="s">
        <v>219</v>
      </c>
      <c r="U449" s="15" t="s">
        <v>219</v>
      </c>
      <c r="V449" s="15" t="s">
        <v>219</v>
      </c>
      <c r="W449" s="15">
        <v>32</v>
      </c>
      <c r="X449" s="15" t="str">
        <f>_xlfn.XLOOKUP(tblMeasure[[#This Row],[id_src]],tblSource[id_src],tblSource[org])</f>
        <v xml:space="preserve">NIH National Institute of Ageing </v>
      </c>
      <c r="Y449" s="25" t="str">
        <f>_xlfn.XLOOKUP(tblMeasure[[#This Row],[id_src]],tblSource[id_src],tblSource[source])</f>
        <v>English Longitudinal Study of Ageing</v>
      </c>
      <c r="Z449" s="25" t="str">
        <f>_xlfn.XLOOKUP(tblMeasure[[#This Row],[id_src]],tblSource[id_src],tblSource[url_source])</f>
        <v>https://www.ifs.org.uk/uploads/ELSA_Wave_8_report.pdf</v>
      </c>
      <c r="AA449" s="25">
        <f>_xlfn.XLOOKUP(tblMeasure[[#This Row],[id_src]],tblSource[id_src],tblSource[year_first_published])</f>
        <v>2002</v>
      </c>
      <c r="AB449" s="25">
        <f>_xlfn.XLOOKUP(tblMeasure[[#This Row],[id_src]],tblSource[id_src],tblSource[year_last_published])</f>
        <v>2018</v>
      </c>
      <c r="AC449" s="25">
        <f>_xlfn.XLOOKUP(tblMeasure[[#This Row],[id_src]],tblSource[id_src],tblSource[discontinuity])</f>
        <v>0</v>
      </c>
      <c r="AD449" s="25" t="str">
        <f>_xlfn.XLOOKUP(tblMeasure[[#This Row],[id_src]],tblSource[id_src],tblSource[publication_frequency])</f>
        <v>Biennial</v>
      </c>
      <c r="AE449" s="15">
        <f>_xlfn.XLOOKUP(tblMeasure[[#This Row],[id_src]],tblSource[id_src],tblSource[publication_lag_months])</f>
        <v>10</v>
      </c>
      <c r="AF449" s="25" t="str">
        <f>_xlfn.XLOOKUP(tblMeasure[[#This Row],[id_src]],tblSource[id_src],tblSource[data_providers])</f>
        <v>UCL, IFS, Manchester University, NatCen, UEA</v>
      </c>
      <c r="AG449" s="25" t="str">
        <f>_xlfn.XLOOKUP(tblMeasure[[#This Row],[id_src]],tblSource[id_src],tblSource[statistic_class])</f>
        <v>TBD</v>
      </c>
      <c r="AH449" s="25" t="str">
        <f>_xlfn.XLOOKUP(tblMeasure[[#This Row],[id_src]],tblSource[id_src],tblSource[methodology_link])</f>
        <v>https://www.ifs.org.uk/uploads/ELSA_Wave_8_report.pdf</v>
      </c>
      <c r="AI449" s="25" t="str">
        <f>_xlfn.XLOOKUP(tblMeasure[[#This Row],[id_src]],tblSource[id_src],tblSource[quality_issues])</f>
        <v>TBD</v>
      </c>
      <c r="AJ449" s="25">
        <f>VLOOKUP(tblMeasure[[#This Row],[msr_population_or_survey]],strlu_msr_population_or_survey,2,FALSE)</f>
        <v>0</v>
      </c>
      <c r="AK449" s="25">
        <f>VLOOKUP(tblMeasure[[#This Row],[msr_min_geo_resolution]],strlu_msr_min_geo_resolution,2,FALSE)</f>
        <v>0</v>
      </c>
      <c r="AL449" s="25">
        <f>(MAX(tblMeasure[[#This Row],[src_year_last_published]]-2010+1,0)+MIN(2010-tblMeasure[[#This Row],[src_year_first_published]],0)-MAX(tblMeasure[[#This Row],[src_year_last_published]]-2019,0))/10</f>
        <v>0.9</v>
      </c>
      <c r="AM449" s="25">
        <f>IF(OR(tblMeasure[[#This Row],[src_discontinuity]]="None",tblMeasure[[#This Row],[src_discontinuity]]=0),1,0)</f>
        <v>1</v>
      </c>
      <c r="AN449" s="25">
        <f>VLOOKUP(tblMeasure[[#This Row],[src_pub_frequency]],strlu_src_pub_frequency,2,FALSE)</f>
        <v>0.5</v>
      </c>
      <c r="AO449" s="25">
        <f>VLOOKUP(tblMeasure[[#This Row],[src_pub_lag_months]],strlu_src_pub_lag_months,2,FALSE)</f>
        <v>0.1</v>
      </c>
      <c r="AP449" s="25">
        <f>VLOOKUP(tblMeasure[[#This Row],[src_statistic_class]],strlu_src_statistic_class,2,FALSE)</f>
        <v>0</v>
      </c>
      <c r="AQ449" s="25">
        <f>IF(tblMeasure[[#This Row],[src_methodology_url]]="TBD",0,1)</f>
        <v>1</v>
      </c>
      <c r="AR449" s="25">
        <f>IF(tblMeasure[[#This Row],[src_quality_url]]="TBD",0,1)</f>
        <v>0</v>
      </c>
      <c r="AS449" s="85" cm="1">
        <f t="array" ref="AS449">SUMPRODUCT(TRANSPOSE(tblMeasure[[#This Row],[str_msr_population_or_survey]:[str_src_quality_url]]),str_weights)/str_weights_total</f>
        <v>0.33846153846153848</v>
      </c>
    </row>
    <row r="450" spans="1:45" hidden="1" x14ac:dyDescent="0.15">
      <c r="A450" s="30">
        <v>448</v>
      </c>
      <c r="B450" s="32">
        <f>COUNTIF(requirement_measure_map!$D$3:$D$1514,measure!A450)</f>
        <v>3</v>
      </c>
      <c r="C450" s="30" t="s">
        <v>1395</v>
      </c>
      <c r="D450" s="15" t="s">
        <v>1356</v>
      </c>
      <c r="E450" s="15" t="s">
        <v>1449</v>
      </c>
      <c r="F450" s="15" t="s">
        <v>1450</v>
      </c>
      <c r="G450" s="13" t="s">
        <v>1359</v>
      </c>
      <c r="H450" s="15"/>
      <c r="I450" s="15" t="s">
        <v>429</v>
      </c>
      <c r="J450" s="15" t="s">
        <v>1360</v>
      </c>
      <c r="K450" s="15" t="s">
        <v>1398</v>
      </c>
      <c r="L450" s="15" t="s">
        <v>233</v>
      </c>
      <c r="M450" s="15" t="s">
        <v>243</v>
      </c>
      <c r="N450" s="15" t="s">
        <v>746</v>
      </c>
      <c r="O450" s="15" t="s">
        <v>1362</v>
      </c>
      <c r="P450" s="15" t="s">
        <v>219</v>
      </c>
      <c r="Q450" s="15" t="s">
        <v>219</v>
      </c>
      <c r="R450" s="15" t="s">
        <v>219</v>
      </c>
      <c r="S450" s="15" t="s">
        <v>219</v>
      </c>
      <c r="T450" s="15" t="s">
        <v>219</v>
      </c>
      <c r="U450" s="15" t="s">
        <v>219</v>
      </c>
      <c r="V450" s="15" t="s">
        <v>219</v>
      </c>
      <c r="W450" s="15">
        <v>32</v>
      </c>
      <c r="X450" s="15" t="str">
        <f>_xlfn.XLOOKUP(tblMeasure[[#This Row],[id_src]],tblSource[id_src],tblSource[org])</f>
        <v xml:space="preserve">NIH National Institute of Ageing </v>
      </c>
      <c r="Y450" s="25" t="str">
        <f>_xlfn.XLOOKUP(tblMeasure[[#This Row],[id_src]],tblSource[id_src],tblSource[source])</f>
        <v>English Longitudinal Study of Ageing</v>
      </c>
      <c r="Z450" s="25" t="str">
        <f>_xlfn.XLOOKUP(tblMeasure[[#This Row],[id_src]],tblSource[id_src],tblSource[url_source])</f>
        <v>https://www.ifs.org.uk/uploads/ELSA_Wave_8_report.pdf</v>
      </c>
      <c r="AA450" s="25">
        <f>_xlfn.XLOOKUP(tblMeasure[[#This Row],[id_src]],tblSource[id_src],tblSource[year_first_published])</f>
        <v>2002</v>
      </c>
      <c r="AB450" s="25">
        <f>_xlfn.XLOOKUP(tblMeasure[[#This Row],[id_src]],tblSource[id_src],tblSource[year_last_published])</f>
        <v>2018</v>
      </c>
      <c r="AC450" s="25">
        <f>_xlfn.XLOOKUP(tblMeasure[[#This Row],[id_src]],tblSource[id_src],tblSource[discontinuity])</f>
        <v>0</v>
      </c>
      <c r="AD450" s="25" t="str">
        <f>_xlfn.XLOOKUP(tblMeasure[[#This Row],[id_src]],tblSource[id_src],tblSource[publication_frequency])</f>
        <v>Biennial</v>
      </c>
      <c r="AE450" s="15">
        <f>_xlfn.XLOOKUP(tblMeasure[[#This Row],[id_src]],tblSource[id_src],tblSource[publication_lag_months])</f>
        <v>10</v>
      </c>
      <c r="AF450" s="25" t="str">
        <f>_xlfn.XLOOKUP(tblMeasure[[#This Row],[id_src]],tblSource[id_src],tblSource[data_providers])</f>
        <v>UCL, IFS, Manchester University, NatCen, UEA</v>
      </c>
      <c r="AG450" s="25" t="str">
        <f>_xlfn.XLOOKUP(tblMeasure[[#This Row],[id_src]],tblSource[id_src],tblSource[statistic_class])</f>
        <v>TBD</v>
      </c>
      <c r="AH450" s="25" t="str">
        <f>_xlfn.XLOOKUP(tblMeasure[[#This Row],[id_src]],tblSource[id_src],tblSource[methodology_link])</f>
        <v>https://www.ifs.org.uk/uploads/ELSA_Wave_8_report.pdf</v>
      </c>
      <c r="AI450" s="25" t="str">
        <f>_xlfn.XLOOKUP(tblMeasure[[#This Row],[id_src]],tblSource[id_src],tblSource[quality_issues])</f>
        <v>TBD</v>
      </c>
      <c r="AJ450" s="25">
        <f>VLOOKUP(tblMeasure[[#This Row],[msr_population_or_survey]],strlu_msr_population_or_survey,2,FALSE)</f>
        <v>0</v>
      </c>
      <c r="AK450" s="25">
        <f>VLOOKUP(tblMeasure[[#This Row],[msr_min_geo_resolution]],strlu_msr_min_geo_resolution,2,FALSE)</f>
        <v>0</v>
      </c>
      <c r="AL450" s="25">
        <f>(MAX(tblMeasure[[#This Row],[src_year_last_published]]-2010+1,0)+MIN(2010-tblMeasure[[#This Row],[src_year_first_published]],0)-MAX(tblMeasure[[#This Row],[src_year_last_published]]-2019,0))/10</f>
        <v>0.9</v>
      </c>
      <c r="AM450" s="25">
        <f>IF(OR(tblMeasure[[#This Row],[src_discontinuity]]="None",tblMeasure[[#This Row],[src_discontinuity]]=0),1,0)</f>
        <v>1</v>
      </c>
      <c r="AN450" s="25">
        <f>VLOOKUP(tblMeasure[[#This Row],[src_pub_frequency]],strlu_src_pub_frequency,2,FALSE)</f>
        <v>0.5</v>
      </c>
      <c r="AO450" s="25">
        <f>VLOOKUP(tblMeasure[[#This Row],[src_pub_lag_months]],strlu_src_pub_lag_months,2,FALSE)</f>
        <v>0.1</v>
      </c>
      <c r="AP450" s="25">
        <f>VLOOKUP(tblMeasure[[#This Row],[src_statistic_class]],strlu_src_statistic_class,2,FALSE)</f>
        <v>0</v>
      </c>
      <c r="AQ450" s="25">
        <f>IF(tblMeasure[[#This Row],[src_methodology_url]]="TBD",0,1)</f>
        <v>1</v>
      </c>
      <c r="AR450" s="25">
        <f>IF(tblMeasure[[#This Row],[src_quality_url]]="TBD",0,1)</f>
        <v>0</v>
      </c>
      <c r="AS450" s="85" cm="1">
        <f t="array" ref="AS450">SUMPRODUCT(TRANSPOSE(tblMeasure[[#This Row],[str_msr_population_or_survey]:[str_src_quality_url]]),str_weights)/str_weights_total</f>
        <v>0.33846153846153848</v>
      </c>
    </row>
    <row r="451" spans="1:45" hidden="1" x14ac:dyDescent="0.15">
      <c r="A451" s="30">
        <v>449</v>
      </c>
      <c r="B451" s="32">
        <f>COUNTIF(requirement_measure_map!$D$3:$D$1514,measure!A451)</f>
        <v>0</v>
      </c>
      <c r="C451" s="30" t="s">
        <v>800</v>
      </c>
      <c r="D451" s="15" t="s">
        <v>1451</v>
      </c>
      <c r="E451" s="15" t="s">
        <v>1452</v>
      </c>
      <c r="F451" s="15" t="s">
        <v>1453</v>
      </c>
      <c r="G451" s="13" t="s">
        <v>1359</v>
      </c>
      <c r="H451" s="15"/>
      <c r="I451" s="15" t="s">
        <v>429</v>
      </c>
      <c r="J451" s="15" t="s">
        <v>1360</v>
      </c>
      <c r="K451" s="15" t="s">
        <v>1454</v>
      </c>
      <c r="L451" s="15" t="s">
        <v>233</v>
      </c>
      <c r="M451" s="15" t="s">
        <v>349</v>
      </c>
      <c r="N451" s="15" t="s">
        <v>746</v>
      </c>
      <c r="O451" s="15" t="s">
        <v>1362</v>
      </c>
      <c r="P451" s="15" t="s">
        <v>219</v>
      </c>
      <c r="Q451" s="15" t="s">
        <v>219</v>
      </c>
      <c r="R451" s="15" t="s">
        <v>219</v>
      </c>
      <c r="S451" s="15" t="s">
        <v>219</v>
      </c>
      <c r="T451" s="15" t="s">
        <v>219</v>
      </c>
      <c r="U451" s="15" t="s">
        <v>219</v>
      </c>
      <c r="V451" s="15" t="s">
        <v>219</v>
      </c>
      <c r="W451" s="15">
        <v>32</v>
      </c>
      <c r="X451" s="15" t="str">
        <f>_xlfn.XLOOKUP(tblMeasure[[#This Row],[id_src]],tblSource[id_src],tblSource[org])</f>
        <v xml:space="preserve">NIH National Institute of Ageing </v>
      </c>
      <c r="Y451" s="25" t="str">
        <f>_xlfn.XLOOKUP(tblMeasure[[#This Row],[id_src]],tblSource[id_src],tblSource[source])</f>
        <v>English Longitudinal Study of Ageing</v>
      </c>
      <c r="Z451" s="25" t="str">
        <f>_xlfn.XLOOKUP(tblMeasure[[#This Row],[id_src]],tblSource[id_src],tblSource[url_source])</f>
        <v>https://www.ifs.org.uk/uploads/ELSA_Wave_8_report.pdf</v>
      </c>
      <c r="AA451" s="25">
        <f>_xlfn.XLOOKUP(tblMeasure[[#This Row],[id_src]],tblSource[id_src],tblSource[year_first_published])</f>
        <v>2002</v>
      </c>
      <c r="AB451" s="25">
        <f>_xlfn.XLOOKUP(tblMeasure[[#This Row],[id_src]],tblSource[id_src],tblSource[year_last_published])</f>
        <v>2018</v>
      </c>
      <c r="AC451" s="25">
        <f>_xlfn.XLOOKUP(tblMeasure[[#This Row],[id_src]],tblSource[id_src],tblSource[discontinuity])</f>
        <v>0</v>
      </c>
      <c r="AD451" s="25" t="str">
        <f>_xlfn.XLOOKUP(tblMeasure[[#This Row],[id_src]],tblSource[id_src],tblSource[publication_frequency])</f>
        <v>Biennial</v>
      </c>
      <c r="AE451" s="15">
        <f>_xlfn.XLOOKUP(tblMeasure[[#This Row],[id_src]],tblSource[id_src],tblSource[publication_lag_months])</f>
        <v>10</v>
      </c>
      <c r="AF451" s="25" t="str">
        <f>_xlfn.XLOOKUP(tblMeasure[[#This Row],[id_src]],tblSource[id_src],tblSource[data_providers])</f>
        <v>UCL, IFS, Manchester University, NatCen, UEA</v>
      </c>
      <c r="AG451" s="25" t="str">
        <f>_xlfn.XLOOKUP(tblMeasure[[#This Row],[id_src]],tblSource[id_src],tblSource[statistic_class])</f>
        <v>TBD</v>
      </c>
      <c r="AH451" s="25" t="str">
        <f>_xlfn.XLOOKUP(tblMeasure[[#This Row],[id_src]],tblSource[id_src],tblSource[methodology_link])</f>
        <v>https://www.ifs.org.uk/uploads/ELSA_Wave_8_report.pdf</v>
      </c>
      <c r="AI451" s="25" t="str">
        <f>_xlfn.XLOOKUP(tblMeasure[[#This Row],[id_src]],tblSource[id_src],tblSource[quality_issues])</f>
        <v>TBD</v>
      </c>
      <c r="AJ451" s="25">
        <f>VLOOKUP(tblMeasure[[#This Row],[msr_population_or_survey]],strlu_msr_population_or_survey,2,FALSE)</f>
        <v>0</v>
      </c>
      <c r="AK451" s="25">
        <f>VLOOKUP(tblMeasure[[#This Row],[msr_min_geo_resolution]],strlu_msr_min_geo_resolution,2,FALSE)</f>
        <v>0</v>
      </c>
      <c r="AL451" s="25">
        <f>(MAX(tblMeasure[[#This Row],[src_year_last_published]]-2010+1,0)+MIN(2010-tblMeasure[[#This Row],[src_year_first_published]],0)-MAX(tblMeasure[[#This Row],[src_year_last_published]]-2019,0))/10</f>
        <v>0.9</v>
      </c>
      <c r="AM451" s="25">
        <f>IF(OR(tblMeasure[[#This Row],[src_discontinuity]]="None",tblMeasure[[#This Row],[src_discontinuity]]=0),1,0)</f>
        <v>1</v>
      </c>
      <c r="AN451" s="25">
        <f>VLOOKUP(tblMeasure[[#This Row],[src_pub_frequency]],strlu_src_pub_frequency,2,FALSE)</f>
        <v>0.5</v>
      </c>
      <c r="AO451" s="25">
        <f>VLOOKUP(tblMeasure[[#This Row],[src_pub_lag_months]],strlu_src_pub_lag_months,2,FALSE)</f>
        <v>0.1</v>
      </c>
      <c r="AP451" s="25">
        <f>VLOOKUP(tblMeasure[[#This Row],[src_statistic_class]],strlu_src_statistic_class,2,FALSE)</f>
        <v>0</v>
      </c>
      <c r="AQ451" s="25">
        <f>IF(tblMeasure[[#This Row],[src_methodology_url]]="TBD",0,1)</f>
        <v>1</v>
      </c>
      <c r="AR451" s="25">
        <f>IF(tblMeasure[[#This Row],[src_quality_url]]="TBD",0,1)</f>
        <v>0</v>
      </c>
      <c r="AS451" s="85" cm="1">
        <f t="array" ref="AS451">SUMPRODUCT(TRANSPOSE(tblMeasure[[#This Row],[str_msr_population_or_survey]:[str_src_quality_url]]),str_weights)/str_weights_total</f>
        <v>0.33846153846153848</v>
      </c>
    </row>
    <row r="452" spans="1:45" hidden="1" x14ac:dyDescent="0.15">
      <c r="A452" s="30">
        <v>450</v>
      </c>
      <c r="B452" s="32">
        <f>COUNTIF(requirement_measure_map!$D$3:$D$1514,measure!A452)</f>
        <v>0</v>
      </c>
      <c r="C452" s="30" t="s">
        <v>800</v>
      </c>
      <c r="D452" s="15" t="s">
        <v>1451</v>
      </c>
      <c r="E452" s="15" t="s">
        <v>1455</v>
      </c>
      <c r="F452" s="15" t="s">
        <v>1456</v>
      </c>
      <c r="G452" s="13" t="s">
        <v>1359</v>
      </c>
      <c r="H452" s="15"/>
      <c r="I452" s="15" t="s">
        <v>429</v>
      </c>
      <c r="J452" s="15" t="s">
        <v>1360</v>
      </c>
      <c r="K452" s="15" t="s">
        <v>1454</v>
      </c>
      <c r="L452" s="15" t="s">
        <v>233</v>
      </c>
      <c r="M452" s="15" t="s">
        <v>1362</v>
      </c>
      <c r="N452" s="15" t="s">
        <v>746</v>
      </c>
      <c r="O452" s="15" t="s">
        <v>243</v>
      </c>
      <c r="P452" s="15" t="s">
        <v>219</v>
      </c>
      <c r="Q452" s="15" t="s">
        <v>219</v>
      </c>
      <c r="R452" s="15" t="s">
        <v>219</v>
      </c>
      <c r="S452" s="15" t="s">
        <v>219</v>
      </c>
      <c r="T452" s="15" t="s">
        <v>219</v>
      </c>
      <c r="U452" s="15" t="s">
        <v>219</v>
      </c>
      <c r="V452" s="15" t="s">
        <v>219</v>
      </c>
      <c r="W452" s="15">
        <v>32</v>
      </c>
      <c r="X452" s="15" t="str">
        <f>_xlfn.XLOOKUP(tblMeasure[[#This Row],[id_src]],tblSource[id_src],tblSource[org])</f>
        <v xml:space="preserve">NIH National Institute of Ageing </v>
      </c>
      <c r="Y452" s="25" t="str">
        <f>_xlfn.XLOOKUP(tblMeasure[[#This Row],[id_src]],tblSource[id_src],tblSource[source])</f>
        <v>English Longitudinal Study of Ageing</v>
      </c>
      <c r="Z452" s="25" t="str">
        <f>_xlfn.XLOOKUP(tblMeasure[[#This Row],[id_src]],tblSource[id_src],tblSource[url_source])</f>
        <v>https://www.ifs.org.uk/uploads/ELSA_Wave_8_report.pdf</v>
      </c>
      <c r="AA452" s="25">
        <f>_xlfn.XLOOKUP(tblMeasure[[#This Row],[id_src]],tblSource[id_src],tblSource[year_first_published])</f>
        <v>2002</v>
      </c>
      <c r="AB452" s="25">
        <f>_xlfn.XLOOKUP(tblMeasure[[#This Row],[id_src]],tblSource[id_src],tblSource[year_last_published])</f>
        <v>2018</v>
      </c>
      <c r="AC452" s="25">
        <f>_xlfn.XLOOKUP(tblMeasure[[#This Row],[id_src]],tblSource[id_src],tblSource[discontinuity])</f>
        <v>0</v>
      </c>
      <c r="AD452" s="25" t="str">
        <f>_xlfn.XLOOKUP(tblMeasure[[#This Row],[id_src]],tblSource[id_src],tblSource[publication_frequency])</f>
        <v>Biennial</v>
      </c>
      <c r="AE452" s="15">
        <f>_xlfn.XLOOKUP(tblMeasure[[#This Row],[id_src]],tblSource[id_src],tblSource[publication_lag_months])</f>
        <v>10</v>
      </c>
      <c r="AF452" s="25" t="str">
        <f>_xlfn.XLOOKUP(tblMeasure[[#This Row],[id_src]],tblSource[id_src],tblSource[data_providers])</f>
        <v>UCL, IFS, Manchester University, NatCen, UEA</v>
      </c>
      <c r="AG452" s="25" t="str">
        <f>_xlfn.XLOOKUP(tblMeasure[[#This Row],[id_src]],tblSource[id_src],tblSource[statistic_class])</f>
        <v>TBD</v>
      </c>
      <c r="AH452" s="25" t="str">
        <f>_xlfn.XLOOKUP(tblMeasure[[#This Row],[id_src]],tblSource[id_src],tblSource[methodology_link])</f>
        <v>https://www.ifs.org.uk/uploads/ELSA_Wave_8_report.pdf</v>
      </c>
      <c r="AI452" s="25" t="str">
        <f>_xlfn.XLOOKUP(tblMeasure[[#This Row],[id_src]],tblSource[id_src],tblSource[quality_issues])</f>
        <v>TBD</v>
      </c>
      <c r="AJ452" s="25">
        <f>VLOOKUP(tblMeasure[[#This Row],[msr_population_or_survey]],strlu_msr_population_or_survey,2,FALSE)</f>
        <v>0</v>
      </c>
      <c r="AK452" s="25">
        <f>VLOOKUP(tblMeasure[[#This Row],[msr_min_geo_resolution]],strlu_msr_min_geo_resolution,2,FALSE)</f>
        <v>0</v>
      </c>
      <c r="AL452" s="25">
        <f>(MAX(tblMeasure[[#This Row],[src_year_last_published]]-2010+1,0)+MIN(2010-tblMeasure[[#This Row],[src_year_first_published]],0)-MAX(tblMeasure[[#This Row],[src_year_last_published]]-2019,0))/10</f>
        <v>0.9</v>
      </c>
      <c r="AM452" s="25">
        <f>IF(OR(tblMeasure[[#This Row],[src_discontinuity]]="None",tblMeasure[[#This Row],[src_discontinuity]]=0),1,0)</f>
        <v>1</v>
      </c>
      <c r="AN452" s="25">
        <f>VLOOKUP(tblMeasure[[#This Row],[src_pub_frequency]],strlu_src_pub_frequency,2,FALSE)</f>
        <v>0.5</v>
      </c>
      <c r="AO452" s="25">
        <f>VLOOKUP(tblMeasure[[#This Row],[src_pub_lag_months]],strlu_src_pub_lag_months,2,FALSE)</f>
        <v>0.1</v>
      </c>
      <c r="AP452" s="25">
        <f>VLOOKUP(tblMeasure[[#This Row],[src_statistic_class]],strlu_src_statistic_class,2,FALSE)</f>
        <v>0</v>
      </c>
      <c r="AQ452" s="25">
        <f>IF(tblMeasure[[#This Row],[src_methodology_url]]="TBD",0,1)</f>
        <v>1</v>
      </c>
      <c r="AR452" s="25">
        <f>IF(tblMeasure[[#This Row],[src_quality_url]]="TBD",0,1)</f>
        <v>0</v>
      </c>
      <c r="AS452" s="85" cm="1">
        <f t="array" ref="AS452">SUMPRODUCT(TRANSPOSE(tblMeasure[[#This Row],[str_msr_population_or_survey]:[str_src_quality_url]]),str_weights)/str_weights_total</f>
        <v>0.33846153846153848</v>
      </c>
    </row>
    <row r="453" spans="1:45" hidden="1" x14ac:dyDescent="0.15">
      <c r="A453" s="30">
        <v>451</v>
      </c>
      <c r="B453" s="32">
        <f>COUNTIF(requirement_measure_map!$D$3:$D$1514,measure!A453)</f>
        <v>0</v>
      </c>
      <c r="C453" s="30" t="s">
        <v>800</v>
      </c>
      <c r="D453" s="15" t="s">
        <v>1451</v>
      </c>
      <c r="E453" s="15" t="s">
        <v>1457</v>
      </c>
      <c r="F453" s="15" t="s">
        <v>1458</v>
      </c>
      <c r="G453" s="13" t="s">
        <v>1359</v>
      </c>
      <c r="H453" s="15"/>
      <c r="I453" s="15" t="s">
        <v>429</v>
      </c>
      <c r="J453" s="15" t="s">
        <v>1360</v>
      </c>
      <c r="K453" s="15" t="s">
        <v>1459</v>
      </c>
      <c r="L453" s="15" t="s">
        <v>233</v>
      </c>
      <c r="M453" s="15" t="s">
        <v>349</v>
      </c>
      <c r="N453" s="15" t="s">
        <v>267</v>
      </c>
      <c r="O453" s="15" t="s">
        <v>1362</v>
      </c>
      <c r="P453" s="15" t="s">
        <v>219</v>
      </c>
      <c r="Q453" s="15" t="s">
        <v>219</v>
      </c>
      <c r="R453" s="15" t="s">
        <v>219</v>
      </c>
      <c r="S453" s="15" t="s">
        <v>219</v>
      </c>
      <c r="T453" s="15" t="s">
        <v>219</v>
      </c>
      <c r="U453" s="15" t="s">
        <v>219</v>
      </c>
      <c r="V453" s="15" t="s">
        <v>219</v>
      </c>
      <c r="W453" s="15">
        <v>32</v>
      </c>
      <c r="X453" s="15" t="str">
        <f>_xlfn.XLOOKUP(tblMeasure[[#This Row],[id_src]],tblSource[id_src],tblSource[org])</f>
        <v xml:space="preserve">NIH National Institute of Ageing </v>
      </c>
      <c r="Y453" s="25" t="str">
        <f>_xlfn.XLOOKUP(tblMeasure[[#This Row],[id_src]],tblSource[id_src],tblSource[source])</f>
        <v>English Longitudinal Study of Ageing</v>
      </c>
      <c r="Z453" s="25" t="str">
        <f>_xlfn.XLOOKUP(tblMeasure[[#This Row],[id_src]],tblSource[id_src],tblSource[url_source])</f>
        <v>https://www.ifs.org.uk/uploads/ELSA_Wave_8_report.pdf</v>
      </c>
      <c r="AA453" s="25">
        <f>_xlfn.XLOOKUP(tblMeasure[[#This Row],[id_src]],tblSource[id_src],tblSource[year_first_published])</f>
        <v>2002</v>
      </c>
      <c r="AB453" s="25">
        <f>_xlfn.XLOOKUP(tblMeasure[[#This Row],[id_src]],tblSource[id_src],tblSource[year_last_published])</f>
        <v>2018</v>
      </c>
      <c r="AC453" s="25">
        <f>_xlfn.XLOOKUP(tblMeasure[[#This Row],[id_src]],tblSource[id_src],tblSource[discontinuity])</f>
        <v>0</v>
      </c>
      <c r="AD453" s="25" t="str">
        <f>_xlfn.XLOOKUP(tblMeasure[[#This Row],[id_src]],tblSource[id_src],tblSource[publication_frequency])</f>
        <v>Biennial</v>
      </c>
      <c r="AE453" s="15">
        <f>_xlfn.XLOOKUP(tblMeasure[[#This Row],[id_src]],tblSource[id_src],tblSource[publication_lag_months])</f>
        <v>10</v>
      </c>
      <c r="AF453" s="25" t="str">
        <f>_xlfn.XLOOKUP(tblMeasure[[#This Row],[id_src]],tblSource[id_src],tblSource[data_providers])</f>
        <v>UCL, IFS, Manchester University, NatCen, UEA</v>
      </c>
      <c r="AG453" s="25" t="str">
        <f>_xlfn.XLOOKUP(tblMeasure[[#This Row],[id_src]],tblSource[id_src],tblSource[statistic_class])</f>
        <v>TBD</v>
      </c>
      <c r="AH453" s="25" t="str">
        <f>_xlfn.XLOOKUP(tblMeasure[[#This Row],[id_src]],tblSource[id_src],tblSource[methodology_link])</f>
        <v>https://www.ifs.org.uk/uploads/ELSA_Wave_8_report.pdf</v>
      </c>
      <c r="AI453" s="25" t="str">
        <f>_xlfn.XLOOKUP(tblMeasure[[#This Row],[id_src]],tblSource[id_src],tblSource[quality_issues])</f>
        <v>TBD</v>
      </c>
      <c r="AJ453" s="25">
        <f>VLOOKUP(tblMeasure[[#This Row],[msr_population_or_survey]],strlu_msr_population_or_survey,2,FALSE)</f>
        <v>0</v>
      </c>
      <c r="AK453" s="25">
        <f>VLOOKUP(tblMeasure[[#This Row],[msr_min_geo_resolution]],strlu_msr_min_geo_resolution,2,FALSE)</f>
        <v>0</v>
      </c>
      <c r="AL453" s="25">
        <f>(MAX(tblMeasure[[#This Row],[src_year_last_published]]-2010+1,0)+MIN(2010-tblMeasure[[#This Row],[src_year_first_published]],0)-MAX(tblMeasure[[#This Row],[src_year_last_published]]-2019,0))/10</f>
        <v>0.9</v>
      </c>
      <c r="AM453" s="25">
        <f>IF(OR(tblMeasure[[#This Row],[src_discontinuity]]="None",tblMeasure[[#This Row],[src_discontinuity]]=0),1,0)</f>
        <v>1</v>
      </c>
      <c r="AN453" s="25">
        <f>VLOOKUP(tblMeasure[[#This Row],[src_pub_frequency]],strlu_src_pub_frequency,2,FALSE)</f>
        <v>0.5</v>
      </c>
      <c r="AO453" s="25">
        <f>VLOOKUP(tblMeasure[[#This Row],[src_pub_lag_months]],strlu_src_pub_lag_months,2,FALSE)</f>
        <v>0.1</v>
      </c>
      <c r="AP453" s="25">
        <f>VLOOKUP(tblMeasure[[#This Row],[src_statistic_class]],strlu_src_statistic_class,2,FALSE)</f>
        <v>0</v>
      </c>
      <c r="AQ453" s="25">
        <f>IF(tblMeasure[[#This Row],[src_methodology_url]]="TBD",0,1)</f>
        <v>1</v>
      </c>
      <c r="AR453" s="25">
        <f>IF(tblMeasure[[#This Row],[src_quality_url]]="TBD",0,1)</f>
        <v>0</v>
      </c>
      <c r="AS453" s="85" cm="1">
        <f t="array" ref="AS453">SUMPRODUCT(TRANSPOSE(tblMeasure[[#This Row],[str_msr_population_or_survey]:[str_src_quality_url]]),str_weights)/str_weights_total</f>
        <v>0.33846153846153848</v>
      </c>
    </row>
    <row r="454" spans="1:45" hidden="1" x14ac:dyDescent="0.15">
      <c r="A454" s="30">
        <v>452</v>
      </c>
      <c r="B454" s="32">
        <f>COUNTIF(requirement_measure_map!$D$3:$D$1514,measure!A454)</f>
        <v>0</v>
      </c>
      <c r="C454" s="30" t="s">
        <v>800</v>
      </c>
      <c r="D454" s="15" t="s">
        <v>1451</v>
      </c>
      <c r="E454" s="15" t="s">
        <v>1460</v>
      </c>
      <c r="F454" s="15" t="s">
        <v>1461</v>
      </c>
      <c r="G454" s="13" t="s">
        <v>1359</v>
      </c>
      <c r="H454" s="15"/>
      <c r="I454" s="15" t="s">
        <v>429</v>
      </c>
      <c r="J454" s="15" t="s">
        <v>1360</v>
      </c>
      <c r="K454" s="15" t="s">
        <v>1459</v>
      </c>
      <c r="L454" s="15" t="s">
        <v>233</v>
      </c>
      <c r="M454" s="15" t="s">
        <v>1362</v>
      </c>
      <c r="N454" s="15" t="s">
        <v>267</v>
      </c>
      <c r="O454" s="15" t="s">
        <v>243</v>
      </c>
      <c r="P454" s="15" t="s">
        <v>219</v>
      </c>
      <c r="Q454" s="15" t="s">
        <v>219</v>
      </c>
      <c r="R454" s="15" t="s">
        <v>219</v>
      </c>
      <c r="S454" s="15" t="s">
        <v>219</v>
      </c>
      <c r="T454" s="15" t="s">
        <v>219</v>
      </c>
      <c r="U454" s="15" t="s">
        <v>219</v>
      </c>
      <c r="V454" s="15" t="s">
        <v>219</v>
      </c>
      <c r="W454" s="15">
        <v>32</v>
      </c>
      <c r="X454" s="15" t="str">
        <f>_xlfn.XLOOKUP(tblMeasure[[#This Row],[id_src]],tblSource[id_src],tblSource[org])</f>
        <v xml:space="preserve">NIH National Institute of Ageing </v>
      </c>
      <c r="Y454" s="25" t="str">
        <f>_xlfn.XLOOKUP(tblMeasure[[#This Row],[id_src]],tblSource[id_src],tblSource[source])</f>
        <v>English Longitudinal Study of Ageing</v>
      </c>
      <c r="Z454" s="25" t="str">
        <f>_xlfn.XLOOKUP(tblMeasure[[#This Row],[id_src]],tblSource[id_src],tblSource[url_source])</f>
        <v>https://www.ifs.org.uk/uploads/ELSA_Wave_8_report.pdf</v>
      </c>
      <c r="AA454" s="25">
        <f>_xlfn.XLOOKUP(tblMeasure[[#This Row],[id_src]],tblSource[id_src],tblSource[year_first_published])</f>
        <v>2002</v>
      </c>
      <c r="AB454" s="25">
        <f>_xlfn.XLOOKUP(tblMeasure[[#This Row],[id_src]],tblSource[id_src],tblSource[year_last_published])</f>
        <v>2018</v>
      </c>
      <c r="AC454" s="25">
        <f>_xlfn.XLOOKUP(tblMeasure[[#This Row],[id_src]],tblSource[id_src],tblSource[discontinuity])</f>
        <v>0</v>
      </c>
      <c r="AD454" s="25" t="str">
        <f>_xlfn.XLOOKUP(tblMeasure[[#This Row],[id_src]],tblSource[id_src],tblSource[publication_frequency])</f>
        <v>Biennial</v>
      </c>
      <c r="AE454" s="15">
        <f>_xlfn.XLOOKUP(tblMeasure[[#This Row],[id_src]],tblSource[id_src],tblSource[publication_lag_months])</f>
        <v>10</v>
      </c>
      <c r="AF454" s="25" t="str">
        <f>_xlfn.XLOOKUP(tblMeasure[[#This Row],[id_src]],tblSource[id_src],tblSource[data_providers])</f>
        <v>UCL, IFS, Manchester University, NatCen, UEA</v>
      </c>
      <c r="AG454" s="25" t="str">
        <f>_xlfn.XLOOKUP(tblMeasure[[#This Row],[id_src]],tblSource[id_src],tblSource[statistic_class])</f>
        <v>TBD</v>
      </c>
      <c r="AH454" s="25" t="str">
        <f>_xlfn.XLOOKUP(tblMeasure[[#This Row],[id_src]],tblSource[id_src],tblSource[methodology_link])</f>
        <v>https://www.ifs.org.uk/uploads/ELSA_Wave_8_report.pdf</v>
      </c>
      <c r="AI454" s="25" t="str">
        <f>_xlfn.XLOOKUP(tblMeasure[[#This Row],[id_src]],tblSource[id_src],tblSource[quality_issues])</f>
        <v>TBD</v>
      </c>
      <c r="AJ454" s="25">
        <f>VLOOKUP(tblMeasure[[#This Row],[msr_population_or_survey]],strlu_msr_population_or_survey,2,FALSE)</f>
        <v>0</v>
      </c>
      <c r="AK454" s="25">
        <f>VLOOKUP(tblMeasure[[#This Row],[msr_min_geo_resolution]],strlu_msr_min_geo_resolution,2,FALSE)</f>
        <v>0</v>
      </c>
      <c r="AL454" s="25">
        <f>(MAX(tblMeasure[[#This Row],[src_year_last_published]]-2010+1,0)+MIN(2010-tblMeasure[[#This Row],[src_year_first_published]],0)-MAX(tblMeasure[[#This Row],[src_year_last_published]]-2019,0))/10</f>
        <v>0.9</v>
      </c>
      <c r="AM454" s="25">
        <f>IF(OR(tblMeasure[[#This Row],[src_discontinuity]]="None",tblMeasure[[#This Row],[src_discontinuity]]=0),1,0)</f>
        <v>1</v>
      </c>
      <c r="AN454" s="25">
        <f>VLOOKUP(tblMeasure[[#This Row],[src_pub_frequency]],strlu_src_pub_frequency,2,FALSE)</f>
        <v>0.5</v>
      </c>
      <c r="AO454" s="25">
        <f>VLOOKUP(tblMeasure[[#This Row],[src_pub_lag_months]],strlu_src_pub_lag_months,2,FALSE)</f>
        <v>0.1</v>
      </c>
      <c r="AP454" s="25">
        <f>VLOOKUP(tblMeasure[[#This Row],[src_statistic_class]],strlu_src_statistic_class,2,FALSE)</f>
        <v>0</v>
      </c>
      <c r="AQ454" s="25">
        <f>IF(tblMeasure[[#This Row],[src_methodology_url]]="TBD",0,1)</f>
        <v>1</v>
      </c>
      <c r="AR454" s="25">
        <f>IF(tblMeasure[[#This Row],[src_quality_url]]="TBD",0,1)</f>
        <v>0</v>
      </c>
      <c r="AS454" s="85" cm="1">
        <f t="array" ref="AS454">SUMPRODUCT(TRANSPOSE(tblMeasure[[#This Row],[str_msr_population_or_survey]:[str_src_quality_url]]),str_weights)/str_weights_total</f>
        <v>0.33846153846153848</v>
      </c>
    </row>
    <row r="455" spans="1:45" hidden="1" x14ac:dyDescent="0.15">
      <c r="A455" s="30">
        <v>453</v>
      </c>
      <c r="B455" s="32">
        <f>COUNTIF(requirement_measure_map!$D$3:$D$1514,measure!A455)</f>
        <v>0</v>
      </c>
      <c r="C455" s="30" t="s">
        <v>800</v>
      </c>
      <c r="D455" s="15" t="s">
        <v>1451</v>
      </c>
      <c r="E455" s="15" t="s">
        <v>1462</v>
      </c>
      <c r="F455" s="15" t="s">
        <v>1463</v>
      </c>
      <c r="G455" s="13" t="s">
        <v>1359</v>
      </c>
      <c r="H455" s="15"/>
      <c r="I455" s="15" t="s">
        <v>429</v>
      </c>
      <c r="J455" s="15" t="s">
        <v>1360</v>
      </c>
      <c r="K455" s="15" t="s">
        <v>1464</v>
      </c>
      <c r="L455" s="15" t="s">
        <v>233</v>
      </c>
      <c r="M455" s="15" t="s">
        <v>349</v>
      </c>
      <c r="N455" s="15" t="s">
        <v>218</v>
      </c>
      <c r="O455" s="15" t="s">
        <v>1362</v>
      </c>
      <c r="P455" s="15" t="s">
        <v>219</v>
      </c>
      <c r="Q455" s="15" t="s">
        <v>219</v>
      </c>
      <c r="R455" s="15" t="s">
        <v>219</v>
      </c>
      <c r="S455" s="15" t="s">
        <v>219</v>
      </c>
      <c r="T455" s="15" t="s">
        <v>219</v>
      </c>
      <c r="U455" s="15" t="s">
        <v>219</v>
      </c>
      <c r="V455" s="15" t="s">
        <v>219</v>
      </c>
      <c r="W455" s="15">
        <v>32</v>
      </c>
      <c r="X455" s="15" t="str">
        <f>_xlfn.XLOOKUP(tblMeasure[[#This Row],[id_src]],tblSource[id_src],tblSource[org])</f>
        <v xml:space="preserve">NIH National Institute of Ageing </v>
      </c>
      <c r="Y455" s="25" t="str">
        <f>_xlfn.XLOOKUP(tblMeasure[[#This Row],[id_src]],tblSource[id_src],tblSource[source])</f>
        <v>English Longitudinal Study of Ageing</v>
      </c>
      <c r="Z455" s="25" t="str">
        <f>_xlfn.XLOOKUP(tblMeasure[[#This Row],[id_src]],tblSource[id_src],tblSource[url_source])</f>
        <v>https://www.ifs.org.uk/uploads/ELSA_Wave_8_report.pdf</v>
      </c>
      <c r="AA455" s="25">
        <f>_xlfn.XLOOKUP(tblMeasure[[#This Row],[id_src]],tblSource[id_src],tblSource[year_first_published])</f>
        <v>2002</v>
      </c>
      <c r="AB455" s="25">
        <f>_xlfn.XLOOKUP(tblMeasure[[#This Row],[id_src]],tblSource[id_src],tblSource[year_last_published])</f>
        <v>2018</v>
      </c>
      <c r="AC455" s="25">
        <f>_xlfn.XLOOKUP(tblMeasure[[#This Row],[id_src]],tblSource[id_src],tblSource[discontinuity])</f>
        <v>0</v>
      </c>
      <c r="AD455" s="25" t="str">
        <f>_xlfn.XLOOKUP(tblMeasure[[#This Row],[id_src]],tblSource[id_src],tblSource[publication_frequency])</f>
        <v>Biennial</v>
      </c>
      <c r="AE455" s="15">
        <f>_xlfn.XLOOKUP(tblMeasure[[#This Row],[id_src]],tblSource[id_src],tblSource[publication_lag_months])</f>
        <v>10</v>
      </c>
      <c r="AF455" s="25" t="str">
        <f>_xlfn.XLOOKUP(tblMeasure[[#This Row],[id_src]],tblSource[id_src],tblSource[data_providers])</f>
        <v>UCL, IFS, Manchester University, NatCen, UEA</v>
      </c>
      <c r="AG455" s="25" t="str">
        <f>_xlfn.XLOOKUP(tblMeasure[[#This Row],[id_src]],tblSource[id_src],tblSource[statistic_class])</f>
        <v>TBD</v>
      </c>
      <c r="AH455" s="25" t="str">
        <f>_xlfn.XLOOKUP(tblMeasure[[#This Row],[id_src]],tblSource[id_src],tblSource[methodology_link])</f>
        <v>https://www.ifs.org.uk/uploads/ELSA_Wave_8_report.pdf</v>
      </c>
      <c r="AI455" s="25" t="str">
        <f>_xlfn.XLOOKUP(tblMeasure[[#This Row],[id_src]],tblSource[id_src],tblSource[quality_issues])</f>
        <v>TBD</v>
      </c>
      <c r="AJ455" s="25">
        <f>VLOOKUP(tblMeasure[[#This Row],[msr_population_or_survey]],strlu_msr_population_or_survey,2,FALSE)</f>
        <v>0</v>
      </c>
      <c r="AK455" s="25">
        <f>VLOOKUP(tblMeasure[[#This Row],[msr_min_geo_resolution]],strlu_msr_min_geo_resolution,2,FALSE)</f>
        <v>0</v>
      </c>
      <c r="AL455" s="25">
        <f>(MAX(tblMeasure[[#This Row],[src_year_last_published]]-2010+1,0)+MIN(2010-tblMeasure[[#This Row],[src_year_first_published]],0)-MAX(tblMeasure[[#This Row],[src_year_last_published]]-2019,0))/10</f>
        <v>0.9</v>
      </c>
      <c r="AM455" s="25">
        <f>IF(OR(tblMeasure[[#This Row],[src_discontinuity]]="None",tblMeasure[[#This Row],[src_discontinuity]]=0),1,0)</f>
        <v>1</v>
      </c>
      <c r="AN455" s="25">
        <f>VLOOKUP(tblMeasure[[#This Row],[src_pub_frequency]],strlu_src_pub_frequency,2,FALSE)</f>
        <v>0.5</v>
      </c>
      <c r="AO455" s="25">
        <f>VLOOKUP(tblMeasure[[#This Row],[src_pub_lag_months]],strlu_src_pub_lag_months,2,FALSE)</f>
        <v>0.1</v>
      </c>
      <c r="AP455" s="25">
        <f>VLOOKUP(tblMeasure[[#This Row],[src_statistic_class]],strlu_src_statistic_class,2,FALSE)</f>
        <v>0</v>
      </c>
      <c r="AQ455" s="25">
        <f>IF(tblMeasure[[#This Row],[src_methodology_url]]="TBD",0,1)</f>
        <v>1</v>
      </c>
      <c r="AR455" s="25">
        <f>IF(tblMeasure[[#This Row],[src_quality_url]]="TBD",0,1)</f>
        <v>0</v>
      </c>
      <c r="AS455" s="85" cm="1">
        <f t="array" ref="AS455">SUMPRODUCT(TRANSPOSE(tblMeasure[[#This Row],[str_msr_population_or_survey]:[str_src_quality_url]]),str_weights)/str_weights_total</f>
        <v>0.33846153846153848</v>
      </c>
    </row>
    <row r="456" spans="1:45" hidden="1" x14ac:dyDescent="0.15">
      <c r="A456" s="30">
        <v>454</v>
      </c>
      <c r="B456" s="32">
        <f>COUNTIF(requirement_measure_map!$D$3:$D$1514,measure!A456)</f>
        <v>0</v>
      </c>
      <c r="C456" s="30" t="s">
        <v>800</v>
      </c>
      <c r="D456" s="15" t="s">
        <v>1451</v>
      </c>
      <c r="E456" s="15" t="s">
        <v>1465</v>
      </c>
      <c r="F456" s="15" t="s">
        <v>1466</v>
      </c>
      <c r="G456" s="13" t="s">
        <v>1359</v>
      </c>
      <c r="H456" s="15"/>
      <c r="I456" s="15" t="s">
        <v>429</v>
      </c>
      <c r="J456" s="15" t="s">
        <v>1360</v>
      </c>
      <c r="K456" s="15" t="s">
        <v>1464</v>
      </c>
      <c r="L456" s="15" t="s">
        <v>233</v>
      </c>
      <c r="M456" s="15" t="s">
        <v>1362</v>
      </c>
      <c r="N456" s="15" t="s">
        <v>218</v>
      </c>
      <c r="O456" s="15" t="s">
        <v>243</v>
      </c>
      <c r="P456" s="15" t="s">
        <v>219</v>
      </c>
      <c r="Q456" s="15" t="s">
        <v>219</v>
      </c>
      <c r="R456" s="15" t="s">
        <v>219</v>
      </c>
      <c r="S456" s="15" t="s">
        <v>219</v>
      </c>
      <c r="T456" s="15" t="s">
        <v>219</v>
      </c>
      <c r="U456" s="15" t="s">
        <v>219</v>
      </c>
      <c r="V456" s="15" t="s">
        <v>219</v>
      </c>
      <c r="W456" s="15">
        <v>32</v>
      </c>
      <c r="X456" s="15" t="str">
        <f>_xlfn.XLOOKUP(tblMeasure[[#This Row],[id_src]],tblSource[id_src],tblSource[org])</f>
        <v xml:space="preserve">NIH National Institute of Ageing </v>
      </c>
      <c r="Y456" s="25" t="str">
        <f>_xlfn.XLOOKUP(tblMeasure[[#This Row],[id_src]],tblSource[id_src],tblSource[source])</f>
        <v>English Longitudinal Study of Ageing</v>
      </c>
      <c r="Z456" s="25" t="str">
        <f>_xlfn.XLOOKUP(tblMeasure[[#This Row],[id_src]],tblSource[id_src],tblSource[url_source])</f>
        <v>https://www.ifs.org.uk/uploads/ELSA_Wave_8_report.pdf</v>
      </c>
      <c r="AA456" s="25">
        <f>_xlfn.XLOOKUP(tblMeasure[[#This Row],[id_src]],tblSource[id_src],tblSource[year_first_published])</f>
        <v>2002</v>
      </c>
      <c r="AB456" s="25">
        <f>_xlfn.XLOOKUP(tblMeasure[[#This Row],[id_src]],tblSource[id_src],tblSource[year_last_published])</f>
        <v>2018</v>
      </c>
      <c r="AC456" s="25">
        <f>_xlfn.XLOOKUP(tblMeasure[[#This Row],[id_src]],tblSource[id_src],tblSource[discontinuity])</f>
        <v>0</v>
      </c>
      <c r="AD456" s="25" t="str">
        <f>_xlfn.XLOOKUP(tblMeasure[[#This Row],[id_src]],tblSource[id_src],tblSource[publication_frequency])</f>
        <v>Biennial</v>
      </c>
      <c r="AE456" s="15">
        <f>_xlfn.XLOOKUP(tblMeasure[[#This Row],[id_src]],tblSource[id_src],tblSource[publication_lag_months])</f>
        <v>10</v>
      </c>
      <c r="AF456" s="25" t="str">
        <f>_xlfn.XLOOKUP(tblMeasure[[#This Row],[id_src]],tblSource[id_src],tblSource[data_providers])</f>
        <v>UCL, IFS, Manchester University, NatCen, UEA</v>
      </c>
      <c r="AG456" s="25" t="str">
        <f>_xlfn.XLOOKUP(tblMeasure[[#This Row],[id_src]],tblSource[id_src],tblSource[statistic_class])</f>
        <v>TBD</v>
      </c>
      <c r="AH456" s="25" t="str">
        <f>_xlfn.XLOOKUP(tblMeasure[[#This Row],[id_src]],tblSource[id_src],tblSource[methodology_link])</f>
        <v>https://www.ifs.org.uk/uploads/ELSA_Wave_8_report.pdf</v>
      </c>
      <c r="AI456" s="25" t="str">
        <f>_xlfn.XLOOKUP(tblMeasure[[#This Row],[id_src]],tblSource[id_src],tblSource[quality_issues])</f>
        <v>TBD</v>
      </c>
      <c r="AJ456" s="25">
        <f>VLOOKUP(tblMeasure[[#This Row],[msr_population_or_survey]],strlu_msr_population_or_survey,2,FALSE)</f>
        <v>0</v>
      </c>
      <c r="AK456" s="25">
        <f>VLOOKUP(tblMeasure[[#This Row],[msr_min_geo_resolution]],strlu_msr_min_geo_resolution,2,FALSE)</f>
        <v>0</v>
      </c>
      <c r="AL456" s="25">
        <f>(MAX(tblMeasure[[#This Row],[src_year_last_published]]-2010+1,0)+MIN(2010-tblMeasure[[#This Row],[src_year_first_published]],0)-MAX(tblMeasure[[#This Row],[src_year_last_published]]-2019,0))/10</f>
        <v>0.9</v>
      </c>
      <c r="AM456" s="25">
        <f>IF(OR(tblMeasure[[#This Row],[src_discontinuity]]="None",tblMeasure[[#This Row],[src_discontinuity]]=0),1,0)</f>
        <v>1</v>
      </c>
      <c r="AN456" s="25">
        <f>VLOOKUP(tblMeasure[[#This Row],[src_pub_frequency]],strlu_src_pub_frequency,2,FALSE)</f>
        <v>0.5</v>
      </c>
      <c r="AO456" s="25">
        <f>VLOOKUP(tblMeasure[[#This Row],[src_pub_lag_months]],strlu_src_pub_lag_months,2,FALSE)</f>
        <v>0.1</v>
      </c>
      <c r="AP456" s="25">
        <f>VLOOKUP(tblMeasure[[#This Row],[src_statistic_class]],strlu_src_statistic_class,2,FALSE)</f>
        <v>0</v>
      </c>
      <c r="AQ456" s="25">
        <f>IF(tblMeasure[[#This Row],[src_methodology_url]]="TBD",0,1)</f>
        <v>1</v>
      </c>
      <c r="AR456" s="25">
        <f>IF(tblMeasure[[#This Row],[src_quality_url]]="TBD",0,1)</f>
        <v>0</v>
      </c>
      <c r="AS456" s="85" cm="1">
        <f t="array" ref="AS456">SUMPRODUCT(TRANSPOSE(tblMeasure[[#This Row],[str_msr_population_or_survey]:[str_src_quality_url]]),str_weights)/str_weights_total</f>
        <v>0.33846153846153848</v>
      </c>
    </row>
    <row r="457" spans="1:45" hidden="1" x14ac:dyDescent="0.15">
      <c r="A457" s="30">
        <v>455</v>
      </c>
      <c r="B457" s="32">
        <f>COUNTIF(requirement_measure_map!$D$3:$D$1514,measure!A457)</f>
        <v>0</v>
      </c>
      <c r="C457" s="30" t="s">
        <v>800</v>
      </c>
      <c r="D457" s="15" t="s">
        <v>1451</v>
      </c>
      <c r="E457" s="15" t="s">
        <v>1467</v>
      </c>
      <c r="F457" s="15" t="s">
        <v>1468</v>
      </c>
      <c r="G457" s="13" t="s">
        <v>1359</v>
      </c>
      <c r="H457" s="15"/>
      <c r="I457" s="15" t="s">
        <v>429</v>
      </c>
      <c r="J457" s="15" t="s">
        <v>1360</v>
      </c>
      <c r="K457" s="15" t="s">
        <v>1469</v>
      </c>
      <c r="L457" s="15" t="s">
        <v>233</v>
      </c>
      <c r="M457" s="15" t="s">
        <v>349</v>
      </c>
      <c r="N457" s="15" t="s">
        <v>218</v>
      </c>
      <c r="O457" s="15" t="s">
        <v>1362</v>
      </c>
      <c r="P457" s="15" t="s">
        <v>219</v>
      </c>
      <c r="Q457" s="15" t="s">
        <v>219</v>
      </c>
      <c r="R457" s="15" t="s">
        <v>219</v>
      </c>
      <c r="S457" s="15" t="s">
        <v>219</v>
      </c>
      <c r="T457" s="15" t="s">
        <v>219</v>
      </c>
      <c r="U457" s="15" t="s">
        <v>219</v>
      </c>
      <c r="V457" s="15" t="s">
        <v>219</v>
      </c>
      <c r="W457" s="15">
        <v>32</v>
      </c>
      <c r="X457" s="15" t="str">
        <f>_xlfn.XLOOKUP(tblMeasure[[#This Row],[id_src]],tblSource[id_src],tblSource[org])</f>
        <v xml:space="preserve">NIH National Institute of Ageing </v>
      </c>
      <c r="Y457" s="25" t="str">
        <f>_xlfn.XLOOKUP(tblMeasure[[#This Row],[id_src]],tblSource[id_src],tblSource[source])</f>
        <v>English Longitudinal Study of Ageing</v>
      </c>
      <c r="Z457" s="25" t="str">
        <f>_xlfn.XLOOKUP(tblMeasure[[#This Row],[id_src]],tblSource[id_src],tblSource[url_source])</f>
        <v>https://www.ifs.org.uk/uploads/ELSA_Wave_8_report.pdf</v>
      </c>
      <c r="AA457" s="25">
        <f>_xlfn.XLOOKUP(tblMeasure[[#This Row],[id_src]],tblSource[id_src],tblSource[year_first_published])</f>
        <v>2002</v>
      </c>
      <c r="AB457" s="25">
        <f>_xlfn.XLOOKUP(tblMeasure[[#This Row],[id_src]],tblSource[id_src],tblSource[year_last_published])</f>
        <v>2018</v>
      </c>
      <c r="AC457" s="25">
        <f>_xlfn.XLOOKUP(tblMeasure[[#This Row],[id_src]],tblSource[id_src],tblSource[discontinuity])</f>
        <v>0</v>
      </c>
      <c r="AD457" s="25" t="str">
        <f>_xlfn.XLOOKUP(tblMeasure[[#This Row],[id_src]],tblSource[id_src],tblSource[publication_frequency])</f>
        <v>Biennial</v>
      </c>
      <c r="AE457" s="15">
        <f>_xlfn.XLOOKUP(tblMeasure[[#This Row],[id_src]],tblSource[id_src],tblSource[publication_lag_months])</f>
        <v>10</v>
      </c>
      <c r="AF457" s="25" t="str">
        <f>_xlfn.XLOOKUP(tblMeasure[[#This Row],[id_src]],tblSource[id_src],tblSource[data_providers])</f>
        <v>UCL, IFS, Manchester University, NatCen, UEA</v>
      </c>
      <c r="AG457" s="25" t="str">
        <f>_xlfn.XLOOKUP(tblMeasure[[#This Row],[id_src]],tblSource[id_src],tblSource[statistic_class])</f>
        <v>TBD</v>
      </c>
      <c r="AH457" s="25" t="str">
        <f>_xlfn.XLOOKUP(tblMeasure[[#This Row],[id_src]],tblSource[id_src],tblSource[methodology_link])</f>
        <v>https://www.ifs.org.uk/uploads/ELSA_Wave_8_report.pdf</v>
      </c>
      <c r="AI457" s="25" t="str">
        <f>_xlfn.XLOOKUP(tblMeasure[[#This Row],[id_src]],tblSource[id_src],tblSource[quality_issues])</f>
        <v>TBD</v>
      </c>
      <c r="AJ457" s="25">
        <f>VLOOKUP(tblMeasure[[#This Row],[msr_population_or_survey]],strlu_msr_population_or_survey,2,FALSE)</f>
        <v>0</v>
      </c>
      <c r="AK457" s="25">
        <f>VLOOKUP(tblMeasure[[#This Row],[msr_min_geo_resolution]],strlu_msr_min_geo_resolution,2,FALSE)</f>
        <v>0</v>
      </c>
      <c r="AL457" s="25">
        <f>(MAX(tblMeasure[[#This Row],[src_year_last_published]]-2010+1,0)+MIN(2010-tblMeasure[[#This Row],[src_year_first_published]],0)-MAX(tblMeasure[[#This Row],[src_year_last_published]]-2019,0))/10</f>
        <v>0.9</v>
      </c>
      <c r="AM457" s="25">
        <f>IF(OR(tblMeasure[[#This Row],[src_discontinuity]]="None",tblMeasure[[#This Row],[src_discontinuity]]=0),1,0)</f>
        <v>1</v>
      </c>
      <c r="AN457" s="25">
        <f>VLOOKUP(tblMeasure[[#This Row],[src_pub_frequency]],strlu_src_pub_frequency,2,FALSE)</f>
        <v>0.5</v>
      </c>
      <c r="AO457" s="25">
        <f>VLOOKUP(tblMeasure[[#This Row],[src_pub_lag_months]],strlu_src_pub_lag_months,2,FALSE)</f>
        <v>0.1</v>
      </c>
      <c r="AP457" s="25">
        <f>VLOOKUP(tblMeasure[[#This Row],[src_statistic_class]],strlu_src_statistic_class,2,FALSE)</f>
        <v>0</v>
      </c>
      <c r="AQ457" s="25">
        <f>IF(tblMeasure[[#This Row],[src_methodology_url]]="TBD",0,1)</f>
        <v>1</v>
      </c>
      <c r="AR457" s="25">
        <f>IF(tblMeasure[[#This Row],[src_quality_url]]="TBD",0,1)</f>
        <v>0</v>
      </c>
      <c r="AS457" s="85" cm="1">
        <f t="array" ref="AS457">SUMPRODUCT(TRANSPOSE(tblMeasure[[#This Row],[str_msr_population_or_survey]:[str_src_quality_url]]),str_weights)/str_weights_total</f>
        <v>0.33846153846153848</v>
      </c>
    </row>
    <row r="458" spans="1:45" hidden="1" x14ac:dyDescent="0.15">
      <c r="A458" s="30">
        <v>456</v>
      </c>
      <c r="B458" s="32">
        <f>COUNTIF(requirement_measure_map!$D$3:$D$1514,measure!A458)</f>
        <v>0</v>
      </c>
      <c r="C458" s="30" t="s">
        <v>800</v>
      </c>
      <c r="D458" s="15" t="s">
        <v>1451</v>
      </c>
      <c r="E458" s="15" t="s">
        <v>1470</v>
      </c>
      <c r="F458" s="15" t="s">
        <v>1471</v>
      </c>
      <c r="G458" s="13" t="s">
        <v>1359</v>
      </c>
      <c r="H458" s="15"/>
      <c r="I458" s="15" t="s">
        <v>429</v>
      </c>
      <c r="J458" s="15" t="s">
        <v>1360</v>
      </c>
      <c r="K458" s="15" t="s">
        <v>1469</v>
      </c>
      <c r="L458" s="15" t="s">
        <v>233</v>
      </c>
      <c r="M458" s="15" t="s">
        <v>1362</v>
      </c>
      <c r="N458" s="15" t="s">
        <v>218</v>
      </c>
      <c r="O458" s="15" t="s">
        <v>243</v>
      </c>
      <c r="P458" s="15" t="s">
        <v>219</v>
      </c>
      <c r="Q458" s="15" t="s">
        <v>219</v>
      </c>
      <c r="R458" s="15" t="s">
        <v>219</v>
      </c>
      <c r="S458" s="15" t="s">
        <v>219</v>
      </c>
      <c r="T458" s="15" t="s">
        <v>219</v>
      </c>
      <c r="U458" s="15" t="s">
        <v>219</v>
      </c>
      <c r="V458" s="15" t="s">
        <v>219</v>
      </c>
      <c r="W458" s="15">
        <v>32</v>
      </c>
      <c r="X458" s="15" t="str">
        <f>_xlfn.XLOOKUP(tblMeasure[[#This Row],[id_src]],tblSource[id_src],tblSource[org])</f>
        <v xml:space="preserve">NIH National Institute of Ageing </v>
      </c>
      <c r="Y458" s="25" t="str">
        <f>_xlfn.XLOOKUP(tblMeasure[[#This Row],[id_src]],tblSource[id_src],tblSource[source])</f>
        <v>English Longitudinal Study of Ageing</v>
      </c>
      <c r="Z458" s="25" t="str">
        <f>_xlfn.XLOOKUP(tblMeasure[[#This Row],[id_src]],tblSource[id_src],tblSource[url_source])</f>
        <v>https://www.ifs.org.uk/uploads/ELSA_Wave_8_report.pdf</v>
      </c>
      <c r="AA458" s="25">
        <f>_xlfn.XLOOKUP(tblMeasure[[#This Row],[id_src]],tblSource[id_src],tblSource[year_first_published])</f>
        <v>2002</v>
      </c>
      <c r="AB458" s="25">
        <f>_xlfn.XLOOKUP(tblMeasure[[#This Row],[id_src]],tblSource[id_src],tblSource[year_last_published])</f>
        <v>2018</v>
      </c>
      <c r="AC458" s="25">
        <f>_xlfn.XLOOKUP(tblMeasure[[#This Row],[id_src]],tblSource[id_src],tblSource[discontinuity])</f>
        <v>0</v>
      </c>
      <c r="AD458" s="25" t="str">
        <f>_xlfn.XLOOKUP(tblMeasure[[#This Row],[id_src]],tblSource[id_src],tblSource[publication_frequency])</f>
        <v>Biennial</v>
      </c>
      <c r="AE458" s="15">
        <f>_xlfn.XLOOKUP(tblMeasure[[#This Row],[id_src]],tblSource[id_src],tblSource[publication_lag_months])</f>
        <v>10</v>
      </c>
      <c r="AF458" s="25" t="str">
        <f>_xlfn.XLOOKUP(tblMeasure[[#This Row],[id_src]],tblSource[id_src],tblSource[data_providers])</f>
        <v>UCL, IFS, Manchester University, NatCen, UEA</v>
      </c>
      <c r="AG458" s="25" t="str">
        <f>_xlfn.XLOOKUP(tblMeasure[[#This Row],[id_src]],tblSource[id_src],tblSource[statistic_class])</f>
        <v>TBD</v>
      </c>
      <c r="AH458" s="25" t="str">
        <f>_xlfn.XLOOKUP(tblMeasure[[#This Row],[id_src]],tblSource[id_src],tblSource[methodology_link])</f>
        <v>https://www.ifs.org.uk/uploads/ELSA_Wave_8_report.pdf</v>
      </c>
      <c r="AI458" s="25" t="str">
        <f>_xlfn.XLOOKUP(tblMeasure[[#This Row],[id_src]],tblSource[id_src],tblSource[quality_issues])</f>
        <v>TBD</v>
      </c>
      <c r="AJ458" s="25">
        <f>VLOOKUP(tblMeasure[[#This Row],[msr_population_or_survey]],strlu_msr_population_or_survey,2,FALSE)</f>
        <v>0</v>
      </c>
      <c r="AK458" s="25">
        <f>VLOOKUP(tblMeasure[[#This Row],[msr_min_geo_resolution]],strlu_msr_min_geo_resolution,2,FALSE)</f>
        <v>0</v>
      </c>
      <c r="AL458" s="25">
        <f>(MAX(tblMeasure[[#This Row],[src_year_last_published]]-2010+1,0)+MIN(2010-tblMeasure[[#This Row],[src_year_first_published]],0)-MAX(tblMeasure[[#This Row],[src_year_last_published]]-2019,0))/10</f>
        <v>0.9</v>
      </c>
      <c r="AM458" s="25">
        <f>IF(OR(tblMeasure[[#This Row],[src_discontinuity]]="None",tblMeasure[[#This Row],[src_discontinuity]]=0),1,0)</f>
        <v>1</v>
      </c>
      <c r="AN458" s="25">
        <f>VLOOKUP(tblMeasure[[#This Row],[src_pub_frequency]],strlu_src_pub_frequency,2,FALSE)</f>
        <v>0.5</v>
      </c>
      <c r="AO458" s="25">
        <f>VLOOKUP(tblMeasure[[#This Row],[src_pub_lag_months]],strlu_src_pub_lag_months,2,FALSE)</f>
        <v>0.1</v>
      </c>
      <c r="AP458" s="25">
        <f>VLOOKUP(tblMeasure[[#This Row],[src_statistic_class]],strlu_src_statistic_class,2,FALSE)</f>
        <v>0</v>
      </c>
      <c r="AQ458" s="25">
        <f>IF(tblMeasure[[#This Row],[src_methodology_url]]="TBD",0,1)</f>
        <v>1</v>
      </c>
      <c r="AR458" s="25">
        <f>IF(tblMeasure[[#This Row],[src_quality_url]]="TBD",0,1)</f>
        <v>0</v>
      </c>
      <c r="AS458" s="85" cm="1">
        <f t="array" ref="AS458">SUMPRODUCT(TRANSPOSE(tblMeasure[[#This Row],[str_msr_population_or_survey]:[str_src_quality_url]]),str_weights)/str_weights_total</f>
        <v>0.33846153846153848</v>
      </c>
    </row>
    <row r="459" spans="1:45" hidden="1" x14ac:dyDescent="0.15">
      <c r="A459" s="30">
        <v>457</v>
      </c>
      <c r="B459" s="32">
        <f>COUNTIF(requirement_measure_map!$D$3:$D$1514,measure!A459)</f>
        <v>0</v>
      </c>
      <c r="C459" s="30" t="s">
        <v>800</v>
      </c>
      <c r="D459" s="15" t="s">
        <v>1451</v>
      </c>
      <c r="E459" s="15" t="s">
        <v>1472</v>
      </c>
      <c r="F459" s="15" t="s">
        <v>1473</v>
      </c>
      <c r="G459" s="13" t="s">
        <v>1359</v>
      </c>
      <c r="H459" s="15"/>
      <c r="I459" s="15" t="s">
        <v>429</v>
      </c>
      <c r="J459" s="15" t="s">
        <v>1360</v>
      </c>
      <c r="K459" s="15" t="s">
        <v>1474</v>
      </c>
      <c r="L459" s="15" t="s">
        <v>233</v>
      </c>
      <c r="M459" s="15" t="s">
        <v>349</v>
      </c>
      <c r="N459" s="15" t="s">
        <v>218</v>
      </c>
      <c r="O459" s="15" t="s">
        <v>1362</v>
      </c>
      <c r="P459" s="15" t="s">
        <v>219</v>
      </c>
      <c r="Q459" s="15" t="s">
        <v>219</v>
      </c>
      <c r="R459" s="15" t="s">
        <v>219</v>
      </c>
      <c r="S459" s="15" t="s">
        <v>219</v>
      </c>
      <c r="T459" s="15" t="s">
        <v>219</v>
      </c>
      <c r="U459" s="15" t="s">
        <v>219</v>
      </c>
      <c r="V459" s="15" t="s">
        <v>219</v>
      </c>
      <c r="W459" s="15">
        <v>32</v>
      </c>
      <c r="X459" s="15" t="str">
        <f>_xlfn.XLOOKUP(tblMeasure[[#This Row],[id_src]],tblSource[id_src],tblSource[org])</f>
        <v xml:space="preserve">NIH National Institute of Ageing </v>
      </c>
      <c r="Y459" s="25" t="str">
        <f>_xlfn.XLOOKUP(tblMeasure[[#This Row],[id_src]],tblSource[id_src],tblSource[source])</f>
        <v>English Longitudinal Study of Ageing</v>
      </c>
      <c r="Z459" s="25" t="str">
        <f>_xlfn.XLOOKUP(tblMeasure[[#This Row],[id_src]],tblSource[id_src],tblSource[url_source])</f>
        <v>https://www.ifs.org.uk/uploads/ELSA_Wave_8_report.pdf</v>
      </c>
      <c r="AA459" s="25">
        <f>_xlfn.XLOOKUP(tblMeasure[[#This Row],[id_src]],tblSource[id_src],tblSource[year_first_published])</f>
        <v>2002</v>
      </c>
      <c r="AB459" s="25">
        <f>_xlfn.XLOOKUP(tblMeasure[[#This Row],[id_src]],tblSource[id_src],tblSource[year_last_published])</f>
        <v>2018</v>
      </c>
      <c r="AC459" s="25">
        <f>_xlfn.XLOOKUP(tblMeasure[[#This Row],[id_src]],tblSource[id_src],tblSource[discontinuity])</f>
        <v>0</v>
      </c>
      <c r="AD459" s="25" t="str">
        <f>_xlfn.XLOOKUP(tblMeasure[[#This Row],[id_src]],tblSource[id_src],tblSource[publication_frequency])</f>
        <v>Biennial</v>
      </c>
      <c r="AE459" s="15">
        <f>_xlfn.XLOOKUP(tblMeasure[[#This Row],[id_src]],tblSource[id_src],tblSource[publication_lag_months])</f>
        <v>10</v>
      </c>
      <c r="AF459" s="25" t="str">
        <f>_xlfn.XLOOKUP(tblMeasure[[#This Row],[id_src]],tblSource[id_src],tblSource[data_providers])</f>
        <v>UCL, IFS, Manchester University, NatCen, UEA</v>
      </c>
      <c r="AG459" s="25" t="str">
        <f>_xlfn.XLOOKUP(tblMeasure[[#This Row],[id_src]],tblSource[id_src],tblSource[statistic_class])</f>
        <v>TBD</v>
      </c>
      <c r="AH459" s="25" t="str">
        <f>_xlfn.XLOOKUP(tblMeasure[[#This Row],[id_src]],tblSource[id_src],tblSource[methodology_link])</f>
        <v>https://www.ifs.org.uk/uploads/ELSA_Wave_8_report.pdf</v>
      </c>
      <c r="AI459" s="25" t="str">
        <f>_xlfn.XLOOKUP(tblMeasure[[#This Row],[id_src]],tblSource[id_src],tblSource[quality_issues])</f>
        <v>TBD</v>
      </c>
      <c r="AJ459" s="25">
        <f>VLOOKUP(tblMeasure[[#This Row],[msr_population_or_survey]],strlu_msr_population_or_survey,2,FALSE)</f>
        <v>0</v>
      </c>
      <c r="AK459" s="25">
        <f>VLOOKUP(tblMeasure[[#This Row],[msr_min_geo_resolution]],strlu_msr_min_geo_resolution,2,FALSE)</f>
        <v>0</v>
      </c>
      <c r="AL459" s="25">
        <f>(MAX(tblMeasure[[#This Row],[src_year_last_published]]-2010+1,0)+MIN(2010-tblMeasure[[#This Row],[src_year_first_published]],0)-MAX(tblMeasure[[#This Row],[src_year_last_published]]-2019,0))/10</f>
        <v>0.9</v>
      </c>
      <c r="AM459" s="25">
        <f>IF(OR(tblMeasure[[#This Row],[src_discontinuity]]="None",tblMeasure[[#This Row],[src_discontinuity]]=0),1,0)</f>
        <v>1</v>
      </c>
      <c r="AN459" s="25">
        <f>VLOOKUP(tblMeasure[[#This Row],[src_pub_frequency]],strlu_src_pub_frequency,2,FALSE)</f>
        <v>0.5</v>
      </c>
      <c r="AO459" s="25">
        <f>VLOOKUP(tblMeasure[[#This Row],[src_pub_lag_months]],strlu_src_pub_lag_months,2,FALSE)</f>
        <v>0.1</v>
      </c>
      <c r="AP459" s="25">
        <f>VLOOKUP(tblMeasure[[#This Row],[src_statistic_class]],strlu_src_statistic_class,2,FALSE)</f>
        <v>0</v>
      </c>
      <c r="AQ459" s="25">
        <f>IF(tblMeasure[[#This Row],[src_methodology_url]]="TBD",0,1)</f>
        <v>1</v>
      </c>
      <c r="AR459" s="25">
        <f>IF(tblMeasure[[#This Row],[src_quality_url]]="TBD",0,1)</f>
        <v>0</v>
      </c>
      <c r="AS459" s="85" cm="1">
        <f t="array" ref="AS459">SUMPRODUCT(TRANSPOSE(tblMeasure[[#This Row],[str_msr_population_or_survey]:[str_src_quality_url]]),str_weights)/str_weights_total</f>
        <v>0.33846153846153848</v>
      </c>
    </row>
    <row r="460" spans="1:45" hidden="1" x14ac:dyDescent="0.15">
      <c r="A460" s="30">
        <v>458</v>
      </c>
      <c r="B460" s="32">
        <f>COUNTIF(requirement_measure_map!$D$3:$D$1514,measure!A460)</f>
        <v>0</v>
      </c>
      <c r="C460" s="30" t="s">
        <v>800</v>
      </c>
      <c r="D460" s="15" t="s">
        <v>1451</v>
      </c>
      <c r="E460" s="15" t="s">
        <v>1475</v>
      </c>
      <c r="F460" s="15" t="s">
        <v>1476</v>
      </c>
      <c r="G460" s="13" t="s">
        <v>1359</v>
      </c>
      <c r="H460" s="15"/>
      <c r="I460" s="15" t="s">
        <v>429</v>
      </c>
      <c r="J460" s="15" t="s">
        <v>1360</v>
      </c>
      <c r="K460" s="15" t="s">
        <v>1474</v>
      </c>
      <c r="L460" s="15" t="s">
        <v>233</v>
      </c>
      <c r="M460" s="15" t="s">
        <v>1362</v>
      </c>
      <c r="N460" s="15" t="s">
        <v>218</v>
      </c>
      <c r="O460" s="15" t="s">
        <v>243</v>
      </c>
      <c r="P460" s="15" t="s">
        <v>219</v>
      </c>
      <c r="Q460" s="15" t="s">
        <v>219</v>
      </c>
      <c r="R460" s="15" t="s">
        <v>219</v>
      </c>
      <c r="S460" s="15" t="s">
        <v>219</v>
      </c>
      <c r="T460" s="15" t="s">
        <v>219</v>
      </c>
      <c r="U460" s="15" t="s">
        <v>219</v>
      </c>
      <c r="V460" s="15" t="s">
        <v>219</v>
      </c>
      <c r="W460" s="15">
        <v>32</v>
      </c>
      <c r="X460" s="15" t="str">
        <f>_xlfn.XLOOKUP(tblMeasure[[#This Row],[id_src]],tblSource[id_src],tblSource[org])</f>
        <v xml:space="preserve">NIH National Institute of Ageing </v>
      </c>
      <c r="Y460" s="25" t="str">
        <f>_xlfn.XLOOKUP(tblMeasure[[#This Row],[id_src]],tblSource[id_src],tblSource[source])</f>
        <v>English Longitudinal Study of Ageing</v>
      </c>
      <c r="Z460" s="25" t="str">
        <f>_xlfn.XLOOKUP(tblMeasure[[#This Row],[id_src]],tblSource[id_src],tblSource[url_source])</f>
        <v>https://www.ifs.org.uk/uploads/ELSA_Wave_8_report.pdf</v>
      </c>
      <c r="AA460" s="25">
        <f>_xlfn.XLOOKUP(tblMeasure[[#This Row],[id_src]],tblSource[id_src],tblSource[year_first_published])</f>
        <v>2002</v>
      </c>
      <c r="AB460" s="25">
        <f>_xlfn.XLOOKUP(tblMeasure[[#This Row],[id_src]],tblSource[id_src],tblSource[year_last_published])</f>
        <v>2018</v>
      </c>
      <c r="AC460" s="25">
        <f>_xlfn.XLOOKUP(tblMeasure[[#This Row],[id_src]],tblSource[id_src],tblSource[discontinuity])</f>
        <v>0</v>
      </c>
      <c r="AD460" s="25" t="str">
        <f>_xlfn.XLOOKUP(tblMeasure[[#This Row],[id_src]],tblSource[id_src],tblSource[publication_frequency])</f>
        <v>Biennial</v>
      </c>
      <c r="AE460" s="15">
        <f>_xlfn.XLOOKUP(tblMeasure[[#This Row],[id_src]],tblSource[id_src],tblSource[publication_lag_months])</f>
        <v>10</v>
      </c>
      <c r="AF460" s="25" t="str">
        <f>_xlfn.XLOOKUP(tblMeasure[[#This Row],[id_src]],tblSource[id_src],tblSource[data_providers])</f>
        <v>UCL, IFS, Manchester University, NatCen, UEA</v>
      </c>
      <c r="AG460" s="25" t="str">
        <f>_xlfn.XLOOKUP(tblMeasure[[#This Row],[id_src]],tblSource[id_src],tblSource[statistic_class])</f>
        <v>TBD</v>
      </c>
      <c r="AH460" s="25" t="str">
        <f>_xlfn.XLOOKUP(tblMeasure[[#This Row],[id_src]],tblSource[id_src],tblSource[methodology_link])</f>
        <v>https://www.ifs.org.uk/uploads/ELSA_Wave_8_report.pdf</v>
      </c>
      <c r="AI460" s="25" t="str">
        <f>_xlfn.XLOOKUP(tblMeasure[[#This Row],[id_src]],tblSource[id_src],tblSource[quality_issues])</f>
        <v>TBD</v>
      </c>
      <c r="AJ460" s="25">
        <f>VLOOKUP(tblMeasure[[#This Row],[msr_population_or_survey]],strlu_msr_population_or_survey,2,FALSE)</f>
        <v>0</v>
      </c>
      <c r="AK460" s="25">
        <f>VLOOKUP(tblMeasure[[#This Row],[msr_min_geo_resolution]],strlu_msr_min_geo_resolution,2,FALSE)</f>
        <v>0</v>
      </c>
      <c r="AL460" s="25">
        <f>(MAX(tblMeasure[[#This Row],[src_year_last_published]]-2010+1,0)+MIN(2010-tblMeasure[[#This Row],[src_year_first_published]],0)-MAX(tblMeasure[[#This Row],[src_year_last_published]]-2019,0))/10</f>
        <v>0.9</v>
      </c>
      <c r="AM460" s="25">
        <f>IF(OR(tblMeasure[[#This Row],[src_discontinuity]]="None",tblMeasure[[#This Row],[src_discontinuity]]=0),1,0)</f>
        <v>1</v>
      </c>
      <c r="AN460" s="25">
        <f>VLOOKUP(tblMeasure[[#This Row],[src_pub_frequency]],strlu_src_pub_frequency,2,FALSE)</f>
        <v>0.5</v>
      </c>
      <c r="AO460" s="25">
        <f>VLOOKUP(tblMeasure[[#This Row],[src_pub_lag_months]],strlu_src_pub_lag_months,2,FALSE)</f>
        <v>0.1</v>
      </c>
      <c r="AP460" s="25">
        <f>VLOOKUP(tblMeasure[[#This Row],[src_statistic_class]],strlu_src_statistic_class,2,FALSE)</f>
        <v>0</v>
      </c>
      <c r="AQ460" s="25">
        <f>IF(tblMeasure[[#This Row],[src_methodology_url]]="TBD",0,1)</f>
        <v>1</v>
      </c>
      <c r="AR460" s="25">
        <f>IF(tblMeasure[[#This Row],[src_quality_url]]="TBD",0,1)</f>
        <v>0</v>
      </c>
      <c r="AS460" s="85" cm="1">
        <f t="array" ref="AS460">SUMPRODUCT(TRANSPOSE(tblMeasure[[#This Row],[str_msr_population_or_survey]:[str_src_quality_url]]),str_weights)/str_weights_total</f>
        <v>0.33846153846153848</v>
      </c>
    </row>
    <row r="461" spans="1:45" hidden="1" x14ac:dyDescent="0.15">
      <c r="A461" s="30">
        <v>459</v>
      </c>
      <c r="B461" s="32">
        <f>COUNTIF(requirement_measure_map!$D$3:$D$1514,measure!A461)</f>
        <v>0</v>
      </c>
      <c r="C461" s="30" t="s">
        <v>800</v>
      </c>
      <c r="D461" s="15" t="s">
        <v>1451</v>
      </c>
      <c r="E461" s="15" t="s">
        <v>1477</v>
      </c>
      <c r="F461" s="15" t="s">
        <v>1478</v>
      </c>
      <c r="G461" s="13" t="s">
        <v>1359</v>
      </c>
      <c r="H461" s="15"/>
      <c r="I461" s="15" t="s">
        <v>429</v>
      </c>
      <c r="J461" s="15" t="s">
        <v>1360</v>
      </c>
      <c r="K461" s="15" t="s">
        <v>1474</v>
      </c>
      <c r="L461" s="15" t="s">
        <v>233</v>
      </c>
      <c r="M461" s="15" t="s">
        <v>349</v>
      </c>
      <c r="N461" s="15" t="s">
        <v>218</v>
      </c>
      <c r="O461" s="15" t="s">
        <v>1362</v>
      </c>
      <c r="P461" s="15" t="s">
        <v>219</v>
      </c>
      <c r="Q461" s="15" t="s">
        <v>219</v>
      </c>
      <c r="R461" s="15" t="s">
        <v>219</v>
      </c>
      <c r="S461" s="15" t="s">
        <v>219</v>
      </c>
      <c r="T461" s="15" t="s">
        <v>219</v>
      </c>
      <c r="U461" s="15" t="s">
        <v>219</v>
      </c>
      <c r="V461" s="15" t="s">
        <v>219</v>
      </c>
      <c r="W461" s="15">
        <v>32</v>
      </c>
      <c r="X461" s="15" t="str">
        <f>_xlfn.XLOOKUP(tblMeasure[[#This Row],[id_src]],tblSource[id_src],tblSource[org])</f>
        <v xml:space="preserve">NIH National Institute of Ageing </v>
      </c>
      <c r="Y461" s="25" t="str">
        <f>_xlfn.XLOOKUP(tblMeasure[[#This Row],[id_src]],tblSource[id_src],tblSource[source])</f>
        <v>English Longitudinal Study of Ageing</v>
      </c>
      <c r="Z461" s="25" t="str">
        <f>_xlfn.XLOOKUP(tblMeasure[[#This Row],[id_src]],tblSource[id_src],tblSource[url_source])</f>
        <v>https://www.ifs.org.uk/uploads/ELSA_Wave_8_report.pdf</v>
      </c>
      <c r="AA461" s="25">
        <f>_xlfn.XLOOKUP(tblMeasure[[#This Row],[id_src]],tblSource[id_src],tblSource[year_first_published])</f>
        <v>2002</v>
      </c>
      <c r="AB461" s="25">
        <f>_xlfn.XLOOKUP(tblMeasure[[#This Row],[id_src]],tblSource[id_src],tblSource[year_last_published])</f>
        <v>2018</v>
      </c>
      <c r="AC461" s="25">
        <f>_xlfn.XLOOKUP(tblMeasure[[#This Row],[id_src]],tblSource[id_src],tblSource[discontinuity])</f>
        <v>0</v>
      </c>
      <c r="AD461" s="25" t="str">
        <f>_xlfn.XLOOKUP(tblMeasure[[#This Row],[id_src]],tblSource[id_src],tblSource[publication_frequency])</f>
        <v>Biennial</v>
      </c>
      <c r="AE461" s="15">
        <f>_xlfn.XLOOKUP(tblMeasure[[#This Row],[id_src]],tblSource[id_src],tblSource[publication_lag_months])</f>
        <v>10</v>
      </c>
      <c r="AF461" s="25" t="str">
        <f>_xlfn.XLOOKUP(tblMeasure[[#This Row],[id_src]],tblSource[id_src],tblSource[data_providers])</f>
        <v>UCL, IFS, Manchester University, NatCen, UEA</v>
      </c>
      <c r="AG461" s="25" t="str">
        <f>_xlfn.XLOOKUP(tblMeasure[[#This Row],[id_src]],tblSource[id_src],tblSource[statistic_class])</f>
        <v>TBD</v>
      </c>
      <c r="AH461" s="25" t="str">
        <f>_xlfn.XLOOKUP(tblMeasure[[#This Row],[id_src]],tblSource[id_src],tblSource[methodology_link])</f>
        <v>https://www.ifs.org.uk/uploads/ELSA_Wave_8_report.pdf</v>
      </c>
      <c r="AI461" s="25" t="str">
        <f>_xlfn.XLOOKUP(tblMeasure[[#This Row],[id_src]],tblSource[id_src],tblSource[quality_issues])</f>
        <v>TBD</v>
      </c>
      <c r="AJ461" s="25">
        <f>VLOOKUP(tblMeasure[[#This Row],[msr_population_or_survey]],strlu_msr_population_or_survey,2,FALSE)</f>
        <v>0</v>
      </c>
      <c r="AK461" s="25">
        <f>VLOOKUP(tblMeasure[[#This Row],[msr_min_geo_resolution]],strlu_msr_min_geo_resolution,2,FALSE)</f>
        <v>0</v>
      </c>
      <c r="AL461" s="25">
        <f>(MAX(tblMeasure[[#This Row],[src_year_last_published]]-2010+1,0)+MIN(2010-tblMeasure[[#This Row],[src_year_first_published]],0)-MAX(tblMeasure[[#This Row],[src_year_last_published]]-2019,0))/10</f>
        <v>0.9</v>
      </c>
      <c r="AM461" s="25">
        <f>IF(OR(tblMeasure[[#This Row],[src_discontinuity]]="None",tblMeasure[[#This Row],[src_discontinuity]]=0),1,0)</f>
        <v>1</v>
      </c>
      <c r="AN461" s="25">
        <f>VLOOKUP(tblMeasure[[#This Row],[src_pub_frequency]],strlu_src_pub_frequency,2,FALSE)</f>
        <v>0.5</v>
      </c>
      <c r="AO461" s="25">
        <f>VLOOKUP(tblMeasure[[#This Row],[src_pub_lag_months]],strlu_src_pub_lag_months,2,FALSE)</f>
        <v>0.1</v>
      </c>
      <c r="AP461" s="25">
        <f>VLOOKUP(tblMeasure[[#This Row],[src_statistic_class]],strlu_src_statistic_class,2,FALSE)</f>
        <v>0</v>
      </c>
      <c r="AQ461" s="25">
        <f>IF(tblMeasure[[#This Row],[src_methodology_url]]="TBD",0,1)</f>
        <v>1</v>
      </c>
      <c r="AR461" s="25">
        <f>IF(tblMeasure[[#This Row],[src_quality_url]]="TBD",0,1)</f>
        <v>0</v>
      </c>
      <c r="AS461" s="85" cm="1">
        <f t="array" ref="AS461">SUMPRODUCT(TRANSPOSE(tblMeasure[[#This Row],[str_msr_population_or_survey]:[str_src_quality_url]]),str_weights)/str_weights_total</f>
        <v>0.33846153846153848</v>
      </c>
    </row>
    <row r="462" spans="1:45" hidden="1" x14ac:dyDescent="0.15">
      <c r="A462" s="30">
        <v>460</v>
      </c>
      <c r="B462" s="32">
        <f>COUNTIF(requirement_measure_map!$D$3:$D$1514,measure!A462)</f>
        <v>0</v>
      </c>
      <c r="C462" s="30" t="s">
        <v>800</v>
      </c>
      <c r="D462" s="15" t="s">
        <v>1451</v>
      </c>
      <c r="E462" s="15" t="s">
        <v>1479</v>
      </c>
      <c r="F462" s="15" t="s">
        <v>1480</v>
      </c>
      <c r="G462" s="13" t="s">
        <v>1359</v>
      </c>
      <c r="H462" s="15"/>
      <c r="I462" s="15" t="s">
        <v>429</v>
      </c>
      <c r="J462" s="15" t="s">
        <v>1360</v>
      </c>
      <c r="K462" s="15" t="s">
        <v>1474</v>
      </c>
      <c r="L462" s="15" t="s">
        <v>233</v>
      </c>
      <c r="M462" s="15" t="s">
        <v>1362</v>
      </c>
      <c r="N462" s="15" t="s">
        <v>218</v>
      </c>
      <c r="O462" s="15" t="s">
        <v>243</v>
      </c>
      <c r="P462" s="15" t="s">
        <v>219</v>
      </c>
      <c r="Q462" s="15" t="s">
        <v>219</v>
      </c>
      <c r="R462" s="15" t="s">
        <v>219</v>
      </c>
      <c r="S462" s="15" t="s">
        <v>219</v>
      </c>
      <c r="T462" s="15" t="s">
        <v>219</v>
      </c>
      <c r="U462" s="15" t="s">
        <v>219</v>
      </c>
      <c r="V462" s="15" t="s">
        <v>219</v>
      </c>
      <c r="W462" s="15">
        <v>32</v>
      </c>
      <c r="X462" s="15" t="str">
        <f>_xlfn.XLOOKUP(tblMeasure[[#This Row],[id_src]],tblSource[id_src],tblSource[org])</f>
        <v xml:space="preserve">NIH National Institute of Ageing </v>
      </c>
      <c r="Y462" s="25" t="str">
        <f>_xlfn.XLOOKUP(tblMeasure[[#This Row],[id_src]],tblSource[id_src],tblSource[source])</f>
        <v>English Longitudinal Study of Ageing</v>
      </c>
      <c r="Z462" s="25" t="str">
        <f>_xlfn.XLOOKUP(tblMeasure[[#This Row],[id_src]],tblSource[id_src],tblSource[url_source])</f>
        <v>https://www.ifs.org.uk/uploads/ELSA_Wave_8_report.pdf</v>
      </c>
      <c r="AA462" s="25">
        <f>_xlfn.XLOOKUP(tblMeasure[[#This Row],[id_src]],tblSource[id_src],tblSource[year_first_published])</f>
        <v>2002</v>
      </c>
      <c r="AB462" s="25">
        <f>_xlfn.XLOOKUP(tblMeasure[[#This Row],[id_src]],tblSource[id_src],tblSource[year_last_published])</f>
        <v>2018</v>
      </c>
      <c r="AC462" s="25">
        <f>_xlfn.XLOOKUP(tblMeasure[[#This Row],[id_src]],tblSource[id_src],tblSource[discontinuity])</f>
        <v>0</v>
      </c>
      <c r="AD462" s="25" t="str">
        <f>_xlfn.XLOOKUP(tblMeasure[[#This Row],[id_src]],tblSource[id_src],tblSource[publication_frequency])</f>
        <v>Biennial</v>
      </c>
      <c r="AE462" s="15">
        <f>_xlfn.XLOOKUP(tblMeasure[[#This Row],[id_src]],tblSource[id_src],tblSource[publication_lag_months])</f>
        <v>10</v>
      </c>
      <c r="AF462" s="25" t="str">
        <f>_xlfn.XLOOKUP(tblMeasure[[#This Row],[id_src]],tblSource[id_src],tblSource[data_providers])</f>
        <v>UCL, IFS, Manchester University, NatCen, UEA</v>
      </c>
      <c r="AG462" s="25" t="str">
        <f>_xlfn.XLOOKUP(tblMeasure[[#This Row],[id_src]],tblSource[id_src],tblSource[statistic_class])</f>
        <v>TBD</v>
      </c>
      <c r="AH462" s="25" t="str">
        <f>_xlfn.XLOOKUP(tblMeasure[[#This Row],[id_src]],tblSource[id_src],tblSource[methodology_link])</f>
        <v>https://www.ifs.org.uk/uploads/ELSA_Wave_8_report.pdf</v>
      </c>
      <c r="AI462" s="25" t="str">
        <f>_xlfn.XLOOKUP(tblMeasure[[#This Row],[id_src]],tblSource[id_src],tblSource[quality_issues])</f>
        <v>TBD</v>
      </c>
      <c r="AJ462" s="25">
        <f>VLOOKUP(tblMeasure[[#This Row],[msr_population_or_survey]],strlu_msr_population_or_survey,2,FALSE)</f>
        <v>0</v>
      </c>
      <c r="AK462" s="25">
        <f>VLOOKUP(tblMeasure[[#This Row],[msr_min_geo_resolution]],strlu_msr_min_geo_resolution,2,FALSE)</f>
        <v>0</v>
      </c>
      <c r="AL462" s="25">
        <f>(MAX(tblMeasure[[#This Row],[src_year_last_published]]-2010+1,0)+MIN(2010-tblMeasure[[#This Row],[src_year_first_published]],0)-MAX(tblMeasure[[#This Row],[src_year_last_published]]-2019,0))/10</f>
        <v>0.9</v>
      </c>
      <c r="AM462" s="25">
        <f>IF(OR(tblMeasure[[#This Row],[src_discontinuity]]="None",tblMeasure[[#This Row],[src_discontinuity]]=0),1,0)</f>
        <v>1</v>
      </c>
      <c r="AN462" s="25">
        <f>VLOOKUP(tblMeasure[[#This Row],[src_pub_frequency]],strlu_src_pub_frequency,2,FALSE)</f>
        <v>0.5</v>
      </c>
      <c r="AO462" s="25">
        <f>VLOOKUP(tblMeasure[[#This Row],[src_pub_lag_months]],strlu_src_pub_lag_months,2,FALSE)</f>
        <v>0.1</v>
      </c>
      <c r="AP462" s="25">
        <f>VLOOKUP(tblMeasure[[#This Row],[src_statistic_class]],strlu_src_statistic_class,2,FALSE)</f>
        <v>0</v>
      </c>
      <c r="AQ462" s="25">
        <f>IF(tblMeasure[[#This Row],[src_methodology_url]]="TBD",0,1)</f>
        <v>1</v>
      </c>
      <c r="AR462" s="25">
        <f>IF(tblMeasure[[#This Row],[src_quality_url]]="TBD",0,1)</f>
        <v>0</v>
      </c>
      <c r="AS462" s="85" cm="1">
        <f t="array" ref="AS462">SUMPRODUCT(TRANSPOSE(tblMeasure[[#This Row],[str_msr_population_or_survey]:[str_src_quality_url]]),str_weights)/str_weights_total</f>
        <v>0.33846153846153848</v>
      </c>
    </row>
    <row r="463" spans="1:45" hidden="1" x14ac:dyDescent="0.15">
      <c r="A463" s="30">
        <v>461</v>
      </c>
      <c r="B463" s="32">
        <f>COUNTIF(requirement_measure_map!$D$3:$D$1514,measure!A463)</f>
        <v>0</v>
      </c>
      <c r="C463" s="30" t="s">
        <v>800</v>
      </c>
      <c r="D463" s="15" t="s">
        <v>1451</v>
      </c>
      <c r="E463" s="15" t="s">
        <v>1481</v>
      </c>
      <c r="F463" s="15" t="s">
        <v>1482</v>
      </c>
      <c r="G463" s="13" t="s">
        <v>1359</v>
      </c>
      <c r="H463" s="15"/>
      <c r="I463" s="15" t="s">
        <v>429</v>
      </c>
      <c r="J463" s="15" t="s">
        <v>1360</v>
      </c>
      <c r="K463" s="15" t="s">
        <v>1483</v>
      </c>
      <c r="L463" s="15" t="s">
        <v>233</v>
      </c>
      <c r="M463" s="15" t="s">
        <v>349</v>
      </c>
      <c r="N463" s="15" t="s">
        <v>218</v>
      </c>
      <c r="O463" s="15" t="s">
        <v>1362</v>
      </c>
      <c r="P463" s="15" t="s">
        <v>219</v>
      </c>
      <c r="Q463" s="15" t="s">
        <v>219</v>
      </c>
      <c r="R463" s="15" t="s">
        <v>219</v>
      </c>
      <c r="S463" s="15" t="s">
        <v>219</v>
      </c>
      <c r="T463" s="15" t="s">
        <v>219</v>
      </c>
      <c r="U463" s="15" t="s">
        <v>219</v>
      </c>
      <c r="V463" s="15" t="s">
        <v>219</v>
      </c>
      <c r="W463" s="15">
        <v>32</v>
      </c>
      <c r="X463" s="15" t="str">
        <f>_xlfn.XLOOKUP(tblMeasure[[#This Row],[id_src]],tblSource[id_src],tblSource[org])</f>
        <v xml:space="preserve">NIH National Institute of Ageing </v>
      </c>
      <c r="Y463" s="25" t="str">
        <f>_xlfn.XLOOKUP(tblMeasure[[#This Row],[id_src]],tblSource[id_src],tblSource[source])</f>
        <v>English Longitudinal Study of Ageing</v>
      </c>
      <c r="Z463" s="25" t="str">
        <f>_xlfn.XLOOKUP(tblMeasure[[#This Row],[id_src]],tblSource[id_src],tblSource[url_source])</f>
        <v>https://www.ifs.org.uk/uploads/ELSA_Wave_8_report.pdf</v>
      </c>
      <c r="AA463" s="25">
        <f>_xlfn.XLOOKUP(tblMeasure[[#This Row],[id_src]],tblSource[id_src],tblSource[year_first_published])</f>
        <v>2002</v>
      </c>
      <c r="AB463" s="25">
        <f>_xlfn.XLOOKUP(tblMeasure[[#This Row],[id_src]],tblSource[id_src],tblSource[year_last_published])</f>
        <v>2018</v>
      </c>
      <c r="AC463" s="25">
        <f>_xlfn.XLOOKUP(tblMeasure[[#This Row],[id_src]],tblSource[id_src],tblSource[discontinuity])</f>
        <v>0</v>
      </c>
      <c r="AD463" s="25" t="str">
        <f>_xlfn.XLOOKUP(tblMeasure[[#This Row],[id_src]],tblSource[id_src],tblSource[publication_frequency])</f>
        <v>Biennial</v>
      </c>
      <c r="AE463" s="15">
        <f>_xlfn.XLOOKUP(tblMeasure[[#This Row],[id_src]],tblSource[id_src],tblSource[publication_lag_months])</f>
        <v>10</v>
      </c>
      <c r="AF463" s="25" t="str">
        <f>_xlfn.XLOOKUP(tblMeasure[[#This Row],[id_src]],tblSource[id_src],tblSource[data_providers])</f>
        <v>UCL, IFS, Manchester University, NatCen, UEA</v>
      </c>
      <c r="AG463" s="25" t="str">
        <f>_xlfn.XLOOKUP(tblMeasure[[#This Row],[id_src]],tblSource[id_src],tblSource[statistic_class])</f>
        <v>TBD</v>
      </c>
      <c r="AH463" s="25" t="str">
        <f>_xlfn.XLOOKUP(tblMeasure[[#This Row],[id_src]],tblSource[id_src],tblSource[methodology_link])</f>
        <v>https://www.ifs.org.uk/uploads/ELSA_Wave_8_report.pdf</v>
      </c>
      <c r="AI463" s="25" t="str">
        <f>_xlfn.XLOOKUP(tblMeasure[[#This Row],[id_src]],tblSource[id_src],tblSource[quality_issues])</f>
        <v>TBD</v>
      </c>
      <c r="AJ463" s="25">
        <f>VLOOKUP(tblMeasure[[#This Row],[msr_population_or_survey]],strlu_msr_population_or_survey,2,FALSE)</f>
        <v>0</v>
      </c>
      <c r="AK463" s="25">
        <f>VLOOKUP(tblMeasure[[#This Row],[msr_min_geo_resolution]],strlu_msr_min_geo_resolution,2,FALSE)</f>
        <v>0</v>
      </c>
      <c r="AL463" s="25">
        <f>(MAX(tblMeasure[[#This Row],[src_year_last_published]]-2010+1,0)+MIN(2010-tblMeasure[[#This Row],[src_year_first_published]],0)-MAX(tblMeasure[[#This Row],[src_year_last_published]]-2019,0))/10</f>
        <v>0.9</v>
      </c>
      <c r="AM463" s="25">
        <f>IF(OR(tblMeasure[[#This Row],[src_discontinuity]]="None",tblMeasure[[#This Row],[src_discontinuity]]=0),1,0)</f>
        <v>1</v>
      </c>
      <c r="AN463" s="25">
        <f>VLOOKUP(tblMeasure[[#This Row],[src_pub_frequency]],strlu_src_pub_frequency,2,FALSE)</f>
        <v>0.5</v>
      </c>
      <c r="AO463" s="25">
        <f>VLOOKUP(tblMeasure[[#This Row],[src_pub_lag_months]],strlu_src_pub_lag_months,2,FALSE)</f>
        <v>0.1</v>
      </c>
      <c r="AP463" s="25">
        <f>VLOOKUP(tblMeasure[[#This Row],[src_statistic_class]],strlu_src_statistic_class,2,FALSE)</f>
        <v>0</v>
      </c>
      <c r="AQ463" s="25">
        <f>IF(tblMeasure[[#This Row],[src_methodology_url]]="TBD",0,1)</f>
        <v>1</v>
      </c>
      <c r="AR463" s="25">
        <f>IF(tblMeasure[[#This Row],[src_quality_url]]="TBD",0,1)</f>
        <v>0</v>
      </c>
      <c r="AS463" s="85" cm="1">
        <f t="array" ref="AS463">SUMPRODUCT(TRANSPOSE(tblMeasure[[#This Row],[str_msr_population_or_survey]:[str_src_quality_url]]),str_weights)/str_weights_total</f>
        <v>0.33846153846153848</v>
      </c>
    </row>
    <row r="464" spans="1:45" hidden="1" x14ac:dyDescent="0.15">
      <c r="A464" s="30">
        <v>462</v>
      </c>
      <c r="B464" s="32">
        <f>COUNTIF(requirement_measure_map!$D$3:$D$1514,measure!A464)</f>
        <v>0</v>
      </c>
      <c r="C464" s="30" t="s">
        <v>800</v>
      </c>
      <c r="D464" s="15" t="s">
        <v>1451</v>
      </c>
      <c r="E464" s="15" t="s">
        <v>1484</v>
      </c>
      <c r="F464" s="15" t="s">
        <v>1485</v>
      </c>
      <c r="G464" s="13" t="s">
        <v>1359</v>
      </c>
      <c r="H464" s="15"/>
      <c r="I464" s="15" t="s">
        <v>429</v>
      </c>
      <c r="J464" s="15" t="s">
        <v>1360</v>
      </c>
      <c r="K464" s="15" t="s">
        <v>1483</v>
      </c>
      <c r="L464" s="15" t="s">
        <v>233</v>
      </c>
      <c r="M464" s="15" t="s">
        <v>1362</v>
      </c>
      <c r="N464" s="15" t="s">
        <v>218</v>
      </c>
      <c r="O464" s="15" t="s">
        <v>243</v>
      </c>
      <c r="P464" s="15" t="s">
        <v>219</v>
      </c>
      <c r="Q464" s="15" t="s">
        <v>219</v>
      </c>
      <c r="R464" s="15" t="s">
        <v>219</v>
      </c>
      <c r="S464" s="15" t="s">
        <v>219</v>
      </c>
      <c r="T464" s="15" t="s">
        <v>219</v>
      </c>
      <c r="U464" s="15" t="s">
        <v>219</v>
      </c>
      <c r="V464" s="15" t="s">
        <v>219</v>
      </c>
      <c r="W464" s="15">
        <v>32</v>
      </c>
      <c r="X464" s="15" t="str">
        <f>_xlfn.XLOOKUP(tblMeasure[[#This Row],[id_src]],tblSource[id_src],tblSource[org])</f>
        <v xml:space="preserve">NIH National Institute of Ageing </v>
      </c>
      <c r="Y464" s="25" t="str">
        <f>_xlfn.XLOOKUP(tblMeasure[[#This Row],[id_src]],tblSource[id_src],tblSource[source])</f>
        <v>English Longitudinal Study of Ageing</v>
      </c>
      <c r="Z464" s="25" t="str">
        <f>_xlfn.XLOOKUP(tblMeasure[[#This Row],[id_src]],tblSource[id_src],tblSource[url_source])</f>
        <v>https://www.ifs.org.uk/uploads/ELSA_Wave_8_report.pdf</v>
      </c>
      <c r="AA464" s="25">
        <f>_xlfn.XLOOKUP(tblMeasure[[#This Row],[id_src]],tblSource[id_src],tblSource[year_first_published])</f>
        <v>2002</v>
      </c>
      <c r="AB464" s="25">
        <f>_xlfn.XLOOKUP(tblMeasure[[#This Row],[id_src]],tblSource[id_src],tblSource[year_last_published])</f>
        <v>2018</v>
      </c>
      <c r="AC464" s="25">
        <f>_xlfn.XLOOKUP(tblMeasure[[#This Row],[id_src]],tblSource[id_src],tblSource[discontinuity])</f>
        <v>0</v>
      </c>
      <c r="AD464" s="25" t="str">
        <f>_xlfn.XLOOKUP(tblMeasure[[#This Row],[id_src]],tblSource[id_src],tblSource[publication_frequency])</f>
        <v>Biennial</v>
      </c>
      <c r="AE464" s="15">
        <f>_xlfn.XLOOKUP(tblMeasure[[#This Row],[id_src]],tblSource[id_src],tblSource[publication_lag_months])</f>
        <v>10</v>
      </c>
      <c r="AF464" s="25" t="str">
        <f>_xlfn.XLOOKUP(tblMeasure[[#This Row],[id_src]],tblSource[id_src],tblSource[data_providers])</f>
        <v>UCL, IFS, Manchester University, NatCen, UEA</v>
      </c>
      <c r="AG464" s="25" t="str">
        <f>_xlfn.XLOOKUP(tblMeasure[[#This Row],[id_src]],tblSource[id_src],tblSource[statistic_class])</f>
        <v>TBD</v>
      </c>
      <c r="AH464" s="25" t="str">
        <f>_xlfn.XLOOKUP(tblMeasure[[#This Row],[id_src]],tblSource[id_src],tblSource[methodology_link])</f>
        <v>https://www.ifs.org.uk/uploads/ELSA_Wave_8_report.pdf</v>
      </c>
      <c r="AI464" s="25" t="str">
        <f>_xlfn.XLOOKUP(tblMeasure[[#This Row],[id_src]],tblSource[id_src],tblSource[quality_issues])</f>
        <v>TBD</v>
      </c>
      <c r="AJ464" s="25">
        <f>VLOOKUP(tblMeasure[[#This Row],[msr_population_or_survey]],strlu_msr_population_or_survey,2,FALSE)</f>
        <v>0</v>
      </c>
      <c r="AK464" s="25">
        <f>VLOOKUP(tblMeasure[[#This Row],[msr_min_geo_resolution]],strlu_msr_min_geo_resolution,2,FALSE)</f>
        <v>0</v>
      </c>
      <c r="AL464" s="25">
        <f>(MAX(tblMeasure[[#This Row],[src_year_last_published]]-2010+1,0)+MIN(2010-tblMeasure[[#This Row],[src_year_first_published]],0)-MAX(tblMeasure[[#This Row],[src_year_last_published]]-2019,0))/10</f>
        <v>0.9</v>
      </c>
      <c r="AM464" s="25">
        <f>IF(OR(tblMeasure[[#This Row],[src_discontinuity]]="None",tblMeasure[[#This Row],[src_discontinuity]]=0),1,0)</f>
        <v>1</v>
      </c>
      <c r="AN464" s="25">
        <f>VLOOKUP(tblMeasure[[#This Row],[src_pub_frequency]],strlu_src_pub_frequency,2,FALSE)</f>
        <v>0.5</v>
      </c>
      <c r="AO464" s="25">
        <f>VLOOKUP(tblMeasure[[#This Row],[src_pub_lag_months]],strlu_src_pub_lag_months,2,FALSE)</f>
        <v>0.1</v>
      </c>
      <c r="AP464" s="25">
        <f>VLOOKUP(tblMeasure[[#This Row],[src_statistic_class]],strlu_src_statistic_class,2,FALSE)</f>
        <v>0</v>
      </c>
      <c r="AQ464" s="25">
        <f>IF(tblMeasure[[#This Row],[src_methodology_url]]="TBD",0,1)</f>
        <v>1</v>
      </c>
      <c r="AR464" s="25">
        <f>IF(tblMeasure[[#This Row],[src_quality_url]]="TBD",0,1)</f>
        <v>0</v>
      </c>
      <c r="AS464" s="85" cm="1">
        <f t="array" ref="AS464">SUMPRODUCT(TRANSPOSE(tblMeasure[[#This Row],[str_msr_population_or_survey]:[str_src_quality_url]]),str_weights)/str_weights_total</f>
        <v>0.33846153846153848</v>
      </c>
    </row>
    <row r="465" spans="1:45" hidden="1" x14ac:dyDescent="0.15">
      <c r="A465" s="30">
        <v>463</v>
      </c>
      <c r="B465" s="32">
        <f>COUNTIF(requirement_measure_map!$D$3:$D$1514,measure!A465)</f>
        <v>2</v>
      </c>
      <c r="C465" s="30" t="s">
        <v>1395</v>
      </c>
      <c r="D465" s="15" t="s">
        <v>1451</v>
      </c>
      <c r="E465" s="15" t="s">
        <v>1486</v>
      </c>
      <c r="F465" s="15" t="s">
        <v>1487</v>
      </c>
      <c r="G465" s="13" t="s">
        <v>1359</v>
      </c>
      <c r="H465" s="15"/>
      <c r="I465" s="15" t="s">
        <v>429</v>
      </c>
      <c r="J465" s="15" t="s">
        <v>1360</v>
      </c>
      <c r="K465" s="15" t="s">
        <v>1488</v>
      </c>
      <c r="L465" s="15" t="s">
        <v>233</v>
      </c>
      <c r="M465" s="15" t="s">
        <v>349</v>
      </c>
      <c r="N465" s="15" t="s">
        <v>218</v>
      </c>
      <c r="O465" s="15" t="s">
        <v>1362</v>
      </c>
      <c r="P465" s="15" t="s">
        <v>219</v>
      </c>
      <c r="Q465" s="15" t="s">
        <v>219</v>
      </c>
      <c r="R465" s="15" t="s">
        <v>219</v>
      </c>
      <c r="S465" s="15" t="s">
        <v>219</v>
      </c>
      <c r="T465" s="15" t="s">
        <v>219</v>
      </c>
      <c r="U465" s="15" t="s">
        <v>219</v>
      </c>
      <c r="V465" s="15" t="s">
        <v>219</v>
      </c>
      <c r="W465" s="15">
        <v>32</v>
      </c>
      <c r="X465" s="15" t="str">
        <f>_xlfn.XLOOKUP(tblMeasure[[#This Row],[id_src]],tblSource[id_src],tblSource[org])</f>
        <v xml:space="preserve">NIH National Institute of Ageing </v>
      </c>
      <c r="Y465" s="25" t="str">
        <f>_xlfn.XLOOKUP(tblMeasure[[#This Row],[id_src]],tblSource[id_src],tblSource[source])</f>
        <v>English Longitudinal Study of Ageing</v>
      </c>
      <c r="Z465" s="25" t="str">
        <f>_xlfn.XLOOKUP(tblMeasure[[#This Row],[id_src]],tblSource[id_src],tblSource[url_source])</f>
        <v>https://www.ifs.org.uk/uploads/ELSA_Wave_8_report.pdf</v>
      </c>
      <c r="AA465" s="25">
        <f>_xlfn.XLOOKUP(tblMeasure[[#This Row],[id_src]],tblSource[id_src],tblSource[year_first_published])</f>
        <v>2002</v>
      </c>
      <c r="AB465" s="25">
        <f>_xlfn.XLOOKUP(tblMeasure[[#This Row],[id_src]],tblSource[id_src],tblSource[year_last_published])</f>
        <v>2018</v>
      </c>
      <c r="AC465" s="25">
        <f>_xlfn.XLOOKUP(tblMeasure[[#This Row],[id_src]],tblSource[id_src],tblSource[discontinuity])</f>
        <v>0</v>
      </c>
      <c r="AD465" s="25" t="str">
        <f>_xlfn.XLOOKUP(tblMeasure[[#This Row],[id_src]],tblSource[id_src],tblSource[publication_frequency])</f>
        <v>Biennial</v>
      </c>
      <c r="AE465" s="15">
        <f>_xlfn.XLOOKUP(tblMeasure[[#This Row],[id_src]],tblSource[id_src],tblSource[publication_lag_months])</f>
        <v>10</v>
      </c>
      <c r="AF465" s="25" t="str">
        <f>_xlfn.XLOOKUP(tblMeasure[[#This Row],[id_src]],tblSource[id_src],tblSource[data_providers])</f>
        <v>UCL, IFS, Manchester University, NatCen, UEA</v>
      </c>
      <c r="AG465" s="25" t="str">
        <f>_xlfn.XLOOKUP(tblMeasure[[#This Row],[id_src]],tblSource[id_src],tblSource[statistic_class])</f>
        <v>TBD</v>
      </c>
      <c r="AH465" s="25" t="str">
        <f>_xlfn.XLOOKUP(tblMeasure[[#This Row],[id_src]],tblSource[id_src],tblSource[methodology_link])</f>
        <v>https://www.ifs.org.uk/uploads/ELSA_Wave_8_report.pdf</v>
      </c>
      <c r="AI465" s="25" t="str">
        <f>_xlfn.XLOOKUP(tblMeasure[[#This Row],[id_src]],tblSource[id_src],tblSource[quality_issues])</f>
        <v>TBD</v>
      </c>
      <c r="AJ465" s="25">
        <f>VLOOKUP(tblMeasure[[#This Row],[msr_population_or_survey]],strlu_msr_population_or_survey,2,FALSE)</f>
        <v>0</v>
      </c>
      <c r="AK465" s="25">
        <f>VLOOKUP(tblMeasure[[#This Row],[msr_min_geo_resolution]],strlu_msr_min_geo_resolution,2,FALSE)</f>
        <v>0</v>
      </c>
      <c r="AL465" s="25">
        <f>(MAX(tblMeasure[[#This Row],[src_year_last_published]]-2010+1,0)+MIN(2010-tblMeasure[[#This Row],[src_year_first_published]],0)-MAX(tblMeasure[[#This Row],[src_year_last_published]]-2019,0))/10</f>
        <v>0.9</v>
      </c>
      <c r="AM465" s="25">
        <f>IF(OR(tblMeasure[[#This Row],[src_discontinuity]]="None",tblMeasure[[#This Row],[src_discontinuity]]=0),1,0)</f>
        <v>1</v>
      </c>
      <c r="AN465" s="25">
        <f>VLOOKUP(tblMeasure[[#This Row],[src_pub_frequency]],strlu_src_pub_frequency,2,FALSE)</f>
        <v>0.5</v>
      </c>
      <c r="AO465" s="25">
        <f>VLOOKUP(tblMeasure[[#This Row],[src_pub_lag_months]],strlu_src_pub_lag_months,2,FALSE)</f>
        <v>0.1</v>
      </c>
      <c r="AP465" s="25">
        <f>VLOOKUP(tblMeasure[[#This Row],[src_statistic_class]],strlu_src_statistic_class,2,FALSE)</f>
        <v>0</v>
      </c>
      <c r="AQ465" s="25">
        <f>IF(tblMeasure[[#This Row],[src_methodology_url]]="TBD",0,1)</f>
        <v>1</v>
      </c>
      <c r="AR465" s="25">
        <f>IF(tblMeasure[[#This Row],[src_quality_url]]="TBD",0,1)</f>
        <v>0</v>
      </c>
      <c r="AS465" s="85" cm="1">
        <f t="array" ref="AS465">SUMPRODUCT(TRANSPOSE(tblMeasure[[#This Row],[str_msr_population_or_survey]:[str_src_quality_url]]),str_weights)/str_weights_total</f>
        <v>0.33846153846153848</v>
      </c>
    </row>
    <row r="466" spans="1:45" hidden="1" x14ac:dyDescent="0.15">
      <c r="A466" s="30">
        <v>464</v>
      </c>
      <c r="B466" s="32">
        <f>COUNTIF(requirement_measure_map!$D$3:$D$1514,measure!A466)</f>
        <v>2</v>
      </c>
      <c r="C466" s="30" t="s">
        <v>1395</v>
      </c>
      <c r="D466" s="15" t="s">
        <v>1451</v>
      </c>
      <c r="E466" s="15" t="s">
        <v>1489</v>
      </c>
      <c r="F466" s="15" t="s">
        <v>1490</v>
      </c>
      <c r="G466" s="13" t="s">
        <v>1359</v>
      </c>
      <c r="H466" s="15"/>
      <c r="I466" s="15" t="s">
        <v>429</v>
      </c>
      <c r="J466" s="15" t="s">
        <v>1360</v>
      </c>
      <c r="K466" s="15" t="s">
        <v>1488</v>
      </c>
      <c r="L466" s="15" t="s">
        <v>233</v>
      </c>
      <c r="M466" s="15" t="s">
        <v>1362</v>
      </c>
      <c r="N466" s="15" t="s">
        <v>218</v>
      </c>
      <c r="O466" s="15" t="s">
        <v>243</v>
      </c>
      <c r="P466" s="15" t="s">
        <v>219</v>
      </c>
      <c r="Q466" s="15" t="s">
        <v>219</v>
      </c>
      <c r="R466" s="15" t="s">
        <v>219</v>
      </c>
      <c r="S466" s="15" t="s">
        <v>219</v>
      </c>
      <c r="T466" s="15" t="s">
        <v>219</v>
      </c>
      <c r="U466" s="15" t="s">
        <v>219</v>
      </c>
      <c r="V466" s="15" t="s">
        <v>219</v>
      </c>
      <c r="W466" s="15">
        <v>32</v>
      </c>
      <c r="X466" s="15" t="str">
        <f>_xlfn.XLOOKUP(tblMeasure[[#This Row],[id_src]],tblSource[id_src],tblSource[org])</f>
        <v xml:space="preserve">NIH National Institute of Ageing </v>
      </c>
      <c r="Y466" s="25" t="str">
        <f>_xlfn.XLOOKUP(tblMeasure[[#This Row],[id_src]],tblSource[id_src],tblSource[source])</f>
        <v>English Longitudinal Study of Ageing</v>
      </c>
      <c r="Z466" s="25" t="str">
        <f>_xlfn.XLOOKUP(tblMeasure[[#This Row],[id_src]],tblSource[id_src],tblSource[url_source])</f>
        <v>https://www.ifs.org.uk/uploads/ELSA_Wave_8_report.pdf</v>
      </c>
      <c r="AA466" s="25">
        <f>_xlfn.XLOOKUP(tblMeasure[[#This Row],[id_src]],tblSource[id_src],tblSource[year_first_published])</f>
        <v>2002</v>
      </c>
      <c r="AB466" s="25">
        <f>_xlfn.XLOOKUP(tblMeasure[[#This Row],[id_src]],tblSource[id_src],tblSource[year_last_published])</f>
        <v>2018</v>
      </c>
      <c r="AC466" s="25">
        <f>_xlfn.XLOOKUP(tblMeasure[[#This Row],[id_src]],tblSource[id_src],tblSource[discontinuity])</f>
        <v>0</v>
      </c>
      <c r="AD466" s="25" t="str">
        <f>_xlfn.XLOOKUP(tblMeasure[[#This Row],[id_src]],tblSource[id_src],tblSource[publication_frequency])</f>
        <v>Biennial</v>
      </c>
      <c r="AE466" s="15">
        <f>_xlfn.XLOOKUP(tblMeasure[[#This Row],[id_src]],tblSource[id_src],tblSource[publication_lag_months])</f>
        <v>10</v>
      </c>
      <c r="AF466" s="25" t="str">
        <f>_xlfn.XLOOKUP(tblMeasure[[#This Row],[id_src]],tblSource[id_src],tblSource[data_providers])</f>
        <v>UCL, IFS, Manchester University, NatCen, UEA</v>
      </c>
      <c r="AG466" s="25" t="str">
        <f>_xlfn.XLOOKUP(tblMeasure[[#This Row],[id_src]],tblSource[id_src],tblSource[statistic_class])</f>
        <v>TBD</v>
      </c>
      <c r="AH466" s="25" t="str">
        <f>_xlfn.XLOOKUP(tblMeasure[[#This Row],[id_src]],tblSource[id_src],tblSource[methodology_link])</f>
        <v>https://www.ifs.org.uk/uploads/ELSA_Wave_8_report.pdf</v>
      </c>
      <c r="AI466" s="25" t="str">
        <f>_xlfn.XLOOKUP(tblMeasure[[#This Row],[id_src]],tblSource[id_src],tblSource[quality_issues])</f>
        <v>TBD</v>
      </c>
      <c r="AJ466" s="25">
        <f>VLOOKUP(tblMeasure[[#This Row],[msr_population_or_survey]],strlu_msr_population_or_survey,2,FALSE)</f>
        <v>0</v>
      </c>
      <c r="AK466" s="25">
        <f>VLOOKUP(tblMeasure[[#This Row],[msr_min_geo_resolution]],strlu_msr_min_geo_resolution,2,FALSE)</f>
        <v>0</v>
      </c>
      <c r="AL466" s="25">
        <f>(MAX(tblMeasure[[#This Row],[src_year_last_published]]-2010+1,0)+MIN(2010-tblMeasure[[#This Row],[src_year_first_published]],0)-MAX(tblMeasure[[#This Row],[src_year_last_published]]-2019,0))/10</f>
        <v>0.9</v>
      </c>
      <c r="AM466" s="25">
        <f>IF(OR(tblMeasure[[#This Row],[src_discontinuity]]="None",tblMeasure[[#This Row],[src_discontinuity]]=0),1,0)</f>
        <v>1</v>
      </c>
      <c r="AN466" s="25">
        <f>VLOOKUP(tblMeasure[[#This Row],[src_pub_frequency]],strlu_src_pub_frequency,2,FALSE)</f>
        <v>0.5</v>
      </c>
      <c r="AO466" s="25">
        <f>VLOOKUP(tblMeasure[[#This Row],[src_pub_lag_months]],strlu_src_pub_lag_months,2,FALSE)</f>
        <v>0.1</v>
      </c>
      <c r="AP466" s="25">
        <f>VLOOKUP(tblMeasure[[#This Row],[src_statistic_class]],strlu_src_statistic_class,2,FALSE)</f>
        <v>0</v>
      </c>
      <c r="AQ466" s="25">
        <f>IF(tblMeasure[[#This Row],[src_methodology_url]]="TBD",0,1)</f>
        <v>1</v>
      </c>
      <c r="AR466" s="25">
        <f>IF(tblMeasure[[#This Row],[src_quality_url]]="TBD",0,1)</f>
        <v>0</v>
      </c>
      <c r="AS466" s="85" cm="1">
        <f t="array" ref="AS466">SUMPRODUCT(TRANSPOSE(tblMeasure[[#This Row],[str_msr_population_or_survey]:[str_src_quality_url]]),str_weights)/str_weights_total</f>
        <v>0.33846153846153848</v>
      </c>
    </row>
    <row r="467" spans="1:45" hidden="1" x14ac:dyDescent="0.15">
      <c r="A467" s="30">
        <v>465</v>
      </c>
      <c r="B467" s="32">
        <f>COUNTIF(requirement_measure_map!$D$3:$D$1514,measure!A467)</f>
        <v>3</v>
      </c>
      <c r="C467" s="30" t="s">
        <v>1395</v>
      </c>
      <c r="D467" s="15" t="s">
        <v>1451</v>
      </c>
      <c r="E467" s="15" t="s">
        <v>1491</v>
      </c>
      <c r="F467" s="15" t="s">
        <v>1492</v>
      </c>
      <c r="G467" s="13" t="s">
        <v>1359</v>
      </c>
      <c r="H467" s="15"/>
      <c r="I467" s="15" t="s">
        <v>429</v>
      </c>
      <c r="J467" s="15" t="s">
        <v>1360</v>
      </c>
      <c r="K467" s="15" t="s">
        <v>1493</v>
      </c>
      <c r="L467" s="15" t="s">
        <v>233</v>
      </c>
      <c r="M467" s="15" t="s">
        <v>349</v>
      </c>
      <c r="N467" s="15" t="s">
        <v>218</v>
      </c>
      <c r="O467" s="15" t="s">
        <v>1362</v>
      </c>
      <c r="P467" s="15" t="s">
        <v>219</v>
      </c>
      <c r="Q467" s="15" t="s">
        <v>219</v>
      </c>
      <c r="R467" s="15" t="s">
        <v>219</v>
      </c>
      <c r="S467" s="15" t="s">
        <v>219</v>
      </c>
      <c r="T467" s="15" t="s">
        <v>219</v>
      </c>
      <c r="U467" s="15" t="s">
        <v>219</v>
      </c>
      <c r="V467" s="15" t="s">
        <v>219</v>
      </c>
      <c r="W467" s="15">
        <v>32</v>
      </c>
      <c r="X467" s="15" t="str">
        <f>_xlfn.XLOOKUP(tblMeasure[[#This Row],[id_src]],tblSource[id_src],tblSource[org])</f>
        <v xml:space="preserve">NIH National Institute of Ageing </v>
      </c>
      <c r="Y467" s="25" t="str">
        <f>_xlfn.XLOOKUP(tblMeasure[[#This Row],[id_src]],tblSource[id_src],tblSource[source])</f>
        <v>English Longitudinal Study of Ageing</v>
      </c>
      <c r="Z467" s="25" t="str">
        <f>_xlfn.XLOOKUP(tblMeasure[[#This Row],[id_src]],tblSource[id_src],tblSource[url_source])</f>
        <v>https://www.ifs.org.uk/uploads/ELSA_Wave_8_report.pdf</v>
      </c>
      <c r="AA467" s="25">
        <f>_xlfn.XLOOKUP(tblMeasure[[#This Row],[id_src]],tblSource[id_src],tblSource[year_first_published])</f>
        <v>2002</v>
      </c>
      <c r="AB467" s="25">
        <f>_xlfn.XLOOKUP(tblMeasure[[#This Row],[id_src]],tblSource[id_src],tblSource[year_last_published])</f>
        <v>2018</v>
      </c>
      <c r="AC467" s="25">
        <f>_xlfn.XLOOKUP(tblMeasure[[#This Row],[id_src]],tblSource[id_src],tblSource[discontinuity])</f>
        <v>0</v>
      </c>
      <c r="AD467" s="25" t="str">
        <f>_xlfn.XLOOKUP(tblMeasure[[#This Row],[id_src]],tblSource[id_src],tblSource[publication_frequency])</f>
        <v>Biennial</v>
      </c>
      <c r="AE467" s="15">
        <f>_xlfn.XLOOKUP(tblMeasure[[#This Row],[id_src]],tblSource[id_src],tblSource[publication_lag_months])</f>
        <v>10</v>
      </c>
      <c r="AF467" s="25" t="str">
        <f>_xlfn.XLOOKUP(tblMeasure[[#This Row],[id_src]],tblSource[id_src],tblSource[data_providers])</f>
        <v>UCL, IFS, Manchester University, NatCen, UEA</v>
      </c>
      <c r="AG467" s="25" t="str">
        <f>_xlfn.XLOOKUP(tblMeasure[[#This Row],[id_src]],tblSource[id_src],tblSource[statistic_class])</f>
        <v>TBD</v>
      </c>
      <c r="AH467" s="25" t="str">
        <f>_xlfn.XLOOKUP(tblMeasure[[#This Row],[id_src]],tblSource[id_src],tblSource[methodology_link])</f>
        <v>https://www.ifs.org.uk/uploads/ELSA_Wave_8_report.pdf</v>
      </c>
      <c r="AI467" s="25" t="str">
        <f>_xlfn.XLOOKUP(tblMeasure[[#This Row],[id_src]],tblSource[id_src],tblSource[quality_issues])</f>
        <v>TBD</v>
      </c>
      <c r="AJ467" s="25">
        <f>VLOOKUP(tblMeasure[[#This Row],[msr_population_or_survey]],strlu_msr_population_or_survey,2,FALSE)</f>
        <v>0</v>
      </c>
      <c r="AK467" s="25">
        <f>VLOOKUP(tblMeasure[[#This Row],[msr_min_geo_resolution]],strlu_msr_min_geo_resolution,2,FALSE)</f>
        <v>0</v>
      </c>
      <c r="AL467" s="25">
        <f>(MAX(tblMeasure[[#This Row],[src_year_last_published]]-2010+1,0)+MIN(2010-tblMeasure[[#This Row],[src_year_first_published]],0)-MAX(tblMeasure[[#This Row],[src_year_last_published]]-2019,0))/10</f>
        <v>0.9</v>
      </c>
      <c r="AM467" s="25">
        <f>IF(OR(tblMeasure[[#This Row],[src_discontinuity]]="None",tblMeasure[[#This Row],[src_discontinuity]]=0),1,0)</f>
        <v>1</v>
      </c>
      <c r="AN467" s="25">
        <f>VLOOKUP(tblMeasure[[#This Row],[src_pub_frequency]],strlu_src_pub_frequency,2,FALSE)</f>
        <v>0.5</v>
      </c>
      <c r="AO467" s="25">
        <f>VLOOKUP(tblMeasure[[#This Row],[src_pub_lag_months]],strlu_src_pub_lag_months,2,FALSE)</f>
        <v>0.1</v>
      </c>
      <c r="AP467" s="25">
        <f>VLOOKUP(tblMeasure[[#This Row],[src_statistic_class]],strlu_src_statistic_class,2,FALSE)</f>
        <v>0</v>
      </c>
      <c r="AQ467" s="25">
        <f>IF(tblMeasure[[#This Row],[src_methodology_url]]="TBD",0,1)</f>
        <v>1</v>
      </c>
      <c r="AR467" s="25">
        <f>IF(tblMeasure[[#This Row],[src_quality_url]]="TBD",0,1)</f>
        <v>0</v>
      </c>
      <c r="AS467" s="85" cm="1">
        <f t="array" ref="AS467">SUMPRODUCT(TRANSPOSE(tblMeasure[[#This Row],[str_msr_population_or_survey]:[str_src_quality_url]]),str_weights)/str_weights_total</f>
        <v>0.33846153846153848</v>
      </c>
    </row>
    <row r="468" spans="1:45" hidden="1" x14ac:dyDescent="0.15">
      <c r="A468" s="30">
        <v>466</v>
      </c>
      <c r="B468" s="32">
        <f>COUNTIF(requirement_measure_map!$D$3:$D$1514,measure!A468)</f>
        <v>3</v>
      </c>
      <c r="C468" s="30" t="s">
        <v>1395</v>
      </c>
      <c r="D468" s="15" t="s">
        <v>1451</v>
      </c>
      <c r="E468" s="15" t="s">
        <v>1494</v>
      </c>
      <c r="F468" s="15" t="s">
        <v>1495</v>
      </c>
      <c r="G468" s="13" t="s">
        <v>1359</v>
      </c>
      <c r="H468" s="15"/>
      <c r="I468" s="15" t="s">
        <v>429</v>
      </c>
      <c r="J468" s="15" t="s">
        <v>1360</v>
      </c>
      <c r="K468" s="15" t="s">
        <v>1493</v>
      </c>
      <c r="L468" s="15" t="s">
        <v>233</v>
      </c>
      <c r="M468" s="15" t="s">
        <v>1362</v>
      </c>
      <c r="N468" s="15" t="s">
        <v>218</v>
      </c>
      <c r="O468" s="15" t="s">
        <v>243</v>
      </c>
      <c r="P468" s="15" t="s">
        <v>219</v>
      </c>
      <c r="Q468" s="15" t="s">
        <v>219</v>
      </c>
      <c r="R468" s="15" t="s">
        <v>219</v>
      </c>
      <c r="S468" s="15" t="s">
        <v>219</v>
      </c>
      <c r="T468" s="15" t="s">
        <v>219</v>
      </c>
      <c r="U468" s="15" t="s">
        <v>219</v>
      </c>
      <c r="V468" s="15" t="s">
        <v>219</v>
      </c>
      <c r="W468" s="15">
        <v>32</v>
      </c>
      <c r="X468" s="15" t="str">
        <f>_xlfn.XLOOKUP(tblMeasure[[#This Row],[id_src]],tblSource[id_src],tblSource[org])</f>
        <v xml:space="preserve">NIH National Institute of Ageing </v>
      </c>
      <c r="Y468" s="25" t="str">
        <f>_xlfn.XLOOKUP(tblMeasure[[#This Row],[id_src]],tblSource[id_src],tblSource[source])</f>
        <v>English Longitudinal Study of Ageing</v>
      </c>
      <c r="Z468" s="25" t="str">
        <f>_xlfn.XLOOKUP(tblMeasure[[#This Row],[id_src]],tblSource[id_src],tblSource[url_source])</f>
        <v>https://www.ifs.org.uk/uploads/ELSA_Wave_8_report.pdf</v>
      </c>
      <c r="AA468" s="25">
        <f>_xlfn.XLOOKUP(tblMeasure[[#This Row],[id_src]],tblSource[id_src],tblSource[year_first_published])</f>
        <v>2002</v>
      </c>
      <c r="AB468" s="25">
        <f>_xlfn.XLOOKUP(tblMeasure[[#This Row],[id_src]],tblSource[id_src],tblSource[year_last_published])</f>
        <v>2018</v>
      </c>
      <c r="AC468" s="25">
        <f>_xlfn.XLOOKUP(tblMeasure[[#This Row],[id_src]],tblSource[id_src],tblSource[discontinuity])</f>
        <v>0</v>
      </c>
      <c r="AD468" s="25" t="str">
        <f>_xlfn.XLOOKUP(tblMeasure[[#This Row],[id_src]],tblSource[id_src],tblSource[publication_frequency])</f>
        <v>Biennial</v>
      </c>
      <c r="AE468" s="15">
        <f>_xlfn.XLOOKUP(tblMeasure[[#This Row],[id_src]],tblSource[id_src],tblSource[publication_lag_months])</f>
        <v>10</v>
      </c>
      <c r="AF468" s="25" t="str">
        <f>_xlfn.XLOOKUP(tblMeasure[[#This Row],[id_src]],tblSource[id_src],tblSource[data_providers])</f>
        <v>UCL, IFS, Manchester University, NatCen, UEA</v>
      </c>
      <c r="AG468" s="25" t="str">
        <f>_xlfn.XLOOKUP(tblMeasure[[#This Row],[id_src]],tblSource[id_src],tblSource[statistic_class])</f>
        <v>TBD</v>
      </c>
      <c r="AH468" s="25" t="str">
        <f>_xlfn.XLOOKUP(tblMeasure[[#This Row],[id_src]],tblSource[id_src],tblSource[methodology_link])</f>
        <v>https://www.ifs.org.uk/uploads/ELSA_Wave_8_report.pdf</v>
      </c>
      <c r="AI468" s="25" t="str">
        <f>_xlfn.XLOOKUP(tblMeasure[[#This Row],[id_src]],tblSource[id_src],tblSource[quality_issues])</f>
        <v>TBD</v>
      </c>
      <c r="AJ468" s="25">
        <f>VLOOKUP(tblMeasure[[#This Row],[msr_population_or_survey]],strlu_msr_population_or_survey,2,FALSE)</f>
        <v>0</v>
      </c>
      <c r="AK468" s="25">
        <f>VLOOKUP(tblMeasure[[#This Row],[msr_min_geo_resolution]],strlu_msr_min_geo_resolution,2,FALSE)</f>
        <v>0</v>
      </c>
      <c r="AL468" s="25">
        <f>(MAX(tblMeasure[[#This Row],[src_year_last_published]]-2010+1,0)+MIN(2010-tblMeasure[[#This Row],[src_year_first_published]],0)-MAX(tblMeasure[[#This Row],[src_year_last_published]]-2019,0))/10</f>
        <v>0.9</v>
      </c>
      <c r="AM468" s="25">
        <f>IF(OR(tblMeasure[[#This Row],[src_discontinuity]]="None",tblMeasure[[#This Row],[src_discontinuity]]=0),1,0)</f>
        <v>1</v>
      </c>
      <c r="AN468" s="25">
        <f>VLOOKUP(tblMeasure[[#This Row],[src_pub_frequency]],strlu_src_pub_frequency,2,FALSE)</f>
        <v>0.5</v>
      </c>
      <c r="AO468" s="25">
        <f>VLOOKUP(tblMeasure[[#This Row],[src_pub_lag_months]],strlu_src_pub_lag_months,2,FALSE)</f>
        <v>0.1</v>
      </c>
      <c r="AP468" s="25">
        <f>VLOOKUP(tblMeasure[[#This Row],[src_statistic_class]],strlu_src_statistic_class,2,FALSE)</f>
        <v>0</v>
      </c>
      <c r="AQ468" s="25">
        <f>IF(tblMeasure[[#This Row],[src_methodology_url]]="TBD",0,1)</f>
        <v>1</v>
      </c>
      <c r="AR468" s="25">
        <f>IF(tblMeasure[[#This Row],[src_quality_url]]="TBD",0,1)</f>
        <v>0</v>
      </c>
      <c r="AS468" s="85" cm="1">
        <f t="array" ref="AS468">SUMPRODUCT(TRANSPOSE(tblMeasure[[#This Row],[str_msr_population_or_survey]:[str_src_quality_url]]),str_weights)/str_weights_total</f>
        <v>0.33846153846153848</v>
      </c>
    </row>
    <row r="469" spans="1:45" hidden="1" x14ac:dyDescent="0.15">
      <c r="A469" s="30">
        <v>467</v>
      </c>
      <c r="B469" s="32">
        <f>COUNTIF(requirement_measure_map!$D$3:$D$1514,measure!A469)</f>
        <v>0</v>
      </c>
      <c r="C469" s="30" t="s">
        <v>800</v>
      </c>
      <c r="D469" s="15" t="s">
        <v>1451</v>
      </c>
      <c r="E469" s="15" t="s">
        <v>1496</v>
      </c>
      <c r="F469" s="15" t="s">
        <v>1497</v>
      </c>
      <c r="G469" s="13" t="s">
        <v>1359</v>
      </c>
      <c r="H469" s="15"/>
      <c r="I469" s="15" t="s">
        <v>429</v>
      </c>
      <c r="J469" s="15" t="s">
        <v>1360</v>
      </c>
      <c r="K469" s="15" t="s">
        <v>1498</v>
      </c>
      <c r="L469" s="15" t="s">
        <v>233</v>
      </c>
      <c r="M469" s="15" t="s">
        <v>349</v>
      </c>
      <c r="N469" s="15" t="s">
        <v>218</v>
      </c>
      <c r="O469" s="15" t="s">
        <v>1362</v>
      </c>
      <c r="P469" s="15" t="s">
        <v>219</v>
      </c>
      <c r="Q469" s="15" t="s">
        <v>219</v>
      </c>
      <c r="R469" s="15" t="s">
        <v>219</v>
      </c>
      <c r="S469" s="15" t="s">
        <v>219</v>
      </c>
      <c r="T469" s="15" t="s">
        <v>219</v>
      </c>
      <c r="U469" s="15" t="s">
        <v>219</v>
      </c>
      <c r="V469" s="15" t="s">
        <v>219</v>
      </c>
      <c r="W469" s="15">
        <v>32</v>
      </c>
      <c r="X469" s="15" t="str">
        <f>_xlfn.XLOOKUP(tblMeasure[[#This Row],[id_src]],tblSource[id_src],tblSource[org])</f>
        <v xml:space="preserve">NIH National Institute of Ageing </v>
      </c>
      <c r="Y469" s="25" t="str">
        <f>_xlfn.XLOOKUP(tblMeasure[[#This Row],[id_src]],tblSource[id_src],tblSource[source])</f>
        <v>English Longitudinal Study of Ageing</v>
      </c>
      <c r="Z469" s="25" t="str">
        <f>_xlfn.XLOOKUP(tblMeasure[[#This Row],[id_src]],tblSource[id_src],tblSource[url_source])</f>
        <v>https://www.ifs.org.uk/uploads/ELSA_Wave_8_report.pdf</v>
      </c>
      <c r="AA469" s="25">
        <f>_xlfn.XLOOKUP(tblMeasure[[#This Row],[id_src]],tblSource[id_src],tblSource[year_first_published])</f>
        <v>2002</v>
      </c>
      <c r="AB469" s="25">
        <f>_xlfn.XLOOKUP(tblMeasure[[#This Row],[id_src]],tblSource[id_src],tblSource[year_last_published])</f>
        <v>2018</v>
      </c>
      <c r="AC469" s="25">
        <f>_xlfn.XLOOKUP(tblMeasure[[#This Row],[id_src]],tblSource[id_src],tblSource[discontinuity])</f>
        <v>0</v>
      </c>
      <c r="AD469" s="25" t="str">
        <f>_xlfn.XLOOKUP(tblMeasure[[#This Row],[id_src]],tblSource[id_src],tblSource[publication_frequency])</f>
        <v>Biennial</v>
      </c>
      <c r="AE469" s="15">
        <f>_xlfn.XLOOKUP(tblMeasure[[#This Row],[id_src]],tblSource[id_src],tblSource[publication_lag_months])</f>
        <v>10</v>
      </c>
      <c r="AF469" s="25" t="str">
        <f>_xlfn.XLOOKUP(tblMeasure[[#This Row],[id_src]],tblSource[id_src],tblSource[data_providers])</f>
        <v>UCL, IFS, Manchester University, NatCen, UEA</v>
      </c>
      <c r="AG469" s="25" t="str">
        <f>_xlfn.XLOOKUP(tblMeasure[[#This Row],[id_src]],tblSource[id_src],tblSource[statistic_class])</f>
        <v>TBD</v>
      </c>
      <c r="AH469" s="25" t="str">
        <f>_xlfn.XLOOKUP(tblMeasure[[#This Row],[id_src]],tblSource[id_src],tblSource[methodology_link])</f>
        <v>https://www.ifs.org.uk/uploads/ELSA_Wave_8_report.pdf</v>
      </c>
      <c r="AI469" s="25" t="str">
        <f>_xlfn.XLOOKUP(tblMeasure[[#This Row],[id_src]],tblSource[id_src],tblSource[quality_issues])</f>
        <v>TBD</v>
      </c>
      <c r="AJ469" s="25">
        <f>VLOOKUP(tblMeasure[[#This Row],[msr_population_or_survey]],strlu_msr_population_or_survey,2,FALSE)</f>
        <v>0</v>
      </c>
      <c r="AK469" s="25">
        <f>VLOOKUP(tblMeasure[[#This Row],[msr_min_geo_resolution]],strlu_msr_min_geo_resolution,2,FALSE)</f>
        <v>0</v>
      </c>
      <c r="AL469" s="25">
        <f>(MAX(tblMeasure[[#This Row],[src_year_last_published]]-2010+1,0)+MIN(2010-tblMeasure[[#This Row],[src_year_first_published]],0)-MAX(tblMeasure[[#This Row],[src_year_last_published]]-2019,0))/10</f>
        <v>0.9</v>
      </c>
      <c r="AM469" s="25">
        <f>IF(OR(tblMeasure[[#This Row],[src_discontinuity]]="None",tblMeasure[[#This Row],[src_discontinuity]]=0),1,0)</f>
        <v>1</v>
      </c>
      <c r="AN469" s="25">
        <f>VLOOKUP(tblMeasure[[#This Row],[src_pub_frequency]],strlu_src_pub_frequency,2,FALSE)</f>
        <v>0.5</v>
      </c>
      <c r="AO469" s="25">
        <f>VLOOKUP(tblMeasure[[#This Row],[src_pub_lag_months]],strlu_src_pub_lag_months,2,FALSE)</f>
        <v>0.1</v>
      </c>
      <c r="AP469" s="25">
        <f>VLOOKUP(tblMeasure[[#This Row],[src_statistic_class]],strlu_src_statistic_class,2,FALSE)</f>
        <v>0</v>
      </c>
      <c r="AQ469" s="25">
        <f>IF(tblMeasure[[#This Row],[src_methodology_url]]="TBD",0,1)</f>
        <v>1</v>
      </c>
      <c r="AR469" s="25">
        <f>IF(tblMeasure[[#This Row],[src_quality_url]]="TBD",0,1)</f>
        <v>0</v>
      </c>
      <c r="AS469" s="85" cm="1">
        <f t="array" ref="AS469">SUMPRODUCT(TRANSPOSE(tblMeasure[[#This Row],[str_msr_population_or_survey]:[str_src_quality_url]]),str_weights)/str_weights_total</f>
        <v>0.33846153846153848</v>
      </c>
    </row>
    <row r="470" spans="1:45" hidden="1" x14ac:dyDescent="0.15">
      <c r="A470" s="30">
        <v>468</v>
      </c>
      <c r="B470" s="32">
        <f>COUNTIF(requirement_measure_map!$D$3:$D$1514,measure!A470)</f>
        <v>0</v>
      </c>
      <c r="C470" s="30" t="s">
        <v>800</v>
      </c>
      <c r="D470" s="15" t="s">
        <v>1451</v>
      </c>
      <c r="E470" s="15" t="s">
        <v>1499</v>
      </c>
      <c r="F470" s="15" t="s">
        <v>1500</v>
      </c>
      <c r="G470" s="13" t="s">
        <v>1359</v>
      </c>
      <c r="H470" s="15"/>
      <c r="I470" s="15" t="s">
        <v>429</v>
      </c>
      <c r="J470" s="15" t="s">
        <v>1360</v>
      </c>
      <c r="K470" s="15" t="s">
        <v>1498</v>
      </c>
      <c r="L470" s="15" t="s">
        <v>233</v>
      </c>
      <c r="M470" s="15" t="s">
        <v>1362</v>
      </c>
      <c r="N470" s="15" t="s">
        <v>218</v>
      </c>
      <c r="O470" s="15" t="s">
        <v>243</v>
      </c>
      <c r="P470" s="15" t="s">
        <v>219</v>
      </c>
      <c r="Q470" s="15" t="s">
        <v>219</v>
      </c>
      <c r="R470" s="15" t="s">
        <v>219</v>
      </c>
      <c r="S470" s="15" t="s">
        <v>219</v>
      </c>
      <c r="T470" s="15" t="s">
        <v>219</v>
      </c>
      <c r="U470" s="15" t="s">
        <v>219</v>
      </c>
      <c r="V470" s="15" t="s">
        <v>219</v>
      </c>
      <c r="W470" s="15">
        <v>32</v>
      </c>
      <c r="X470" s="15" t="str">
        <f>_xlfn.XLOOKUP(tblMeasure[[#This Row],[id_src]],tblSource[id_src],tblSource[org])</f>
        <v xml:space="preserve">NIH National Institute of Ageing </v>
      </c>
      <c r="Y470" s="25" t="str">
        <f>_xlfn.XLOOKUP(tblMeasure[[#This Row],[id_src]],tblSource[id_src],tblSource[source])</f>
        <v>English Longitudinal Study of Ageing</v>
      </c>
      <c r="Z470" s="25" t="str">
        <f>_xlfn.XLOOKUP(tblMeasure[[#This Row],[id_src]],tblSource[id_src],tblSource[url_source])</f>
        <v>https://www.ifs.org.uk/uploads/ELSA_Wave_8_report.pdf</v>
      </c>
      <c r="AA470" s="25">
        <f>_xlfn.XLOOKUP(tblMeasure[[#This Row],[id_src]],tblSource[id_src],tblSource[year_first_published])</f>
        <v>2002</v>
      </c>
      <c r="AB470" s="25">
        <f>_xlfn.XLOOKUP(tblMeasure[[#This Row],[id_src]],tblSource[id_src],tblSource[year_last_published])</f>
        <v>2018</v>
      </c>
      <c r="AC470" s="25">
        <f>_xlfn.XLOOKUP(tblMeasure[[#This Row],[id_src]],tblSource[id_src],tblSource[discontinuity])</f>
        <v>0</v>
      </c>
      <c r="AD470" s="25" t="str">
        <f>_xlfn.XLOOKUP(tblMeasure[[#This Row],[id_src]],tblSource[id_src],tblSource[publication_frequency])</f>
        <v>Biennial</v>
      </c>
      <c r="AE470" s="15">
        <f>_xlfn.XLOOKUP(tblMeasure[[#This Row],[id_src]],tblSource[id_src],tblSource[publication_lag_months])</f>
        <v>10</v>
      </c>
      <c r="AF470" s="25" t="str">
        <f>_xlfn.XLOOKUP(tblMeasure[[#This Row],[id_src]],tblSource[id_src],tblSource[data_providers])</f>
        <v>UCL, IFS, Manchester University, NatCen, UEA</v>
      </c>
      <c r="AG470" s="25" t="str">
        <f>_xlfn.XLOOKUP(tblMeasure[[#This Row],[id_src]],tblSource[id_src],tblSource[statistic_class])</f>
        <v>TBD</v>
      </c>
      <c r="AH470" s="25" t="str">
        <f>_xlfn.XLOOKUP(tblMeasure[[#This Row],[id_src]],tblSource[id_src],tblSource[methodology_link])</f>
        <v>https://www.ifs.org.uk/uploads/ELSA_Wave_8_report.pdf</v>
      </c>
      <c r="AI470" s="25" t="str">
        <f>_xlfn.XLOOKUP(tblMeasure[[#This Row],[id_src]],tblSource[id_src],tblSource[quality_issues])</f>
        <v>TBD</v>
      </c>
      <c r="AJ470" s="25">
        <f>VLOOKUP(tblMeasure[[#This Row],[msr_population_or_survey]],strlu_msr_population_or_survey,2,FALSE)</f>
        <v>0</v>
      </c>
      <c r="AK470" s="25">
        <f>VLOOKUP(tblMeasure[[#This Row],[msr_min_geo_resolution]],strlu_msr_min_geo_resolution,2,FALSE)</f>
        <v>0</v>
      </c>
      <c r="AL470" s="25">
        <f>(MAX(tblMeasure[[#This Row],[src_year_last_published]]-2010+1,0)+MIN(2010-tblMeasure[[#This Row],[src_year_first_published]],0)-MAX(tblMeasure[[#This Row],[src_year_last_published]]-2019,0))/10</f>
        <v>0.9</v>
      </c>
      <c r="AM470" s="25">
        <f>IF(OR(tblMeasure[[#This Row],[src_discontinuity]]="None",tblMeasure[[#This Row],[src_discontinuity]]=0),1,0)</f>
        <v>1</v>
      </c>
      <c r="AN470" s="25">
        <f>VLOOKUP(tblMeasure[[#This Row],[src_pub_frequency]],strlu_src_pub_frequency,2,FALSE)</f>
        <v>0.5</v>
      </c>
      <c r="AO470" s="25">
        <f>VLOOKUP(tblMeasure[[#This Row],[src_pub_lag_months]],strlu_src_pub_lag_months,2,FALSE)</f>
        <v>0.1</v>
      </c>
      <c r="AP470" s="25">
        <f>VLOOKUP(tblMeasure[[#This Row],[src_statistic_class]],strlu_src_statistic_class,2,FALSE)</f>
        <v>0</v>
      </c>
      <c r="AQ470" s="25">
        <f>IF(tblMeasure[[#This Row],[src_methodology_url]]="TBD",0,1)</f>
        <v>1</v>
      </c>
      <c r="AR470" s="25">
        <f>IF(tblMeasure[[#This Row],[src_quality_url]]="TBD",0,1)</f>
        <v>0</v>
      </c>
      <c r="AS470" s="85" cm="1">
        <f t="array" ref="AS470">SUMPRODUCT(TRANSPOSE(tblMeasure[[#This Row],[str_msr_population_or_survey]:[str_src_quality_url]]),str_weights)/str_weights_total</f>
        <v>0.33846153846153848</v>
      </c>
    </row>
    <row r="471" spans="1:45" hidden="1" x14ac:dyDescent="0.15">
      <c r="A471" s="30">
        <v>469</v>
      </c>
      <c r="B471" s="32">
        <f>COUNTIF(requirement_measure_map!$D$3:$D$1514,measure!A471)</f>
        <v>0</v>
      </c>
      <c r="C471" s="30" t="s">
        <v>800</v>
      </c>
      <c r="D471" s="15" t="s">
        <v>1451</v>
      </c>
      <c r="E471" s="15" t="s">
        <v>1501</v>
      </c>
      <c r="F471" s="15" t="s">
        <v>1502</v>
      </c>
      <c r="G471" s="13" t="s">
        <v>1359</v>
      </c>
      <c r="H471" s="15"/>
      <c r="I471" s="15" t="s">
        <v>429</v>
      </c>
      <c r="J471" s="15" t="s">
        <v>1360</v>
      </c>
      <c r="K471" s="15" t="s">
        <v>1503</v>
      </c>
      <c r="L471" s="15" t="s">
        <v>233</v>
      </c>
      <c r="M471" s="15" t="s">
        <v>349</v>
      </c>
      <c r="N471" s="15" t="s">
        <v>218</v>
      </c>
      <c r="O471" s="15" t="s">
        <v>1362</v>
      </c>
      <c r="P471" s="15" t="s">
        <v>219</v>
      </c>
      <c r="Q471" s="15" t="s">
        <v>219</v>
      </c>
      <c r="R471" s="15" t="s">
        <v>219</v>
      </c>
      <c r="S471" s="15" t="s">
        <v>219</v>
      </c>
      <c r="T471" s="15" t="s">
        <v>219</v>
      </c>
      <c r="U471" s="15" t="s">
        <v>219</v>
      </c>
      <c r="V471" s="15" t="s">
        <v>219</v>
      </c>
      <c r="W471" s="15">
        <v>32</v>
      </c>
      <c r="X471" s="15" t="str">
        <f>_xlfn.XLOOKUP(tblMeasure[[#This Row],[id_src]],tblSource[id_src],tblSource[org])</f>
        <v xml:space="preserve">NIH National Institute of Ageing </v>
      </c>
      <c r="Y471" s="25" t="str">
        <f>_xlfn.XLOOKUP(tblMeasure[[#This Row],[id_src]],tblSource[id_src],tblSource[source])</f>
        <v>English Longitudinal Study of Ageing</v>
      </c>
      <c r="Z471" s="25" t="str">
        <f>_xlfn.XLOOKUP(tblMeasure[[#This Row],[id_src]],tblSource[id_src],tblSource[url_source])</f>
        <v>https://www.ifs.org.uk/uploads/ELSA_Wave_8_report.pdf</v>
      </c>
      <c r="AA471" s="25">
        <f>_xlfn.XLOOKUP(tblMeasure[[#This Row],[id_src]],tblSource[id_src],tblSource[year_first_published])</f>
        <v>2002</v>
      </c>
      <c r="AB471" s="25">
        <f>_xlfn.XLOOKUP(tblMeasure[[#This Row],[id_src]],tblSource[id_src],tblSource[year_last_published])</f>
        <v>2018</v>
      </c>
      <c r="AC471" s="25">
        <f>_xlfn.XLOOKUP(tblMeasure[[#This Row],[id_src]],tblSource[id_src],tblSource[discontinuity])</f>
        <v>0</v>
      </c>
      <c r="AD471" s="25" t="str">
        <f>_xlfn.XLOOKUP(tblMeasure[[#This Row],[id_src]],tblSource[id_src],tblSource[publication_frequency])</f>
        <v>Biennial</v>
      </c>
      <c r="AE471" s="15">
        <f>_xlfn.XLOOKUP(tblMeasure[[#This Row],[id_src]],tblSource[id_src],tblSource[publication_lag_months])</f>
        <v>10</v>
      </c>
      <c r="AF471" s="25" t="str">
        <f>_xlfn.XLOOKUP(tblMeasure[[#This Row],[id_src]],tblSource[id_src],tblSource[data_providers])</f>
        <v>UCL, IFS, Manchester University, NatCen, UEA</v>
      </c>
      <c r="AG471" s="25" t="str">
        <f>_xlfn.XLOOKUP(tblMeasure[[#This Row],[id_src]],tblSource[id_src],tblSource[statistic_class])</f>
        <v>TBD</v>
      </c>
      <c r="AH471" s="25" t="str">
        <f>_xlfn.XLOOKUP(tblMeasure[[#This Row],[id_src]],tblSource[id_src],tblSource[methodology_link])</f>
        <v>https://www.ifs.org.uk/uploads/ELSA_Wave_8_report.pdf</v>
      </c>
      <c r="AI471" s="25" t="str">
        <f>_xlfn.XLOOKUP(tblMeasure[[#This Row],[id_src]],tblSource[id_src],tblSource[quality_issues])</f>
        <v>TBD</v>
      </c>
      <c r="AJ471" s="25">
        <f>VLOOKUP(tblMeasure[[#This Row],[msr_population_or_survey]],strlu_msr_population_or_survey,2,FALSE)</f>
        <v>0</v>
      </c>
      <c r="AK471" s="25">
        <f>VLOOKUP(tblMeasure[[#This Row],[msr_min_geo_resolution]],strlu_msr_min_geo_resolution,2,FALSE)</f>
        <v>0</v>
      </c>
      <c r="AL471" s="25">
        <f>(MAX(tblMeasure[[#This Row],[src_year_last_published]]-2010+1,0)+MIN(2010-tblMeasure[[#This Row],[src_year_first_published]],0)-MAX(tblMeasure[[#This Row],[src_year_last_published]]-2019,0))/10</f>
        <v>0.9</v>
      </c>
      <c r="AM471" s="25">
        <f>IF(OR(tblMeasure[[#This Row],[src_discontinuity]]="None",tblMeasure[[#This Row],[src_discontinuity]]=0),1,0)</f>
        <v>1</v>
      </c>
      <c r="AN471" s="25">
        <f>VLOOKUP(tblMeasure[[#This Row],[src_pub_frequency]],strlu_src_pub_frequency,2,FALSE)</f>
        <v>0.5</v>
      </c>
      <c r="AO471" s="25">
        <f>VLOOKUP(tblMeasure[[#This Row],[src_pub_lag_months]],strlu_src_pub_lag_months,2,FALSE)</f>
        <v>0.1</v>
      </c>
      <c r="AP471" s="25">
        <f>VLOOKUP(tblMeasure[[#This Row],[src_statistic_class]],strlu_src_statistic_class,2,FALSE)</f>
        <v>0</v>
      </c>
      <c r="AQ471" s="25">
        <f>IF(tblMeasure[[#This Row],[src_methodology_url]]="TBD",0,1)</f>
        <v>1</v>
      </c>
      <c r="AR471" s="25">
        <f>IF(tblMeasure[[#This Row],[src_quality_url]]="TBD",0,1)</f>
        <v>0</v>
      </c>
      <c r="AS471" s="85" cm="1">
        <f t="array" ref="AS471">SUMPRODUCT(TRANSPOSE(tblMeasure[[#This Row],[str_msr_population_or_survey]:[str_src_quality_url]]),str_weights)/str_weights_total</f>
        <v>0.33846153846153848</v>
      </c>
    </row>
    <row r="472" spans="1:45" hidden="1" x14ac:dyDescent="0.15">
      <c r="A472" s="30">
        <v>470</v>
      </c>
      <c r="B472" s="32">
        <f>COUNTIF(requirement_measure_map!$D$3:$D$1514,measure!A472)</f>
        <v>0</v>
      </c>
      <c r="C472" s="30" t="s">
        <v>800</v>
      </c>
      <c r="D472" s="15" t="s">
        <v>1451</v>
      </c>
      <c r="E472" s="15" t="s">
        <v>1504</v>
      </c>
      <c r="F472" s="15" t="s">
        <v>1505</v>
      </c>
      <c r="G472" s="13" t="s">
        <v>1359</v>
      </c>
      <c r="H472" s="15"/>
      <c r="I472" s="15" t="s">
        <v>429</v>
      </c>
      <c r="J472" s="15" t="s">
        <v>1360</v>
      </c>
      <c r="K472" s="15" t="s">
        <v>1503</v>
      </c>
      <c r="L472" s="15" t="s">
        <v>233</v>
      </c>
      <c r="M472" s="15" t="s">
        <v>1362</v>
      </c>
      <c r="N472" s="15" t="s">
        <v>218</v>
      </c>
      <c r="O472" s="15" t="s">
        <v>243</v>
      </c>
      <c r="P472" s="15" t="s">
        <v>219</v>
      </c>
      <c r="Q472" s="15" t="s">
        <v>219</v>
      </c>
      <c r="R472" s="15" t="s">
        <v>219</v>
      </c>
      <c r="S472" s="15" t="s">
        <v>219</v>
      </c>
      <c r="T472" s="15" t="s">
        <v>219</v>
      </c>
      <c r="U472" s="15" t="s">
        <v>219</v>
      </c>
      <c r="V472" s="15" t="s">
        <v>219</v>
      </c>
      <c r="W472" s="15">
        <v>32</v>
      </c>
      <c r="X472" s="15" t="str">
        <f>_xlfn.XLOOKUP(tblMeasure[[#This Row],[id_src]],tblSource[id_src],tblSource[org])</f>
        <v xml:space="preserve">NIH National Institute of Ageing </v>
      </c>
      <c r="Y472" s="25" t="str">
        <f>_xlfn.XLOOKUP(tblMeasure[[#This Row],[id_src]],tblSource[id_src],tblSource[source])</f>
        <v>English Longitudinal Study of Ageing</v>
      </c>
      <c r="Z472" s="25" t="str">
        <f>_xlfn.XLOOKUP(tblMeasure[[#This Row],[id_src]],tblSource[id_src],tblSource[url_source])</f>
        <v>https://www.ifs.org.uk/uploads/ELSA_Wave_8_report.pdf</v>
      </c>
      <c r="AA472" s="25">
        <f>_xlfn.XLOOKUP(tblMeasure[[#This Row],[id_src]],tblSource[id_src],tblSource[year_first_published])</f>
        <v>2002</v>
      </c>
      <c r="AB472" s="25">
        <f>_xlfn.XLOOKUP(tblMeasure[[#This Row],[id_src]],tblSource[id_src],tblSource[year_last_published])</f>
        <v>2018</v>
      </c>
      <c r="AC472" s="25">
        <f>_xlfn.XLOOKUP(tblMeasure[[#This Row],[id_src]],tblSource[id_src],tblSource[discontinuity])</f>
        <v>0</v>
      </c>
      <c r="AD472" s="25" t="str">
        <f>_xlfn.XLOOKUP(tblMeasure[[#This Row],[id_src]],tblSource[id_src],tblSource[publication_frequency])</f>
        <v>Biennial</v>
      </c>
      <c r="AE472" s="15">
        <f>_xlfn.XLOOKUP(tblMeasure[[#This Row],[id_src]],tblSource[id_src],tblSource[publication_lag_months])</f>
        <v>10</v>
      </c>
      <c r="AF472" s="25" t="str">
        <f>_xlfn.XLOOKUP(tblMeasure[[#This Row],[id_src]],tblSource[id_src],tblSource[data_providers])</f>
        <v>UCL, IFS, Manchester University, NatCen, UEA</v>
      </c>
      <c r="AG472" s="25" t="str">
        <f>_xlfn.XLOOKUP(tblMeasure[[#This Row],[id_src]],tblSource[id_src],tblSource[statistic_class])</f>
        <v>TBD</v>
      </c>
      <c r="AH472" s="25" t="str">
        <f>_xlfn.XLOOKUP(tblMeasure[[#This Row],[id_src]],tblSource[id_src],tblSource[methodology_link])</f>
        <v>https://www.ifs.org.uk/uploads/ELSA_Wave_8_report.pdf</v>
      </c>
      <c r="AI472" s="25" t="str">
        <f>_xlfn.XLOOKUP(tblMeasure[[#This Row],[id_src]],tblSource[id_src],tblSource[quality_issues])</f>
        <v>TBD</v>
      </c>
      <c r="AJ472" s="25">
        <f>VLOOKUP(tblMeasure[[#This Row],[msr_population_or_survey]],strlu_msr_population_or_survey,2,FALSE)</f>
        <v>0</v>
      </c>
      <c r="AK472" s="25">
        <f>VLOOKUP(tblMeasure[[#This Row],[msr_min_geo_resolution]],strlu_msr_min_geo_resolution,2,FALSE)</f>
        <v>0</v>
      </c>
      <c r="AL472" s="25">
        <f>(MAX(tblMeasure[[#This Row],[src_year_last_published]]-2010+1,0)+MIN(2010-tblMeasure[[#This Row],[src_year_first_published]],0)-MAX(tblMeasure[[#This Row],[src_year_last_published]]-2019,0))/10</f>
        <v>0.9</v>
      </c>
      <c r="AM472" s="25">
        <f>IF(OR(tblMeasure[[#This Row],[src_discontinuity]]="None",tblMeasure[[#This Row],[src_discontinuity]]=0),1,0)</f>
        <v>1</v>
      </c>
      <c r="AN472" s="25">
        <f>VLOOKUP(tblMeasure[[#This Row],[src_pub_frequency]],strlu_src_pub_frequency,2,FALSE)</f>
        <v>0.5</v>
      </c>
      <c r="AO472" s="25">
        <f>VLOOKUP(tblMeasure[[#This Row],[src_pub_lag_months]],strlu_src_pub_lag_months,2,FALSE)</f>
        <v>0.1</v>
      </c>
      <c r="AP472" s="25">
        <f>VLOOKUP(tblMeasure[[#This Row],[src_statistic_class]],strlu_src_statistic_class,2,FALSE)</f>
        <v>0</v>
      </c>
      <c r="AQ472" s="25">
        <f>IF(tblMeasure[[#This Row],[src_methodology_url]]="TBD",0,1)</f>
        <v>1</v>
      </c>
      <c r="AR472" s="25">
        <f>IF(tblMeasure[[#This Row],[src_quality_url]]="TBD",0,1)</f>
        <v>0</v>
      </c>
      <c r="AS472" s="85" cm="1">
        <f t="array" ref="AS472">SUMPRODUCT(TRANSPOSE(tblMeasure[[#This Row],[str_msr_population_or_survey]:[str_src_quality_url]]),str_weights)/str_weights_total</f>
        <v>0.33846153846153848</v>
      </c>
    </row>
    <row r="473" spans="1:45" hidden="1" x14ac:dyDescent="0.15">
      <c r="A473" s="30">
        <v>471</v>
      </c>
      <c r="B473" s="32">
        <f>COUNTIF(requirement_measure_map!$D$3:$D$1514,measure!A473)</f>
        <v>0</v>
      </c>
      <c r="C473" s="30" t="s">
        <v>800</v>
      </c>
      <c r="D473" s="15" t="s">
        <v>1451</v>
      </c>
      <c r="E473" s="15" t="s">
        <v>1506</v>
      </c>
      <c r="F473" s="15" t="s">
        <v>1507</v>
      </c>
      <c r="G473" s="13" t="s">
        <v>1359</v>
      </c>
      <c r="H473" s="15"/>
      <c r="I473" s="15" t="s">
        <v>429</v>
      </c>
      <c r="J473" s="15" t="s">
        <v>1360</v>
      </c>
      <c r="K473" s="15" t="s">
        <v>1508</v>
      </c>
      <c r="L473" s="15" t="s">
        <v>233</v>
      </c>
      <c r="M473" s="15" t="s">
        <v>240</v>
      </c>
      <c r="N473" s="15" t="s">
        <v>218</v>
      </c>
      <c r="O473" s="15" t="s">
        <v>1362</v>
      </c>
      <c r="P473" s="15" t="s">
        <v>219</v>
      </c>
      <c r="Q473" s="15" t="s">
        <v>219</v>
      </c>
      <c r="R473" s="15" t="s">
        <v>219</v>
      </c>
      <c r="S473" s="15" t="s">
        <v>219</v>
      </c>
      <c r="T473" s="15" t="s">
        <v>219</v>
      </c>
      <c r="U473" s="15" t="s">
        <v>219</v>
      </c>
      <c r="V473" s="15" t="s">
        <v>219</v>
      </c>
      <c r="W473" s="15">
        <v>32</v>
      </c>
      <c r="X473" s="15" t="str">
        <f>_xlfn.XLOOKUP(tblMeasure[[#This Row],[id_src]],tblSource[id_src],tblSource[org])</f>
        <v xml:space="preserve">NIH National Institute of Ageing </v>
      </c>
      <c r="Y473" s="25" t="str">
        <f>_xlfn.XLOOKUP(tblMeasure[[#This Row],[id_src]],tblSource[id_src],tblSource[source])</f>
        <v>English Longitudinal Study of Ageing</v>
      </c>
      <c r="Z473" s="25" t="str">
        <f>_xlfn.XLOOKUP(tblMeasure[[#This Row],[id_src]],tblSource[id_src],tblSource[url_source])</f>
        <v>https://www.ifs.org.uk/uploads/ELSA_Wave_8_report.pdf</v>
      </c>
      <c r="AA473" s="25">
        <f>_xlfn.XLOOKUP(tblMeasure[[#This Row],[id_src]],tblSource[id_src],tblSource[year_first_published])</f>
        <v>2002</v>
      </c>
      <c r="AB473" s="25">
        <f>_xlfn.XLOOKUP(tblMeasure[[#This Row],[id_src]],tblSource[id_src],tblSource[year_last_published])</f>
        <v>2018</v>
      </c>
      <c r="AC473" s="25">
        <f>_xlfn.XLOOKUP(tblMeasure[[#This Row],[id_src]],tblSource[id_src],tblSource[discontinuity])</f>
        <v>0</v>
      </c>
      <c r="AD473" s="25" t="str">
        <f>_xlfn.XLOOKUP(tblMeasure[[#This Row],[id_src]],tblSource[id_src],tblSource[publication_frequency])</f>
        <v>Biennial</v>
      </c>
      <c r="AE473" s="15">
        <f>_xlfn.XLOOKUP(tblMeasure[[#This Row],[id_src]],tblSource[id_src],tblSource[publication_lag_months])</f>
        <v>10</v>
      </c>
      <c r="AF473" s="25" t="str">
        <f>_xlfn.XLOOKUP(tblMeasure[[#This Row],[id_src]],tblSource[id_src],tblSource[data_providers])</f>
        <v>UCL, IFS, Manchester University, NatCen, UEA</v>
      </c>
      <c r="AG473" s="25" t="str">
        <f>_xlfn.XLOOKUP(tblMeasure[[#This Row],[id_src]],tblSource[id_src],tblSource[statistic_class])</f>
        <v>TBD</v>
      </c>
      <c r="AH473" s="25" t="str">
        <f>_xlfn.XLOOKUP(tblMeasure[[#This Row],[id_src]],tblSource[id_src],tblSource[methodology_link])</f>
        <v>https://www.ifs.org.uk/uploads/ELSA_Wave_8_report.pdf</v>
      </c>
      <c r="AI473" s="25" t="str">
        <f>_xlfn.XLOOKUP(tblMeasure[[#This Row],[id_src]],tblSource[id_src],tblSource[quality_issues])</f>
        <v>TBD</v>
      </c>
      <c r="AJ473" s="25">
        <f>VLOOKUP(tblMeasure[[#This Row],[msr_population_or_survey]],strlu_msr_population_or_survey,2,FALSE)</f>
        <v>0</v>
      </c>
      <c r="AK473" s="25">
        <f>VLOOKUP(tblMeasure[[#This Row],[msr_min_geo_resolution]],strlu_msr_min_geo_resolution,2,FALSE)</f>
        <v>0</v>
      </c>
      <c r="AL473" s="25">
        <f>(MAX(tblMeasure[[#This Row],[src_year_last_published]]-2010+1,0)+MIN(2010-tblMeasure[[#This Row],[src_year_first_published]],0)-MAX(tblMeasure[[#This Row],[src_year_last_published]]-2019,0))/10</f>
        <v>0.9</v>
      </c>
      <c r="AM473" s="25">
        <f>IF(OR(tblMeasure[[#This Row],[src_discontinuity]]="None",tblMeasure[[#This Row],[src_discontinuity]]=0),1,0)</f>
        <v>1</v>
      </c>
      <c r="AN473" s="25">
        <f>VLOOKUP(tblMeasure[[#This Row],[src_pub_frequency]],strlu_src_pub_frequency,2,FALSE)</f>
        <v>0.5</v>
      </c>
      <c r="AO473" s="25">
        <f>VLOOKUP(tblMeasure[[#This Row],[src_pub_lag_months]],strlu_src_pub_lag_months,2,FALSE)</f>
        <v>0.1</v>
      </c>
      <c r="AP473" s="25">
        <f>VLOOKUP(tblMeasure[[#This Row],[src_statistic_class]],strlu_src_statistic_class,2,FALSE)</f>
        <v>0</v>
      </c>
      <c r="AQ473" s="25">
        <f>IF(tblMeasure[[#This Row],[src_methodology_url]]="TBD",0,1)</f>
        <v>1</v>
      </c>
      <c r="AR473" s="25">
        <f>IF(tblMeasure[[#This Row],[src_quality_url]]="TBD",0,1)</f>
        <v>0</v>
      </c>
      <c r="AS473" s="85" cm="1">
        <f t="array" ref="AS473">SUMPRODUCT(TRANSPOSE(tblMeasure[[#This Row],[str_msr_population_or_survey]:[str_src_quality_url]]),str_weights)/str_weights_total</f>
        <v>0.33846153846153848</v>
      </c>
    </row>
    <row r="474" spans="1:45" hidden="1" x14ac:dyDescent="0.15">
      <c r="A474" s="30">
        <v>472</v>
      </c>
      <c r="B474" s="32">
        <f>COUNTIF(requirement_measure_map!$D$3:$D$1514,measure!A474)</f>
        <v>0</v>
      </c>
      <c r="C474" s="30" t="s">
        <v>800</v>
      </c>
      <c r="D474" s="15" t="s">
        <v>1451</v>
      </c>
      <c r="E474" s="15" t="s">
        <v>1509</v>
      </c>
      <c r="F474" s="15" t="s">
        <v>1510</v>
      </c>
      <c r="G474" s="13" t="s">
        <v>1359</v>
      </c>
      <c r="H474" s="15"/>
      <c r="I474" s="15" t="s">
        <v>429</v>
      </c>
      <c r="J474" s="15" t="s">
        <v>1360</v>
      </c>
      <c r="K474" s="15" t="s">
        <v>1508</v>
      </c>
      <c r="L474" s="15" t="s">
        <v>233</v>
      </c>
      <c r="M474" s="15" t="s">
        <v>1362</v>
      </c>
      <c r="N474" s="15" t="s">
        <v>218</v>
      </c>
      <c r="O474" s="15" t="s">
        <v>243</v>
      </c>
      <c r="P474" s="15" t="s">
        <v>219</v>
      </c>
      <c r="Q474" s="15" t="s">
        <v>219</v>
      </c>
      <c r="R474" s="15" t="s">
        <v>219</v>
      </c>
      <c r="S474" s="15" t="s">
        <v>219</v>
      </c>
      <c r="T474" s="15" t="s">
        <v>219</v>
      </c>
      <c r="U474" s="15" t="s">
        <v>219</v>
      </c>
      <c r="V474" s="15" t="s">
        <v>219</v>
      </c>
      <c r="W474" s="15">
        <v>32</v>
      </c>
      <c r="X474" s="15" t="str">
        <f>_xlfn.XLOOKUP(tblMeasure[[#This Row],[id_src]],tblSource[id_src],tblSource[org])</f>
        <v xml:space="preserve">NIH National Institute of Ageing </v>
      </c>
      <c r="Y474" s="25" t="str">
        <f>_xlfn.XLOOKUP(tblMeasure[[#This Row],[id_src]],tblSource[id_src],tblSource[source])</f>
        <v>English Longitudinal Study of Ageing</v>
      </c>
      <c r="Z474" s="25" t="str">
        <f>_xlfn.XLOOKUP(tblMeasure[[#This Row],[id_src]],tblSource[id_src],tblSource[url_source])</f>
        <v>https://www.ifs.org.uk/uploads/ELSA_Wave_8_report.pdf</v>
      </c>
      <c r="AA474" s="25">
        <f>_xlfn.XLOOKUP(tblMeasure[[#This Row],[id_src]],tblSource[id_src],tblSource[year_first_published])</f>
        <v>2002</v>
      </c>
      <c r="AB474" s="25">
        <f>_xlfn.XLOOKUP(tblMeasure[[#This Row],[id_src]],tblSource[id_src],tblSource[year_last_published])</f>
        <v>2018</v>
      </c>
      <c r="AC474" s="25">
        <f>_xlfn.XLOOKUP(tblMeasure[[#This Row],[id_src]],tblSource[id_src],tblSource[discontinuity])</f>
        <v>0</v>
      </c>
      <c r="AD474" s="25" t="str">
        <f>_xlfn.XLOOKUP(tblMeasure[[#This Row],[id_src]],tblSource[id_src],tblSource[publication_frequency])</f>
        <v>Biennial</v>
      </c>
      <c r="AE474" s="15">
        <f>_xlfn.XLOOKUP(tblMeasure[[#This Row],[id_src]],tblSource[id_src],tblSource[publication_lag_months])</f>
        <v>10</v>
      </c>
      <c r="AF474" s="25" t="str">
        <f>_xlfn.XLOOKUP(tblMeasure[[#This Row],[id_src]],tblSource[id_src],tblSource[data_providers])</f>
        <v>UCL, IFS, Manchester University, NatCen, UEA</v>
      </c>
      <c r="AG474" s="25" t="str">
        <f>_xlfn.XLOOKUP(tblMeasure[[#This Row],[id_src]],tblSource[id_src],tblSource[statistic_class])</f>
        <v>TBD</v>
      </c>
      <c r="AH474" s="25" t="str">
        <f>_xlfn.XLOOKUP(tblMeasure[[#This Row],[id_src]],tblSource[id_src],tblSource[methodology_link])</f>
        <v>https://www.ifs.org.uk/uploads/ELSA_Wave_8_report.pdf</v>
      </c>
      <c r="AI474" s="25" t="str">
        <f>_xlfn.XLOOKUP(tblMeasure[[#This Row],[id_src]],tblSource[id_src],tblSource[quality_issues])</f>
        <v>TBD</v>
      </c>
      <c r="AJ474" s="25">
        <f>VLOOKUP(tblMeasure[[#This Row],[msr_population_or_survey]],strlu_msr_population_or_survey,2,FALSE)</f>
        <v>0</v>
      </c>
      <c r="AK474" s="25">
        <f>VLOOKUP(tblMeasure[[#This Row],[msr_min_geo_resolution]],strlu_msr_min_geo_resolution,2,FALSE)</f>
        <v>0</v>
      </c>
      <c r="AL474" s="25">
        <f>(MAX(tblMeasure[[#This Row],[src_year_last_published]]-2010+1,0)+MIN(2010-tblMeasure[[#This Row],[src_year_first_published]],0)-MAX(tblMeasure[[#This Row],[src_year_last_published]]-2019,0))/10</f>
        <v>0.9</v>
      </c>
      <c r="AM474" s="25">
        <f>IF(OR(tblMeasure[[#This Row],[src_discontinuity]]="None",tblMeasure[[#This Row],[src_discontinuity]]=0),1,0)</f>
        <v>1</v>
      </c>
      <c r="AN474" s="25">
        <f>VLOOKUP(tblMeasure[[#This Row],[src_pub_frequency]],strlu_src_pub_frequency,2,FALSE)</f>
        <v>0.5</v>
      </c>
      <c r="AO474" s="25">
        <f>VLOOKUP(tblMeasure[[#This Row],[src_pub_lag_months]],strlu_src_pub_lag_months,2,FALSE)</f>
        <v>0.1</v>
      </c>
      <c r="AP474" s="25">
        <f>VLOOKUP(tblMeasure[[#This Row],[src_statistic_class]],strlu_src_statistic_class,2,FALSE)</f>
        <v>0</v>
      </c>
      <c r="AQ474" s="25">
        <f>IF(tblMeasure[[#This Row],[src_methodology_url]]="TBD",0,1)</f>
        <v>1</v>
      </c>
      <c r="AR474" s="25">
        <f>IF(tblMeasure[[#This Row],[src_quality_url]]="TBD",0,1)</f>
        <v>0</v>
      </c>
      <c r="AS474" s="85" cm="1">
        <f t="array" ref="AS474">SUMPRODUCT(TRANSPOSE(tblMeasure[[#This Row],[str_msr_population_or_survey]:[str_src_quality_url]]),str_weights)/str_weights_total</f>
        <v>0.33846153846153848</v>
      </c>
    </row>
    <row r="475" spans="1:45" hidden="1" x14ac:dyDescent="0.15">
      <c r="A475" s="30">
        <v>473</v>
      </c>
      <c r="B475" s="32">
        <f>COUNTIF(requirement_measure_map!$D$3:$D$1514,measure!A475)</f>
        <v>0</v>
      </c>
      <c r="C475" s="30" t="s">
        <v>800</v>
      </c>
      <c r="D475" s="15" t="s">
        <v>1451</v>
      </c>
      <c r="E475" s="15" t="s">
        <v>1511</v>
      </c>
      <c r="F475" s="15" t="s">
        <v>1512</v>
      </c>
      <c r="G475" s="13" t="s">
        <v>1359</v>
      </c>
      <c r="H475" s="15"/>
      <c r="I475" s="15" t="s">
        <v>429</v>
      </c>
      <c r="J475" s="15" t="s">
        <v>1360</v>
      </c>
      <c r="K475" s="15" t="s">
        <v>1454</v>
      </c>
      <c r="L475" s="15" t="s">
        <v>233</v>
      </c>
      <c r="M475" s="15" t="s">
        <v>746</v>
      </c>
      <c r="N475" s="15" t="s">
        <v>218</v>
      </c>
      <c r="O475" s="15" t="s">
        <v>1362</v>
      </c>
      <c r="P475" s="15" t="s">
        <v>219</v>
      </c>
      <c r="Q475" s="15" t="s">
        <v>219</v>
      </c>
      <c r="R475" s="15" t="s">
        <v>219</v>
      </c>
      <c r="S475" s="15" t="s">
        <v>219</v>
      </c>
      <c r="T475" s="15" t="s">
        <v>219</v>
      </c>
      <c r="U475" s="15" t="s">
        <v>219</v>
      </c>
      <c r="V475" s="15" t="s">
        <v>219</v>
      </c>
      <c r="W475" s="15">
        <v>32</v>
      </c>
      <c r="X475" s="15" t="str">
        <f>_xlfn.XLOOKUP(tblMeasure[[#This Row],[id_src]],tblSource[id_src],tblSource[org])</f>
        <v xml:space="preserve">NIH National Institute of Ageing </v>
      </c>
      <c r="Y475" s="25" t="str">
        <f>_xlfn.XLOOKUP(tblMeasure[[#This Row],[id_src]],tblSource[id_src],tblSource[source])</f>
        <v>English Longitudinal Study of Ageing</v>
      </c>
      <c r="Z475" s="25" t="str">
        <f>_xlfn.XLOOKUP(tblMeasure[[#This Row],[id_src]],tblSource[id_src],tblSource[url_source])</f>
        <v>https://www.ifs.org.uk/uploads/ELSA_Wave_8_report.pdf</v>
      </c>
      <c r="AA475" s="25">
        <f>_xlfn.XLOOKUP(tblMeasure[[#This Row],[id_src]],tblSource[id_src],tblSource[year_first_published])</f>
        <v>2002</v>
      </c>
      <c r="AB475" s="25">
        <f>_xlfn.XLOOKUP(tblMeasure[[#This Row],[id_src]],tblSource[id_src],tblSource[year_last_published])</f>
        <v>2018</v>
      </c>
      <c r="AC475" s="25">
        <f>_xlfn.XLOOKUP(tblMeasure[[#This Row],[id_src]],tblSource[id_src],tblSource[discontinuity])</f>
        <v>0</v>
      </c>
      <c r="AD475" s="25" t="str">
        <f>_xlfn.XLOOKUP(tblMeasure[[#This Row],[id_src]],tblSource[id_src],tblSource[publication_frequency])</f>
        <v>Biennial</v>
      </c>
      <c r="AE475" s="15">
        <f>_xlfn.XLOOKUP(tblMeasure[[#This Row],[id_src]],tblSource[id_src],tblSource[publication_lag_months])</f>
        <v>10</v>
      </c>
      <c r="AF475" s="25" t="str">
        <f>_xlfn.XLOOKUP(tblMeasure[[#This Row],[id_src]],tblSource[id_src],tblSource[data_providers])</f>
        <v>UCL, IFS, Manchester University, NatCen, UEA</v>
      </c>
      <c r="AG475" s="25" t="str">
        <f>_xlfn.XLOOKUP(tblMeasure[[#This Row],[id_src]],tblSource[id_src],tblSource[statistic_class])</f>
        <v>TBD</v>
      </c>
      <c r="AH475" s="25" t="str">
        <f>_xlfn.XLOOKUP(tblMeasure[[#This Row],[id_src]],tblSource[id_src],tblSource[methodology_link])</f>
        <v>https://www.ifs.org.uk/uploads/ELSA_Wave_8_report.pdf</v>
      </c>
      <c r="AI475" s="25" t="str">
        <f>_xlfn.XLOOKUP(tblMeasure[[#This Row],[id_src]],tblSource[id_src],tblSource[quality_issues])</f>
        <v>TBD</v>
      </c>
      <c r="AJ475" s="25">
        <f>VLOOKUP(tblMeasure[[#This Row],[msr_population_or_survey]],strlu_msr_population_or_survey,2,FALSE)</f>
        <v>0</v>
      </c>
      <c r="AK475" s="25">
        <f>VLOOKUP(tblMeasure[[#This Row],[msr_min_geo_resolution]],strlu_msr_min_geo_resolution,2,FALSE)</f>
        <v>0</v>
      </c>
      <c r="AL475" s="25">
        <f>(MAX(tblMeasure[[#This Row],[src_year_last_published]]-2010+1,0)+MIN(2010-tblMeasure[[#This Row],[src_year_first_published]],0)-MAX(tblMeasure[[#This Row],[src_year_last_published]]-2019,0))/10</f>
        <v>0.9</v>
      </c>
      <c r="AM475" s="25">
        <f>IF(OR(tblMeasure[[#This Row],[src_discontinuity]]="None",tblMeasure[[#This Row],[src_discontinuity]]=0),1,0)</f>
        <v>1</v>
      </c>
      <c r="AN475" s="25">
        <f>VLOOKUP(tblMeasure[[#This Row],[src_pub_frequency]],strlu_src_pub_frequency,2,FALSE)</f>
        <v>0.5</v>
      </c>
      <c r="AO475" s="25">
        <f>VLOOKUP(tblMeasure[[#This Row],[src_pub_lag_months]],strlu_src_pub_lag_months,2,FALSE)</f>
        <v>0.1</v>
      </c>
      <c r="AP475" s="25">
        <f>VLOOKUP(tblMeasure[[#This Row],[src_statistic_class]],strlu_src_statistic_class,2,FALSE)</f>
        <v>0</v>
      </c>
      <c r="AQ475" s="25">
        <f>IF(tblMeasure[[#This Row],[src_methodology_url]]="TBD",0,1)</f>
        <v>1</v>
      </c>
      <c r="AR475" s="25">
        <f>IF(tblMeasure[[#This Row],[src_quality_url]]="TBD",0,1)</f>
        <v>0</v>
      </c>
      <c r="AS475" s="85" cm="1">
        <f t="array" ref="AS475">SUMPRODUCT(TRANSPOSE(tblMeasure[[#This Row],[str_msr_population_or_survey]:[str_src_quality_url]]),str_weights)/str_weights_total</f>
        <v>0.33846153846153848</v>
      </c>
    </row>
    <row r="476" spans="1:45" hidden="1" x14ac:dyDescent="0.15">
      <c r="A476" s="30">
        <v>474</v>
      </c>
      <c r="B476" s="32">
        <f>COUNTIF(requirement_measure_map!$D$3:$D$1514,measure!A476)</f>
        <v>0</v>
      </c>
      <c r="C476" s="30" t="s">
        <v>800</v>
      </c>
      <c r="D476" s="15" t="s">
        <v>1451</v>
      </c>
      <c r="E476" s="15" t="s">
        <v>1513</v>
      </c>
      <c r="F476" s="15" t="s">
        <v>1514</v>
      </c>
      <c r="G476" s="13" t="s">
        <v>1359</v>
      </c>
      <c r="H476" s="15"/>
      <c r="I476" s="15" t="s">
        <v>429</v>
      </c>
      <c r="J476" s="15" t="s">
        <v>1360</v>
      </c>
      <c r="K476" s="15" t="s">
        <v>1454</v>
      </c>
      <c r="L476" s="15" t="s">
        <v>233</v>
      </c>
      <c r="M476" s="15" t="s">
        <v>1362</v>
      </c>
      <c r="N476" s="15" t="s">
        <v>218</v>
      </c>
      <c r="O476" s="15" t="s">
        <v>243</v>
      </c>
      <c r="P476" s="15" t="s">
        <v>219</v>
      </c>
      <c r="Q476" s="15" t="s">
        <v>219</v>
      </c>
      <c r="R476" s="15" t="s">
        <v>219</v>
      </c>
      <c r="S476" s="15" t="s">
        <v>219</v>
      </c>
      <c r="T476" s="15" t="s">
        <v>219</v>
      </c>
      <c r="U476" s="15" t="s">
        <v>219</v>
      </c>
      <c r="V476" s="15" t="s">
        <v>219</v>
      </c>
      <c r="W476" s="15">
        <v>32</v>
      </c>
      <c r="X476" s="15" t="str">
        <f>_xlfn.XLOOKUP(tblMeasure[[#This Row],[id_src]],tblSource[id_src],tblSource[org])</f>
        <v xml:space="preserve">NIH National Institute of Ageing </v>
      </c>
      <c r="Y476" s="25" t="str">
        <f>_xlfn.XLOOKUP(tblMeasure[[#This Row],[id_src]],tblSource[id_src],tblSource[source])</f>
        <v>English Longitudinal Study of Ageing</v>
      </c>
      <c r="Z476" s="25" t="str">
        <f>_xlfn.XLOOKUP(tblMeasure[[#This Row],[id_src]],tblSource[id_src],tblSource[url_source])</f>
        <v>https://www.ifs.org.uk/uploads/ELSA_Wave_8_report.pdf</v>
      </c>
      <c r="AA476" s="25">
        <f>_xlfn.XLOOKUP(tblMeasure[[#This Row],[id_src]],tblSource[id_src],tblSource[year_first_published])</f>
        <v>2002</v>
      </c>
      <c r="AB476" s="25">
        <f>_xlfn.XLOOKUP(tblMeasure[[#This Row],[id_src]],tblSource[id_src],tblSource[year_last_published])</f>
        <v>2018</v>
      </c>
      <c r="AC476" s="25">
        <f>_xlfn.XLOOKUP(tblMeasure[[#This Row],[id_src]],tblSource[id_src],tblSource[discontinuity])</f>
        <v>0</v>
      </c>
      <c r="AD476" s="25" t="str">
        <f>_xlfn.XLOOKUP(tblMeasure[[#This Row],[id_src]],tblSource[id_src],tblSource[publication_frequency])</f>
        <v>Biennial</v>
      </c>
      <c r="AE476" s="15">
        <f>_xlfn.XLOOKUP(tblMeasure[[#This Row],[id_src]],tblSource[id_src],tblSource[publication_lag_months])</f>
        <v>10</v>
      </c>
      <c r="AF476" s="25" t="str">
        <f>_xlfn.XLOOKUP(tblMeasure[[#This Row],[id_src]],tblSource[id_src],tblSource[data_providers])</f>
        <v>UCL, IFS, Manchester University, NatCen, UEA</v>
      </c>
      <c r="AG476" s="25" t="str">
        <f>_xlfn.XLOOKUP(tblMeasure[[#This Row],[id_src]],tblSource[id_src],tblSource[statistic_class])</f>
        <v>TBD</v>
      </c>
      <c r="AH476" s="25" t="str">
        <f>_xlfn.XLOOKUP(tblMeasure[[#This Row],[id_src]],tblSource[id_src],tblSource[methodology_link])</f>
        <v>https://www.ifs.org.uk/uploads/ELSA_Wave_8_report.pdf</v>
      </c>
      <c r="AI476" s="25" t="str">
        <f>_xlfn.XLOOKUP(tblMeasure[[#This Row],[id_src]],tblSource[id_src],tblSource[quality_issues])</f>
        <v>TBD</v>
      </c>
      <c r="AJ476" s="25">
        <f>VLOOKUP(tblMeasure[[#This Row],[msr_population_or_survey]],strlu_msr_population_or_survey,2,FALSE)</f>
        <v>0</v>
      </c>
      <c r="AK476" s="25">
        <f>VLOOKUP(tblMeasure[[#This Row],[msr_min_geo_resolution]],strlu_msr_min_geo_resolution,2,FALSE)</f>
        <v>0</v>
      </c>
      <c r="AL476" s="25">
        <f>(MAX(tblMeasure[[#This Row],[src_year_last_published]]-2010+1,0)+MIN(2010-tblMeasure[[#This Row],[src_year_first_published]],0)-MAX(tblMeasure[[#This Row],[src_year_last_published]]-2019,0))/10</f>
        <v>0.9</v>
      </c>
      <c r="AM476" s="25">
        <f>IF(OR(tblMeasure[[#This Row],[src_discontinuity]]="None",tblMeasure[[#This Row],[src_discontinuity]]=0),1,0)</f>
        <v>1</v>
      </c>
      <c r="AN476" s="25">
        <f>VLOOKUP(tblMeasure[[#This Row],[src_pub_frequency]],strlu_src_pub_frequency,2,FALSE)</f>
        <v>0.5</v>
      </c>
      <c r="AO476" s="25">
        <f>VLOOKUP(tblMeasure[[#This Row],[src_pub_lag_months]],strlu_src_pub_lag_months,2,FALSE)</f>
        <v>0.1</v>
      </c>
      <c r="AP476" s="25">
        <f>VLOOKUP(tblMeasure[[#This Row],[src_statistic_class]],strlu_src_statistic_class,2,FALSE)</f>
        <v>0</v>
      </c>
      <c r="AQ476" s="25">
        <f>IF(tblMeasure[[#This Row],[src_methodology_url]]="TBD",0,1)</f>
        <v>1</v>
      </c>
      <c r="AR476" s="25">
        <f>IF(tblMeasure[[#This Row],[src_quality_url]]="TBD",0,1)</f>
        <v>0</v>
      </c>
      <c r="AS476" s="85" cm="1">
        <f t="array" ref="AS476">SUMPRODUCT(TRANSPOSE(tblMeasure[[#This Row],[str_msr_population_or_survey]:[str_src_quality_url]]),str_weights)/str_weights_total</f>
        <v>0.33846153846153848</v>
      </c>
    </row>
    <row r="477" spans="1:45" hidden="1" x14ac:dyDescent="0.15">
      <c r="A477" s="30">
        <v>475</v>
      </c>
      <c r="B477" s="32">
        <f>COUNTIF(requirement_measure_map!$D$3:$D$1514,measure!A477)</f>
        <v>0</v>
      </c>
      <c r="C477" s="30" t="s">
        <v>800</v>
      </c>
      <c r="D477" s="15" t="s">
        <v>1451</v>
      </c>
      <c r="E477" s="15" t="s">
        <v>1515</v>
      </c>
      <c r="F477" s="15" t="s">
        <v>1516</v>
      </c>
      <c r="G477" s="13" t="s">
        <v>1359</v>
      </c>
      <c r="H477" s="15"/>
      <c r="I477" s="15" t="s">
        <v>429</v>
      </c>
      <c r="J477" s="15" t="s">
        <v>1360</v>
      </c>
      <c r="K477" s="15" t="s">
        <v>1464</v>
      </c>
      <c r="L477" s="15" t="s">
        <v>233</v>
      </c>
      <c r="M477" s="15" t="s">
        <v>746</v>
      </c>
      <c r="N477" s="15" t="s">
        <v>218</v>
      </c>
      <c r="O477" s="15" t="s">
        <v>1362</v>
      </c>
      <c r="P477" s="15" t="s">
        <v>219</v>
      </c>
      <c r="Q477" s="15" t="s">
        <v>219</v>
      </c>
      <c r="R477" s="15" t="s">
        <v>219</v>
      </c>
      <c r="S477" s="15" t="s">
        <v>219</v>
      </c>
      <c r="T477" s="15" t="s">
        <v>219</v>
      </c>
      <c r="U477" s="15" t="s">
        <v>219</v>
      </c>
      <c r="V477" s="15" t="s">
        <v>219</v>
      </c>
      <c r="W477" s="15">
        <v>32</v>
      </c>
      <c r="X477" s="15" t="str">
        <f>_xlfn.XLOOKUP(tblMeasure[[#This Row],[id_src]],tblSource[id_src],tblSource[org])</f>
        <v xml:space="preserve">NIH National Institute of Ageing </v>
      </c>
      <c r="Y477" s="25" t="str">
        <f>_xlfn.XLOOKUP(tblMeasure[[#This Row],[id_src]],tblSource[id_src],tblSource[source])</f>
        <v>English Longitudinal Study of Ageing</v>
      </c>
      <c r="Z477" s="25" t="str">
        <f>_xlfn.XLOOKUP(tblMeasure[[#This Row],[id_src]],tblSource[id_src],tblSource[url_source])</f>
        <v>https://www.ifs.org.uk/uploads/ELSA_Wave_8_report.pdf</v>
      </c>
      <c r="AA477" s="25">
        <f>_xlfn.XLOOKUP(tblMeasure[[#This Row],[id_src]],tblSource[id_src],tblSource[year_first_published])</f>
        <v>2002</v>
      </c>
      <c r="AB477" s="25">
        <f>_xlfn.XLOOKUP(tblMeasure[[#This Row],[id_src]],tblSource[id_src],tblSource[year_last_published])</f>
        <v>2018</v>
      </c>
      <c r="AC477" s="25">
        <f>_xlfn.XLOOKUP(tblMeasure[[#This Row],[id_src]],tblSource[id_src],tblSource[discontinuity])</f>
        <v>0</v>
      </c>
      <c r="AD477" s="25" t="str">
        <f>_xlfn.XLOOKUP(tblMeasure[[#This Row],[id_src]],tblSource[id_src],tblSource[publication_frequency])</f>
        <v>Biennial</v>
      </c>
      <c r="AE477" s="15">
        <f>_xlfn.XLOOKUP(tblMeasure[[#This Row],[id_src]],tblSource[id_src],tblSource[publication_lag_months])</f>
        <v>10</v>
      </c>
      <c r="AF477" s="25" t="str">
        <f>_xlfn.XLOOKUP(tblMeasure[[#This Row],[id_src]],tblSource[id_src],tblSource[data_providers])</f>
        <v>UCL, IFS, Manchester University, NatCen, UEA</v>
      </c>
      <c r="AG477" s="25" t="str">
        <f>_xlfn.XLOOKUP(tblMeasure[[#This Row],[id_src]],tblSource[id_src],tblSource[statistic_class])</f>
        <v>TBD</v>
      </c>
      <c r="AH477" s="25" t="str">
        <f>_xlfn.XLOOKUP(tblMeasure[[#This Row],[id_src]],tblSource[id_src],tblSource[methodology_link])</f>
        <v>https://www.ifs.org.uk/uploads/ELSA_Wave_8_report.pdf</v>
      </c>
      <c r="AI477" s="25" t="str">
        <f>_xlfn.XLOOKUP(tblMeasure[[#This Row],[id_src]],tblSource[id_src],tblSource[quality_issues])</f>
        <v>TBD</v>
      </c>
      <c r="AJ477" s="25">
        <f>VLOOKUP(tblMeasure[[#This Row],[msr_population_or_survey]],strlu_msr_population_or_survey,2,FALSE)</f>
        <v>0</v>
      </c>
      <c r="AK477" s="25">
        <f>VLOOKUP(tblMeasure[[#This Row],[msr_min_geo_resolution]],strlu_msr_min_geo_resolution,2,FALSE)</f>
        <v>0</v>
      </c>
      <c r="AL477" s="25">
        <f>(MAX(tblMeasure[[#This Row],[src_year_last_published]]-2010+1,0)+MIN(2010-tblMeasure[[#This Row],[src_year_first_published]],0)-MAX(tblMeasure[[#This Row],[src_year_last_published]]-2019,0))/10</f>
        <v>0.9</v>
      </c>
      <c r="AM477" s="25">
        <f>IF(OR(tblMeasure[[#This Row],[src_discontinuity]]="None",tblMeasure[[#This Row],[src_discontinuity]]=0),1,0)</f>
        <v>1</v>
      </c>
      <c r="AN477" s="25">
        <f>VLOOKUP(tblMeasure[[#This Row],[src_pub_frequency]],strlu_src_pub_frequency,2,FALSE)</f>
        <v>0.5</v>
      </c>
      <c r="AO477" s="25">
        <f>VLOOKUP(tblMeasure[[#This Row],[src_pub_lag_months]],strlu_src_pub_lag_months,2,FALSE)</f>
        <v>0.1</v>
      </c>
      <c r="AP477" s="25">
        <f>VLOOKUP(tblMeasure[[#This Row],[src_statistic_class]],strlu_src_statistic_class,2,FALSE)</f>
        <v>0</v>
      </c>
      <c r="AQ477" s="25">
        <f>IF(tblMeasure[[#This Row],[src_methodology_url]]="TBD",0,1)</f>
        <v>1</v>
      </c>
      <c r="AR477" s="25">
        <f>IF(tblMeasure[[#This Row],[src_quality_url]]="TBD",0,1)</f>
        <v>0</v>
      </c>
      <c r="AS477" s="85" cm="1">
        <f t="array" ref="AS477">SUMPRODUCT(TRANSPOSE(tblMeasure[[#This Row],[str_msr_population_or_survey]:[str_src_quality_url]]),str_weights)/str_weights_total</f>
        <v>0.33846153846153848</v>
      </c>
    </row>
    <row r="478" spans="1:45" hidden="1" x14ac:dyDescent="0.15">
      <c r="A478" s="30">
        <v>476</v>
      </c>
      <c r="B478" s="32">
        <f>COUNTIF(requirement_measure_map!$D$3:$D$1514,measure!A478)</f>
        <v>0</v>
      </c>
      <c r="C478" s="30" t="s">
        <v>800</v>
      </c>
      <c r="D478" s="15" t="s">
        <v>1451</v>
      </c>
      <c r="E478" s="15" t="s">
        <v>1517</v>
      </c>
      <c r="F478" s="15" t="s">
        <v>1518</v>
      </c>
      <c r="G478" s="13" t="s">
        <v>1359</v>
      </c>
      <c r="H478" s="15"/>
      <c r="I478" s="15" t="s">
        <v>429</v>
      </c>
      <c r="J478" s="15" t="s">
        <v>1360</v>
      </c>
      <c r="K478" s="15" t="s">
        <v>1464</v>
      </c>
      <c r="L478" s="15" t="s">
        <v>233</v>
      </c>
      <c r="M478" s="15" t="s">
        <v>1362</v>
      </c>
      <c r="N478" s="15" t="s">
        <v>218</v>
      </c>
      <c r="O478" s="15" t="s">
        <v>243</v>
      </c>
      <c r="P478" s="15" t="s">
        <v>219</v>
      </c>
      <c r="Q478" s="15" t="s">
        <v>219</v>
      </c>
      <c r="R478" s="15" t="s">
        <v>219</v>
      </c>
      <c r="S478" s="15" t="s">
        <v>219</v>
      </c>
      <c r="T478" s="15" t="s">
        <v>219</v>
      </c>
      <c r="U478" s="15" t="s">
        <v>219</v>
      </c>
      <c r="V478" s="15" t="s">
        <v>219</v>
      </c>
      <c r="W478" s="15">
        <v>32</v>
      </c>
      <c r="X478" s="15" t="str">
        <f>_xlfn.XLOOKUP(tblMeasure[[#This Row],[id_src]],tblSource[id_src],tblSource[org])</f>
        <v xml:space="preserve">NIH National Institute of Ageing </v>
      </c>
      <c r="Y478" s="25" t="str">
        <f>_xlfn.XLOOKUP(tblMeasure[[#This Row],[id_src]],tblSource[id_src],tblSource[source])</f>
        <v>English Longitudinal Study of Ageing</v>
      </c>
      <c r="Z478" s="25" t="str">
        <f>_xlfn.XLOOKUP(tblMeasure[[#This Row],[id_src]],tblSource[id_src],tblSource[url_source])</f>
        <v>https://www.ifs.org.uk/uploads/ELSA_Wave_8_report.pdf</v>
      </c>
      <c r="AA478" s="25">
        <f>_xlfn.XLOOKUP(tblMeasure[[#This Row],[id_src]],tblSource[id_src],tblSource[year_first_published])</f>
        <v>2002</v>
      </c>
      <c r="AB478" s="25">
        <f>_xlfn.XLOOKUP(tblMeasure[[#This Row],[id_src]],tblSource[id_src],tblSource[year_last_published])</f>
        <v>2018</v>
      </c>
      <c r="AC478" s="25">
        <f>_xlfn.XLOOKUP(tblMeasure[[#This Row],[id_src]],tblSource[id_src],tblSource[discontinuity])</f>
        <v>0</v>
      </c>
      <c r="AD478" s="25" t="str">
        <f>_xlfn.XLOOKUP(tblMeasure[[#This Row],[id_src]],tblSource[id_src],tblSource[publication_frequency])</f>
        <v>Biennial</v>
      </c>
      <c r="AE478" s="15">
        <f>_xlfn.XLOOKUP(tblMeasure[[#This Row],[id_src]],tblSource[id_src],tblSource[publication_lag_months])</f>
        <v>10</v>
      </c>
      <c r="AF478" s="25" t="str">
        <f>_xlfn.XLOOKUP(tblMeasure[[#This Row],[id_src]],tblSource[id_src],tblSource[data_providers])</f>
        <v>UCL, IFS, Manchester University, NatCen, UEA</v>
      </c>
      <c r="AG478" s="25" t="str">
        <f>_xlfn.XLOOKUP(tblMeasure[[#This Row],[id_src]],tblSource[id_src],tblSource[statistic_class])</f>
        <v>TBD</v>
      </c>
      <c r="AH478" s="25" t="str">
        <f>_xlfn.XLOOKUP(tblMeasure[[#This Row],[id_src]],tblSource[id_src],tblSource[methodology_link])</f>
        <v>https://www.ifs.org.uk/uploads/ELSA_Wave_8_report.pdf</v>
      </c>
      <c r="AI478" s="25" t="str">
        <f>_xlfn.XLOOKUP(tblMeasure[[#This Row],[id_src]],tblSource[id_src],tblSource[quality_issues])</f>
        <v>TBD</v>
      </c>
      <c r="AJ478" s="25">
        <f>VLOOKUP(tblMeasure[[#This Row],[msr_population_or_survey]],strlu_msr_population_or_survey,2,FALSE)</f>
        <v>0</v>
      </c>
      <c r="AK478" s="25">
        <f>VLOOKUP(tblMeasure[[#This Row],[msr_min_geo_resolution]],strlu_msr_min_geo_resolution,2,FALSE)</f>
        <v>0</v>
      </c>
      <c r="AL478" s="25">
        <f>(MAX(tblMeasure[[#This Row],[src_year_last_published]]-2010+1,0)+MIN(2010-tblMeasure[[#This Row],[src_year_first_published]],0)-MAX(tblMeasure[[#This Row],[src_year_last_published]]-2019,0))/10</f>
        <v>0.9</v>
      </c>
      <c r="AM478" s="25">
        <f>IF(OR(tblMeasure[[#This Row],[src_discontinuity]]="None",tblMeasure[[#This Row],[src_discontinuity]]=0),1,0)</f>
        <v>1</v>
      </c>
      <c r="AN478" s="25">
        <f>VLOOKUP(tblMeasure[[#This Row],[src_pub_frequency]],strlu_src_pub_frequency,2,FALSE)</f>
        <v>0.5</v>
      </c>
      <c r="AO478" s="25">
        <f>VLOOKUP(tblMeasure[[#This Row],[src_pub_lag_months]],strlu_src_pub_lag_months,2,FALSE)</f>
        <v>0.1</v>
      </c>
      <c r="AP478" s="25">
        <f>VLOOKUP(tblMeasure[[#This Row],[src_statistic_class]],strlu_src_statistic_class,2,FALSE)</f>
        <v>0</v>
      </c>
      <c r="AQ478" s="25">
        <f>IF(tblMeasure[[#This Row],[src_methodology_url]]="TBD",0,1)</f>
        <v>1</v>
      </c>
      <c r="AR478" s="25">
        <f>IF(tblMeasure[[#This Row],[src_quality_url]]="TBD",0,1)</f>
        <v>0</v>
      </c>
      <c r="AS478" s="85" cm="1">
        <f t="array" ref="AS478">SUMPRODUCT(TRANSPOSE(tblMeasure[[#This Row],[str_msr_population_or_survey]:[str_src_quality_url]]),str_weights)/str_weights_total</f>
        <v>0.33846153846153848</v>
      </c>
    </row>
    <row r="479" spans="1:45" hidden="1" x14ac:dyDescent="0.15">
      <c r="A479" s="30">
        <v>477</v>
      </c>
      <c r="B479" s="32">
        <f>COUNTIF(requirement_measure_map!$D$3:$D$1514,measure!A479)</f>
        <v>0</v>
      </c>
      <c r="C479" s="30" t="s">
        <v>800</v>
      </c>
      <c r="D479" s="15" t="s">
        <v>1451</v>
      </c>
      <c r="E479" s="15" t="s">
        <v>1519</v>
      </c>
      <c r="F479" s="15" t="s">
        <v>1520</v>
      </c>
      <c r="G479" s="13" t="s">
        <v>1359</v>
      </c>
      <c r="H479" s="15"/>
      <c r="I479" s="15" t="s">
        <v>429</v>
      </c>
      <c r="J479" s="15" t="s">
        <v>1360</v>
      </c>
      <c r="K479" s="15" t="s">
        <v>1464</v>
      </c>
      <c r="L479" s="15" t="s">
        <v>233</v>
      </c>
      <c r="M479" s="15" t="s">
        <v>746</v>
      </c>
      <c r="N479" s="15" t="s">
        <v>218</v>
      </c>
      <c r="O479" s="15" t="s">
        <v>1362</v>
      </c>
      <c r="P479" s="15" t="s">
        <v>219</v>
      </c>
      <c r="Q479" s="15" t="s">
        <v>219</v>
      </c>
      <c r="R479" s="15" t="s">
        <v>219</v>
      </c>
      <c r="S479" s="15" t="s">
        <v>219</v>
      </c>
      <c r="T479" s="15" t="s">
        <v>219</v>
      </c>
      <c r="U479" s="15" t="s">
        <v>219</v>
      </c>
      <c r="V479" s="15" t="s">
        <v>219</v>
      </c>
      <c r="W479" s="15">
        <v>32</v>
      </c>
      <c r="X479" s="15" t="str">
        <f>_xlfn.XLOOKUP(tblMeasure[[#This Row],[id_src]],tblSource[id_src],tblSource[org])</f>
        <v xml:space="preserve">NIH National Institute of Ageing </v>
      </c>
      <c r="Y479" s="25" t="str">
        <f>_xlfn.XLOOKUP(tblMeasure[[#This Row],[id_src]],tblSource[id_src],tblSource[source])</f>
        <v>English Longitudinal Study of Ageing</v>
      </c>
      <c r="Z479" s="25" t="str">
        <f>_xlfn.XLOOKUP(tblMeasure[[#This Row],[id_src]],tblSource[id_src],tblSource[url_source])</f>
        <v>https://www.ifs.org.uk/uploads/ELSA_Wave_8_report.pdf</v>
      </c>
      <c r="AA479" s="25">
        <f>_xlfn.XLOOKUP(tblMeasure[[#This Row],[id_src]],tblSource[id_src],tblSource[year_first_published])</f>
        <v>2002</v>
      </c>
      <c r="AB479" s="25">
        <f>_xlfn.XLOOKUP(tblMeasure[[#This Row],[id_src]],tblSource[id_src],tblSource[year_last_published])</f>
        <v>2018</v>
      </c>
      <c r="AC479" s="25">
        <f>_xlfn.XLOOKUP(tblMeasure[[#This Row],[id_src]],tblSource[id_src],tblSource[discontinuity])</f>
        <v>0</v>
      </c>
      <c r="AD479" s="25" t="str">
        <f>_xlfn.XLOOKUP(tblMeasure[[#This Row],[id_src]],tblSource[id_src],tblSource[publication_frequency])</f>
        <v>Biennial</v>
      </c>
      <c r="AE479" s="15">
        <f>_xlfn.XLOOKUP(tblMeasure[[#This Row],[id_src]],tblSource[id_src],tblSource[publication_lag_months])</f>
        <v>10</v>
      </c>
      <c r="AF479" s="25" t="str">
        <f>_xlfn.XLOOKUP(tblMeasure[[#This Row],[id_src]],tblSource[id_src],tblSource[data_providers])</f>
        <v>UCL, IFS, Manchester University, NatCen, UEA</v>
      </c>
      <c r="AG479" s="25" t="str">
        <f>_xlfn.XLOOKUP(tblMeasure[[#This Row],[id_src]],tblSource[id_src],tblSource[statistic_class])</f>
        <v>TBD</v>
      </c>
      <c r="AH479" s="25" t="str">
        <f>_xlfn.XLOOKUP(tblMeasure[[#This Row],[id_src]],tblSource[id_src],tblSource[methodology_link])</f>
        <v>https://www.ifs.org.uk/uploads/ELSA_Wave_8_report.pdf</v>
      </c>
      <c r="AI479" s="25" t="str">
        <f>_xlfn.XLOOKUP(tblMeasure[[#This Row],[id_src]],tblSource[id_src],tblSource[quality_issues])</f>
        <v>TBD</v>
      </c>
      <c r="AJ479" s="25">
        <f>VLOOKUP(tblMeasure[[#This Row],[msr_population_or_survey]],strlu_msr_population_or_survey,2,FALSE)</f>
        <v>0</v>
      </c>
      <c r="AK479" s="25">
        <f>VLOOKUP(tblMeasure[[#This Row],[msr_min_geo_resolution]],strlu_msr_min_geo_resolution,2,FALSE)</f>
        <v>0</v>
      </c>
      <c r="AL479" s="25">
        <f>(MAX(tblMeasure[[#This Row],[src_year_last_published]]-2010+1,0)+MIN(2010-tblMeasure[[#This Row],[src_year_first_published]],0)-MAX(tblMeasure[[#This Row],[src_year_last_published]]-2019,0))/10</f>
        <v>0.9</v>
      </c>
      <c r="AM479" s="25">
        <f>IF(OR(tblMeasure[[#This Row],[src_discontinuity]]="None",tblMeasure[[#This Row],[src_discontinuity]]=0),1,0)</f>
        <v>1</v>
      </c>
      <c r="AN479" s="25">
        <f>VLOOKUP(tblMeasure[[#This Row],[src_pub_frequency]],strlu_src_pub_frequency,2,FALSE)</f>
        <v>0.5</v>
      </c>
      <c r="AO479" s="25">
        <f>VLOOKUP(tblMeasure[[#This Row],[src_pub_lag_months]],strlu_src_pub_lag_months,2,FALSE)</f>
        <v>0.1</v>
      </c>
      <c r="AP479" s="25">
        <f>VLOOKUP(tblMeasure[[#This Row],[src_statistic_class]],strlu_src_statistic_class,2,FALSE)</f>
        <v>0</v>
      </c>
      <c r="AQ479" s="25">
        <f>IF(tblMeasure[[#This Row],[src_methodology_url]]="TBD",0,1)</f>
        <v>1</v>
      </c>
      <c r="AR479" s="25">
        <f>IF(tblMeasure[[#This Row],[src_quality_url]]="TBD",0,1)</f>
        <v>0</v>
      </c>
      <c r="AS479" s="85" cm="1">
        <f t="array" ref="AS479">SUMPRODUCT(TRANSPOSE(tblMeasure[[#This Row],[str_msr_population_or_survey]:[str_src_quality_url]]),str_weights)/str_weights_total</f>
        <v>0.33846153846153848</v>
      </c>
    </row>
    <row r="480" spans="1:45" hidden="1" x14ac:dyDescent="0.15">
      <c r="A480" s="30">
        <v>478</v>
      </c>
      <c r="B480" s="32">
        <f>COUNTIF(requirement_measure_map!$D$3:$D$1514,measure!A480)</f>
        <v>0</v>
      </c>
      <c r="C480" s="30" t="s">
        <v>800</v>
      </c>
      <c r="D480" s="15" t="s">
        <v>1451</v>
      </c>
      <c r="E480" s="15" t="s">
        <v>1521</v>
      </c>
      <c r="F480" s="15" t="s">
        <v>1522</v>
      </c>
      <c r="G480" s="13" t="s">
        <v>1359</v>
      </c>
      <c r="H480" s="15"/>
      <c r="I480" s="15" t="s">
        <v>429</v>
      </c>
      <c r="J480" s="15" t="s">
        <v>1360</v>
      </c>
      <c r="K480" s="15" t="s">
        <v>1464</v>
      </c>
      <c r="L480" s="15" t="s">
        <v>233</v>
      </c>
      <c r="M480" s="15" t="s">
        <v>1362</v>
      </c>
      <c r="N480" s="15" t="s">
        <v>218</v>
      </c>
      <c r="O480" s="15" t="s">
        <v>243</v>
      </c>
      <c r="P480" s="15" t="s">
        <v>219</v>
      </c>
      <c r="Q480" s="15" t="s">
        <v>219</v>
      </c>
      <c r="R480" s="15" t="s">
        <v>219</v>
      </c>
      <c r="S480" s="15" t="s">
        <v>219</v>
      </c>
      <c r="T480" s="15" t="s">
        <v>219</v>
      </c>
      <c r="U480" s="15" t="s">
        <v>219</v>
      </c>
      <c r="V480" s="15" t="s">
        <v>219</v>
      </c>
      <c r="W480" s="15">
        <v>32</v>
      </c>
      <c r="X480" s="15" t="str">
        <f>_xlfn.XLOOKUP(tblMeasure[[#This Row],[id_src]],tblSource[id_src],tblSource[org])</f>
        <v xml:space="preserve">NIH National Institute of Ageing </v>
      </c>
      <c r="Y480" s="25" t="str">
        <f>_xlfn.XLOOKUP(tblMeasure[[#This Row],[id_src]],tblSource[id_src],tblSource[source])</f>
        <v>English Longitudinal Study of Ageing</v>
      </c>
      <c r="Z480" s="25" t="str">
        <f>_xlfn.XLOOKUP(tblMeasure[[#This Row],[id_src]],tblSource[id_src],tblSource[url_source])</f>
        <v>https://www.ifs.org.uk/uploads/ELSA_Wave_8_report.pdf</v>
      </c>
      <c r="AA480" s="25">
        <f>_xlfn.XLOOKUP(tblMeasure[[#This Row],[id_src]],tblSource[id_src],tblSource[year_first_published])</f>
        <v>2002</v>
      </c>
      <c r="AB480" s="25">
        <f>_xlfn.XLOOKUP(tblMeasure[[#This Row],[id_src]],tblSource[id_src],tblSource[year_last_published])</f>
        <v>2018</v>
      </c>
      <c r="AC480" s="25">
        <f>_xlfn.XLOOKUP(tblMeasure[[#This Row],[id_src]],tblSource[id_src],tblSource[discontinuity])</f>
        <v>0</v>
      </c>
      <c r="AD480" s="25" t="str">
        <f>_xlfn.XLOOKUP(tblMeasure[[#This Row],[id_src]],tblSource[id_src],tblSource[publication_frequency])</f>
        <v>Biennial</v>
      </c>
      <c r="AE480" s="15">
        <f>_xlfn.XLOOKUP(tblMeasure[[#This Row],[id_src]],tblSource[id_src],tblSource[publication_lag_months])</f>
        <v>10</v>
      </c>
      <c r="AF480" s="25" t="str">
        <f>_xlfn.XLOOKUP(tblMeasure[[#This Row],[id_src]],tblSource[id_src],tblSource[data_providers])</f>
        <v>UCL, IFS, Manchester University, NatCen, UEA</v>
      </c>
      <c r="AG480" s="25" t="str">
        <f>_xlfn.XLOOKUP(tblMeasure[[#This Row],[id_src]],tblSource[id_src],tblSource[statistic_class])</f>
        <v>TBD</v>
      </c>
      <c r="AH480" s="25" t="str">
        <f>_xlfn.XLOOKUP(tblMeasure[[#This Row],[id_src]],tblSource[id_src],tblSource[methodology_link])</f>
        <v>https://www.ifs.org.uk/uploads/ELSA_Wave_8_report.pdf</v>
      </c>
      <c r="AI480" s="25" t="str">
        <f>_xlfn.XLOOKUP(tblMeasure[[#This Row],[id_src]],tblSource[id_src],tblSource[quality_issues])</f>
        <v>TBD</v>
      </c>
      <c r="AJ480" s="25">
        <f>VLOOKUP(tblMeasure[[#This Row],[msr_population_or_survey]],strlu_msr_population_or_survey,2,FALSE)</f>
        <v>0</v>
      </c>
      <c r="AK480" s="25">
        <f>VLOOKUP(tblMeasure[[#This Row],[msr_min_geo_resolution]],strlu_msr_min_geo_resolution,2,FALSE)</f>
        <v>0</v>
      </c>
      <c r="AL480" s="25">
        <f>(MAX(tblMeasure[[#This Row],[src_year_last_published]]-2010+1,0)+MIN(2010-tblMeasure[[#This Row],[src_year_first_published]],0)-MAX(tblMeasure[[#This Row],[src_year_last_published]]-2019,0))/10</f>
        <v>0.9</v>
      </c>
      <c r="AM480" s="25">
        <f>IF(OR(tblMeasure[[#This Row],[src_discontinuity]]="None",tblMeasure[[#This Row],[src_discontinuity]]=0),1,0)</f>
        <v>1</v>
      </c>
      <c r="AN480" s="25">
        <f>VLOOKUP(tblMeasure[[#This Row],[src_pub_frequency]],strlu_src_pub_frequency,2,FALSE)</f>
        <v>0.5</v>
      </c>
      <c r="AO480" s="25">
        <f>VLOOKUP(tblMeasure[[#This Row],[src_pub_lag_months]],strlu_src_pub_lag_months,2,FALSE)</f>
        <v>0.1</v>
      </c>
      <c r="AP480" s="25">
        <f>VLOOKUP(tblMeasure[[#This Row],[src_statistic_class]],strlu_src_statistic_class,2,FALSE)</f>
        <v>0</v>
      </c>
      <c r="AQ480" s="25">
        <f>IF(tblMeasure[[#This Row],[src_methodology_url]]="TBD",0,1)</f>
        <v>1</v>
      </c>
      <c r="AR480" s="25">
        <f>IF(tblMeasure[[#This Row],[src_quality_url]]="TBD",0,1)</f>
        <v>0</v>
      </c>
      <c r="AS480" s="85" cm="1">
        <f t="array" ref="AS480">SUMPRODUCT(TRANSPOSE(tblMeasure[[#This Row],[str_msr_population_or_survey]:[str_src_quality_url]]),str_weights)/str_weights_total</f>
        <v>0.33846153846153848</v>
      </c>
    </row>
    <row r="481" spans="1:45" hidden="1" x14ac:dyDescent="0.15">
      <c r="A481" s="30">
        <v>479</v>
      </c>
      <c r="B481" s="32">
        <f>COUNTIF(requirement_measure_map!$D$3:$D$1514,measure!A481)</f>
        <v>0</v>
      </c>
      <c r="C481" s="30" t="s">
        <v>800</v>
      </c>
      <c r="D481" s="15" t="s">
        <v>1451</v>
      </c>
      <c r="E481" s="15" t="s">
        <v>1523</v>
      </c>
      <c r="F481" s="15" t="s">
        <v>1524</v>
      </c>
      <c r="G481" s="13" t="s">
        <v>1359</v>
      </c>
      <c r="H481" s="15"/>
      <c r="I481" s="15" t="s">
        <v>429</v>
      </c>
      <c r="J481" s="15" t="s">
        <v>1360</v>
      </c>
      <c r="K481" s="15" t="s">
        <v>1469</v>
      </c>
      <c r="L481" s="15" t="s">
        <v>233</v>
      </c>
      <c r="M481" s="15" t="s">
        <v>746</v>
      </c>
      <c r="N481" s="15" t="s">
        <v>218</v>
      </c>
      <c r="O481" s="15" t="s">
        <v>1362</v>
      </c>
      <c r="P481" s="15" t="s">
        <v>219</v>
      </c>
      <c r="Q481" s="15" t="s">
        <v>219</v>
      </c>
      <c r="R481" s="15" t="s">
        <v>219</v>
      </c>
      <c r="S481" s="15" t="s">
        <v>219</v>
      </c>
      <c r="T481" s="15" t="s">
        <v>219</v>
      </c>
      <c r="U481" s="15" t="s">
        <v>219</v>
      </c>
      <c r="V481" s="15" t="s">
        <v>219</v>
      </c>
      <c r="W481" s="15">
        <v>32</v>
      </c>
      <c r="X481" s="15" t="str">
        <f>_xlfn.XLOOKUP(tblMeasure[[#This Row],[id_src]],tblSource[id_src],tblSource[org])</f>
        <v xml:space="preserve">NIH National Institute of Ageing </v>
      </c>
      <c r="Y481" s="25" t="str">
        <f>_xlfn.XLOOKUP(tblMeasure[[#This Row],[id_src]],tblSource[id_src],tblSource[source])</f>
        <v>English Longitudinal Study of Ageing</v>
      </c>
      <c r="Z481" s="25" t="str">
        <f>_xlfn.XLOOKUP(tblMeasure[[#This Row],[id_src]],tblSource[id_src],tblSource[url_source])</f>
        <v>https://www.ifs.org.uk/uploads/ELSA_Wave_8_report.pdf</v>
      </c>
      <c r="AA481" s="25">
        <f>_xlfn.XLOOKUP(tblMeasure[[#This Row],[id_src]],tblSource[id_src],tblSource[year_first_published])</f>
        <v>2002</v>
      </c>
      <c r="AB481" s="25">
        <f>_xlfn.XLOOKUP(tblMeasure[[#This Row],[id_src]],tblSource[id_src],tblSource[year_last_published])</f>
        <v>2018</v>
      </c>
      <c r="AC481" s="25">
        <f>_xlfn.XLOOKUP(tblMeasure[[#This Row],[id_src]],tblSource[id_src],tblSource[discontinuity])</f>
        <v>0</v>
      </c>
      <c r="AD481" s="25" t="str">
        <f>_xlfn.XLOOKUP(tblMeasure[[#This Row],[id_src]],tblSource[id_src],tblSource[publication_frequency])</f>
        <v>Biennial</v>
      </c>
      <c r="AE481" s="15">
        <f>_xlfn.XLOOKUP(tblMeasure[[#This Row],[id_src]],tblSource[id_src],tblSource[publication_lag_months])</f>
        <v>10</v>
      </c>
      <c r="AF481" s="25" t="str">
        <f>_xlfn.XLOOKUP(tblMeasure[[#This Row],[id_src]],tblSource[id_src],tblSource[data_providers])</f>
        <v>UCL, IFS, Manchester University, NatCen, UEA</v>
      </c>
      <c r="AG481" s="25" t="str">
        <f>_xlfn.XLOOKUP(tblMeasure[[#This Row],[id_src]],tblSource[id_src],tblSource[statistic_class])</f>
        <v>TBD</v>
      </c>
      <c r="AH481" s="25" t="str">
        <f>_xlfn.XLOOKUP(tblMeasure[[#This Row],[id_src]],tblSource[id_src],tblSource[methodology_link])</f>
        <v>https://www.ifs.org.uk/uploads/ELSA_Wave_8_report.pdf</v>
      </c>
      <c r="AI481" s="25" t="str">
        <f>_xlfn.XLOOKUP(tblMeasure[[#This Row],[id_src]],tblSource[id_src],tblSource[quality_issues])</f>
        <v>TBD</v>
      </c>
      <c r="AJ481" s="25">
        <f>VLOOKUP(tblMeasure[[#This Row],[msr_population_or_survey]],strlu_msr_population_or_survey,2,FALSE)</f>
        <v>0</v>
      </c>
      <c r="AK481" s="25">
        <f>VLOOKUP(tblMeasure[[#This Row],[msr_min_geo_resolution]],strlu_msr_min_geo_resolution,2,FALSE)</f>
        <v>0</v>
      </c>
      <c r="AL481" s="25">
        <f>(MAX(tblMeasure[[#This Row],[src_year_last_published]]-2010+1,0)+MIN(2010-tblMeasure[[#This Row],[src_year_first_published]],0)-MAX(tblMeasure[[#This Row],[src_year_last_published]]-2019,0))/10</f>
        <v>0.9</v>
      </c>
      <c r="AM481" s="25">
        <f>IF(OR(tblMeasure[[#This Row],[src_discontinuity]]="None",tblMeasure[[#This Row],[src_discontinuity]]=0),1,0)</f>
        <v>1</v>
      </c>
      <c r="AN481" s="25">
        <f>VLOOKUP(tblMeasure[[#This Row],[src_pub_frequency]],strlu_src_pub_frequency,2,FALSE)</f>
        <v>0.5</v>
      </c>
      <c r="AO481" s="25">
        <f>VLOOKUP(tblMeasure[[#This Row],[src_pub_lag_months]],strlu_src_pub_lag_months,2,FALSE)</f>
        <v>0.1</v>
      </c>
      <c r="AP481" s="25">
        <f>VLOOKUP(tblMeasure[[#This Row],[src_statistic_class]],strlu_src_statistic_class,2,FALSE)</f>
        <v>0</v>
      </c>
      <c r="AQ481" s="25">
        <f>IF(tblMeasure[[#This Row],[src_methodology_url]]="TBD",0,1)</f>
        <v>1</v>
      </c>
      <c r="AR481" s="25">
        <f>IF(tblMeasure[[#This Row],[src_quality_url]]="TBD",0,1)</f>
        <v>0</v>
      </c>
      <c r="AS481" s="85" cm="1">
        <f t="array" ref="AS481">SUMPRODUCT(TRANSPOSE(tblMeasure[[#This Row],[str_msr_population_or_survey]:[str_src_quality_url]]),str_weights)/str_weights_total</f>
        <v>0.33846153846153848</v>
      </c>
    </row>
    <row r="482" spans="1:45" hidden="1" x14ac:dyDescent="0.15">
      <c r="A482" s="30">
        <v>480</v>
      </c>
      <c r="B482" s="32">
        <f>COUNTIF(requirement_measure_map!$D$3:$D$1514,measure!A482)</f>
        <v>0</v>
      </c>
      <c r="C482" s="30" t="s">
        <v>800</v>
      </c>
      <c r="D482" s="15" t="s">
        <v>1451</v>
      </c>
      <c r="E482" s="15" t="s">
        <v>1525</v>
      </c>
      <c r="F482" s="15" t="s">
        <v>1526</v>
      </c>
      <c r="G482" s="13" t="s">
        <v>1359</v>
      </c>
      <c r="H482" s="15"/>
      <c r="I482" s="15" t="s">
        <v>429</v>
      </c>
      <c r="J482" s="15" t="s">
        <v>1360</v>
      </c>
      <c r="K482" s="15" t="s">
        <v>1469</v>
      </c>
      <c r="L482" s="15" t="s">
        <v>233</v>
      </c>
      <c r="M482" s="15" t="s">
        <v>1362</v>
      </c>
      <c r="N482" s="15" t="s">
        <v>218</v>
      </c>
      <c r="O482" s="15" t="s">
        <v>243</v>
      </c>
      <c r="P482" s="15" t="s">
        <v>219</v>
      </c>
      <c r="Q482" s="15" t="s">
        <v>219</v>
      </c>
      <c r="R482" s="15" t="s">
        <v>219</v>
      </c>
      <c r="S482" s="15" t="s">
        <v>219</v>
      </c>
      <c r="T482" s="15" t="s">
        <v>219</v>
      </c>
      <c r="U482" s="15" t="s">
        <v>219</v>
      </c>
      <c r="V482" s="15" t="s">
        <v>219</v>
      </c>
      <c r="W482" s="15">
        <v>32</v>
      </c>
      <c r="X482" s="15" t="str">
        <f>_xlfn.XLOOKUP(tblMeasure[[#This Row],[id_src]],tblSource[id_src],tblSource[org])</f>
        <v xml:space="preserve">NIH National Institute of Ageing </v>
      </c>
      <c r="Y482" s="25" t="str">
        <f>_xlfn.XLOOKUP(tblMeasure[[#This Row],[id_src]],tblSource[id_src],tblSource[source])</f>
        <v>English Longitudinal Study of Ageing</v>
      </c>
      <c r="Z482" s="25" t="str">
        <f>_xlfn.XLOOKUP(tblMeasure[[#This Row],[id_src]],tblSource[id_src],tblSource[url_source])</f>
        <v>https://www.ifs.org.uk/uploads/ELSA_Wave_8_report.pdf</v>
      </c>
      <c r="AA482" s="25">
        <f>_xlfn.XLOOKUP(tblMeasure[[#This Row],[id_src]],tblSource[id_src],tblSource[year_first_published])</f>
        <v>2002</v>
      </c>
      <c r="AB482" s="25">
        <f>_xlfn.XLOOKUP(tblMeasure[[#This Row],[id_src]],tblSource[id_src],tblSource[year_last_published])</f>
        <v>2018</v>
      </c>
      <c r="AC482" s="25">
        <f>_xlfn.XLOOKUP(tblMeasure[[#This Row],[id_src]],tblSource[id_src],tblSource[discontinuity])</f>
        <v>0</v>
      </c>
      <c r="AD482" s="25" t="str">
        <f>_xlfn.XLOOKUP(tblMeasure[[#This Row],[id_src]],tblSource[id_src],tblSource[publication_frequency])</f>
        <v>Biennial</v>
      </c>
      <c r="AE482" s="15">
        <f>_xlfn.XLOOKUP(tblMeasure[[#This Row],[id_src]],tblSource[id_src],tblSource[publication_lag_months])</f>
        <v>10</v>
      </c>
      <c r="AF482" s="25" t="str">
        <f>_xlfn.XLOOKUP(tblMeasure[[#This Row],[id_src]],tblSource[id_src],tblSource[data_providers])</f>
        <v>UCL, IFS, Manchester University, NatCen, UEA</v>
      </c>
      <c r="AG482" s="25" t="str">
        <f>_xlfn.XLOOKUP(tblMeasure[[#This Row],[id_src]],tblSource[id_src],tblSource[statistic_class])</f>
        <v>TBD</v>
      </c>
      <c r="AH482" s="25" t="str">
        <f>_xlfn.XLOOKUP(tblMeasure[[#This Row],[id_src]],tblSource[id_src],tblSource[methodology_link])</f>
        <v>https://www.ifs.org.uk/uploads/ELSA_Wave_8_report.pdf</v>
      </c>
      <c r="AI482" s="25" t="str">
        <f>_xlfn.XLOOKUP(tblMeasure[[#This Row],[id_src]],tblSource[id_src],tblSource[quality_issues])</f>
        <v>TBD</v>
      </c>
      <c r="AJ482" s="25">
        <f>VLOOKUP(tblMeasure[[#This Row],[msr_population_or_survey]],strlu_msr_population_or_survey,2,FALSE)</f>
        <v>0</v>
      </c>
      <c r="AK482" s="25">
        <f>VLOOKUP(tblMeasure[[#This Row],[msr_min_geo_resolution]],strlu_msr_min_geo_resolution,2,FALSE)</f>
        <v>0</v>
      </c>
      <c r="AL482" s="25">
        <f>(MAX(tblMeasure[[#This Row],[src_year_last_published]]-2010+1,0)+MIN(2010-tblMeasure[[#This Row],[src_year_first_published]],0)-MAX(tblMeasure[[#This Row],[src_year_last_published]]-2019,0))/10</f>
        <v>0.9</v>
      </c>
      <c r="AM482" s="25">
        <f>IF(OR(tblMeasure[[#This Row],[src_discontinuity]]="None",tblMeasure[[#This Row],[src_discontinuity]]=0),1,0)</f>
        <v>1</v>
      </c>
      <c r="AN482" s="25">
        <f>VLOOKUP(tblMeasure[[#This Row],[src_pub_frequency]],strlu_src_pub_frequency,2,FALSE)</f>
        <v>0.5</v>
      </c>
      <c r="AO482" s="25">
        <f>VLOOKUP(tblMeasure[[#This Row],[src_pub_lag_months]],strlu_src_pub_lag_months,2,FALSE)</f>
        <v>0.1</v>
      </c>
      <c r="AP482" s="25">
        <f>VLOOKUP(tblMeasure[[#This Row],[src_statistic_class]],strlu_src_statistic_class,2,FALSE)</f>
        <v>0</v>
      </c>
      <c r="AQ482" s="25">
        <f>IF(tblMeasure[[#This Row],[src_methodology_url]]="TBD",0,1)</f>
        <v>1</v>
      </c>
      <c r="AR482" s="25">
        <f>IF(tblMeasure[[#This Row],[src_quality_url]]="TBD",0,1)</f>
        <v>0</v>
      </c>
      <c r="AS482" s="85" cm="1">
        <f t="array" ref="AS482">SUMPRODUCT(TRANSPOSE(tblMeasure[[#This Row],[str_msr_population_or_survey]:[str_src_quality_url]]),str_weights)/str_weights_total</f>
        <v>0.33846153846153848</v>
      </c>
    </row>
    <row r="483" spans="1:45" hidden="1" x14ac:dyDescent="0.15">
      <c r="A483" s="30">
        <v>481</v>
      </c>
      <c r="B483" s="32">
        <f>COUNTIF(requirement_measure_map!$D$3:$D$1514,measure!A483)</f>
        <v>0</v>
      </c>
      <c r="C483" s="30" t="s">
        <v>800</v>
      </c>
      <c r="D483" s="15" t="s">
        <v>1451</v>
      </c>
      <c r="E483" s="15" t="s">
        <v>1527</v>
      </c>
      <c r="F483" s="15" t="s">
        <v>1528</v>
      </c>
      <c r="G483" s="13" t="s">
        <v>1359</v>
      </c>
      <c r="H483" s="15"/>
      <c r="I483" s="15" t="s">
        <v>429</v>
      </c>
      <c r="J483" s="15" t="s">
        <v>1360</v>
      </c>
      <c r="K483" s="15" t="s">
        <v>1474</v>
      </c>
      <c r="L483" s="15" t="s">
        <v>233</v>
      </c>
      <c r="M483" s="15" t="s">
        <v>746</v>
      </c>
      <c r="N483" s="15" t="s">
        <v>218</v>
      </c>
      <c r="O483" s="15" t="s">
        <v>1362</v>
      </c>
      <c r="P483" s="15" t="s">
        <v>219</v>
      </c>
      <c r="Q483" s="15" t="s">
        <v>219</v>
      </c>
      <c r="R483" s="15" t="s">
        <v>219</v>
      </c>
      <c r="S483" s="15" t="s">
        <v>219</v>
      </c>
      <c r="T483" s="15" t="s">
        <v>219</v>
      </c>
      <c r="U483" s="15" t="s">
        <v>219</v>
      </c>
      <c r="V483" s="15" t="s">
        <v>219</v>
      </c>
      <c r="W483" s="15">
        <v>32</v>
      </c>
      <c r="X483" s="15" t="str">
        <f>_xlfn.XLOOKUP(tblMeasure[[#This Row],[id_src]],tblSource[id_src],tblSource[org])</f>
        <v xml:space="preserve">NIH National Institute of Ageing </v>
      </c>
      <c r="Y483" s="25" t="str">
        <f>_xlfn.XLOOKUP(tblMeasure[[#This Row],[id_src]],tblSource[id_src],tblSource[source])</f>
        <v>English Longitudinal Study of Ageing</v>
      </c>
      <c r="Z483" s="25" t="str">
        <f>_xlfn.XLOOKUP(tblMeasure[[#This Row],[id_src]],tblSource[id_src],tblSource[url_source])</f>
        <v>https://www.ifs.org.uk/uploads/ELSA_Wave_8_report.pdf</v>
      </c>
      <c r="AA483" s="25">
        <f>_xlfn.XLOOKUP(tblMeasure[[#This Row],[id_src]],tblSource[id_src],tblSource[year_first_published])</f>
        <v>2002</v>
      </c>
      <c r="AB483" s="25">
        <f>_xlfn.XLOOKUP(tblMeasure[[#This Row],[id_src]],tblSource[id_src],tblSource[year_last_published])</f>
        <v>2018</v>
      </c>
      <c r="AC483" s="25">
        <f>_xlfn.XLOOKUP(tblMeasure[[#This Row],[id_src]],tblSource[id_src],tblSource[discontinuity])</f>
        <v>0</v>
      </c>
      <c r="AD483" s="25" t="str">
        <f>_xlfn.XLOOKUP(tblMeasure[[#This Row],[id_src]],tblSource[id_src],tblSource[publication_frequency])</f>
        <v>Biennial</v>
      </c>
      <c r="AE483" s="15">
        <f>_xlfn.XLOOKUP(tblMeasure[[#This Row],[id_src]],tblSource[id_src],tblSource[publication_lag_months])</f>
        <v>10</v>
      </c>
      <c r="AF483" s="25" t="str">
        <f>_xlfn.XLOOKUP(tblMeasure[[#This Row],[id_src]],tblSource[id_src],tblSource[data_providers])</f>
        <v>UCL, IFS, Manchester University, NatCen, UEA</v>
      </c>
      <c r="AG483" s="25" t="str">
        <f>_xlfn.XLOOKUP(tblMeasure[[#This Row],[id_src]],tblSource[id_src],tblSource[statistic_class])</f>
        <v>TBD</v>
      </c>
      <c r="AH483" s="25" t="str">
        <f>_xlfn.XLOOKUP(tblMeasure[[#This Row],[id_src]],tblSource[id_src],tblSource[methodology_link])</f>
        <v>https://www.ifs.org.uk/uploads/ELSA_Wave_8_report.pdf</v>
      </c>
      <c r="AI483" s="25" t="str">
        <f>_xlfn.XLOOKUP(tblMeasure[[#This Row],[id_src]],tblSource[id_src],tblSource[quality_issues])</f>
        <v>TBD</v>
      </c>
      <c r="AJ483" s="25">
        <f>VLOOKUP(tblMeasure[[#This Row],[msr_population_or_survey]],strlu_msr_population_or_survey,2,FALSE)</f>
        <v>0</v>
      </c>
      <c r="AK483" s="25">
        <f>VLOOKUP(tblMeasure[[#This Row],[msr_min_geo_resolution]],strlu_msr_min_geo_resolution,2,FALSE)</f>
        <v>0</v>
      </c>
      <c r="AL483" s="25">
        <f>(MAX(tblMeasure[[#This Row],[src_year_last_published]]-2010+1,0)+MIN(2010-tblMeasure[[#This Row],[src_year_first_published]],0)-MAX(tblMeasure[[#This Row],[src_year_last_published]]-2019,0))/10</f>
        <v>0.9</v>
      </c>
      <c r="AM483" s="25">
        <f>IF(OR(tblMeasure[[#This Row],[src_discontinuity]]="None",tblMeasure[[#This Row],[src_discontinuity]]=0),1,0)</f>
        <v>1</v>
      </c>
      <c r="AN483" s="25">
        <f>VLOOKUP(tblMeasure[[#This Row],[src_pub_frequency]],strlu_src_pub_frequency,2,FALSE)</f>
        <v>0.5</v>
      </c>
      <c r="AO483" s="25">
        <f>VLOOKUP(tblMeasure[[#This Row],[src_pub_lag_months]],strlu_src_pub_lag_months,2,FALSE)</f>
        <v>0.1</v>
      </c>
      <c r="AP483" s="25">
        <f>VLOOKUP(tblMeasure[[#This Row],[src_statistic_class]],strlu_src_statistic_class,2,FALSE)</f>
        <v>0</v>
      </c>
      <c r="AQ483" s="25">
        <f>IF(tblMeasure[[#This Row],[src_methodology_url]]="TBD",0,1)</f>
        <v>1</v>
      </c>
      <c r="AR483" s="25">
        <f>IF(tblMeasure[[#This Row],[src_quality_url]]="TBD",0,1)</f>
        <v>0</v>
      </c>
      <c r="AS483" s="85" cm="1">
        <f t="array" ref="AS483">SUMPRODUCT(TRANSPOSE(tblMeasure[[#This Row],[str_msr_population_or_survey]:[str_src_quality_url]]),str_weights)/str_weights_total</f>
        <v>0.33846153846153848</v>
      </c>
    </row>
    <row r="484" spans="1:45" hidden="1" x14ac:dyDescent="0.15">
      <c r="A484" s="30">
        <v>482</v>
      </c>
      <c r="B484" s="32">
        <f>COUNTIF(requirement_measure_map!$D$3:$D$1514,measure!A484)</f>
        <v>0</v>
      </c>
      <c r="C484" s="30" t="s">
        <v>800</v>
      </c>
      <c r="D484" s="15" t="s">
        <v>1451</v>
      </c>
      <c r="E484" s="15" t="s">
        <v>1529</v>
      </c>
      <c r="F484" s="15" t="s">
        <v>1530</v>
      </c>
      <c r="G484" s="13" t="s">
        <v>1359</v>
      </c>
      <c r="H484" s="15"/>
      <c r="I484" s="15" t="s">
        <v>429</v>
      </c>
      <c r="J484" s="15" t="s">
        <v>1360</v>
      </c>
      <c r="K484" s="15" t="s">
        <v>1474</v>
      </c>
      <c r="L484" s="15" t="s">
        <v>233</v>
      </c>
      <c r="M484" s="15" t="s">
        <v>1362</v>
      </c>
      <c r="N484" s="15" t="s">
        <v>218</v>
      </c>
      <c r="O484" s="15" t="s">
        <v>243</v>
      </c>
      <c r="P484" s="15" t="s">
        <v>219</v>
      </c>
      <c r="Q484" s="15" t="s">
        <v>219</v>
      </c>
      <c r="R484" s="15" t="s">
        <v>219</v>
      </c>
      <c r="S484" s="15" t="s">
        <v>219</v>
      </c>
      <c r="T484" s="15" t="s">
        <v>219</v>
      </c>
      <c r="U484" s="15" t="s">
        <v>219</v>
      </c>
      <c r="V484" s="15" t="s">
        <v>219</v>
      </c>
      <c r="W484" s="15">
        <v>32</v>
      </c>
      <c r="X484" s="15" t="str">
        <f>_xlfn.XLOOKUP(tblMeasure[[#This Row],[id_src]],tblSource[id_src],tblSource[org])</f>
        <v xml:space="preserve">NIH National Institute of Ageing </v>
      </c>
      <c r="Y484" s="25" t="str">
        <f>_xlfn.XLOOKUP(tblMeasure[[#This Row],[id_src]],tblSource[id_src],tblSource[source])</f>
        <v>English Longitudinal Study of Ageing</v>
      </c>
      <c r="Z484" s="25" t="str">
        <f>_xlfn.XLOOKUP(tblMeasure[[#This Row],[id_src]],tblSource[id_src],tblSource[url_source])</f>
        <v>https://www.ifs.org.uk/uploads/ELSA_Wave_8_report.pdf</v>
      </c>
      <c r="AA484" s="25">
        <f>_xlfn.XLOOKUP(tblMeasure[[#This Row],[id_src]],tblSource[id_src],tblSource[year_first_published])</f>
        <v>2002</v>
      </c>
      <c r="AB484" s="25">
        <f>_xlfn.XLOOKUP(tblMeasure[[#This Row],[id_src]],tblSource[id_src],tblSource[year_last_published])</f>
        <v>2018</v>
      </c>
      <c r="AC484" s="25">
        <f>_xlfn.XLOOKUP(tblMeasure[[#This Row],[id_src]],tblSource[id_src],tblSource[discontinuity])</f>
        <v>0</v>
      </c>
      <c r="AD484" s="25" t="str">
        <f>_xlfn.XLOOKUP(tblMeasure[[#This Row],[id_src]],tblSource[id_src],tblSource[publication_frequency])</f>
        <v>Biennial</v>
      </c>
      <c r="AE484" s="15">
        <f>_xlfn.XLOOKUP(tblMeasure[[#This Row],[id_src]],tblSource[id_src],tblSource[publication_lag_months])</f>
        <v>10</v>
      </c>
      <c r="AF484" s="25" t="str">
        <f>_xlfn.XLOOKUP(tblMeasure[[#This Row],[id_src]],tblSource[id_src],tblSource[data_providers])</f>
        <v>UCL, IFS, Manchester University, NatCen, UEA</v>
      </c>
      <c r="AG484" s="25" t="str">
        <f>_xlfn.XLOOKUP(tblMeasure[[#This Row],[id_src]],tblSource[id_src],tblSource[statistic_class])</f>
        <v>TBD</v>
      </c>
      <c r="AH484" s="25" t="str">
        <f>_xlfn.XLOOKUP(tblMeasure[[#This Row],[id_src]],tblSource[id_src],tblSource[methodology_link])</f>
        <v>https://www.ifs.org.uk/uploads/ELSA_Wave_8_report.pdf</v>
      </c>
      <c r="AI484" s="25" t="str">
        <f>_xlfn.XLOOKUP(tblMeasure[[#This Row],[id_src]],tblSource[id_src],tblSource[quality_issues])</f>
        <v>TBD</v>
      </c>
      <c r="AJ484" s="25">
        <f>VLOOKUP(tblMeasure[[#This Row],[msr_population_or_survey]],strlu_msr_population_or_survey,2,FALSE)</f>
        <v>0</v>
      </c>
      <c r="AK484" s="25">
        <f>VLOOKUP(tblMeasure[[#This Row],[msr_min_geo_resolution]],strlu_msr_min_geo_resolution,2,FALSE)</f>
        <v>0</v>
      </c>
      <c r="AL484" s="25">
        <f>(MAX(tblMeasure[[#This Row],[src_year_last_published]]-2010+1,0)+MIN(2010-tblMeasure[[#This Row],[src_year_first_published]],0)-MAX(tblMeasure[[#This Row],[src_year_last_published]]-2019,0))/10</f>
        <v>0.9</v>
      </c>
      <c r="AM484" s="25">
        <f>IF(OR(tblMeasure[[#This Row],[src_discontinuity]]="None",tblMeasure[[#This Row],[src_discontinuity]]=0),1,0)</f>
        <v>1</v>
      </c>
      <c r="AN484" s="25">
        <f>VLOOKUP(tblMeasure[[#This Row],[src_pub_frequency]],strlu_src_pub_frequency,2,FALSE)</f>
        <v>0.5</v>
      </c>
      <c r="AO484" s="25">
        <f>VLOOKUP(tblMeasure[[#This Row],[src_pub_lag_months]],strlu_src_pub_lag_months,2,FALSE)</f>
        <v>0.1</v>
      </c>
      <c r="AP484" s="25">
        <f>VLOOKUP(tblMeasure[[#This Row],[src_statistic_class]],strlu_src_statistic_class,2,FALSE)</f>
        <v>0</v>
      </c>
      <c r="AQ484" s="25">
        <f>IF(tblMeasure[[#This Row],[src_methodology_url]]="TBD",0,1)</f>
        <v>1</v>
      </c>
      <c r="AR484" s="25">
        <f>IF(tblMeasure[[#This Row],[src_quality_url]]="TBD",0,1)</f>
        <v>0</v>
      </c>
      <c r="AS484" s="85" cm="1">
        <f t="array" ref="AS484">SUMPRODUCT(TRANSPOSE(tblMeasure[[#This Row],[str_msr_population_or_survey]:[str_src_quality_url]]),str_weights)/str_weights_total</f>
        <v>0.33846153846153848</v>
      </c>
    </row>
    <row r="485" spans="1:45" hidden="1" x14ac:dyDescent="0.15">
      <c r="A485" s="30">
        <v>483</v>
      </c>
      <c r="B485" s="32">
        <f>COUNTIF(requirement_measure_map!$D$3:$D$1514,measure!A485)</f>
        <v>0</v>
      </c>
      <c r="C485" s="30" t="s">
        <v>800</v>
      </c>
      <c r="D485" s="15" t="s">
        <v>1451</v>
      </c>
      <c r="E485" s="15" t="s">
        <v>1531</v>
      </c>
      <c r="F485" s="15" t="s">
        <v>1532</v>
      </c>
      <c r="G485" s="13" t="s">
        <v>1359</v>
      </c>
      <c r="H485" s="15"/>
      <c r="I485" s="15" t="s">
        <v>429</v>
      </c>
      <c r="J485" s="15" t="s">
        <v>1360</v>
      </c>
      <c r="K485" s="15" t="s">
        <v>1474</v>
      </c>
      <c r="L485" s="15" t="s">
        <v>233</v>
      </c>
      <c r="M485" s="15" t="s">
        <v>746</v>
      </c>
      <c r="N485" s="15" t="s">
        <v>218</v>
      </c>
      <c r="O485" s="15" t="s">
        <v>1362</v>
      </c>
      <c r="P485" s="15" t="s">
        <v>219</v>
      </c>
      <c r="Q485" s="15" t="s">
        <v>219</v>
      </c>
      <c r="R485" s="15" t="s">
        <v>219</v>
      </c>
      <c r="S485" s="15" t="s">
        <v>219</v>
      </c>
      <c r="T485" s="15" t="s">
        <v>219</v>
      </c>
      <c r="U485" s="15" t="s">
        <v>219</v>
      </c>
      <c r="V485" s="15" t="s">
        <v>219</v>
      </c>
      <c r="W485" s="15">
        <v>32</v>
      </c>
      <c r="X485" s="15" t="str">
        <f>_xlfn.XLOOKUP(tblMeasure[[#This Row],[id_src]],tblSource[id_src],tblSource[org])</f>
        <v xml:space="preserve">NIH National Institute of Ageing </v>
      </c>
      <c r="Y485" s="25" t="str">
        <f>_xlfn.XLOOKUP(tblMeasure[[#This Row],[id_src]],tblSource[id_src],tblSource[source])</f>
        <v>English Longitudinal Study of Ageing</v>
      </c>
      <c r="Z485" s="25" t="str">
        <f>_xlfn.XLOOKUP(tblMeasure[[#This Row],[id_src]],tblSource[id_src],tblSource[url_source])</f>
        <v>https://www.ifs.org.uk/uploads/ELSA_Wave_8_report.pdf</v>
      </c>
      <c r="AA485" s="25">
        <f>_xlfn.XLOOKUP(tblMeasure[[#This Row],[id_src]],tblSource[id_src],tblSource[year_first_published])</f>
        <v>2002</v>
      </c>
      <c r="AB485" s="25">
        <f>_xlfn.XLOOKUP(tblMeasure[[#This Row],[id_src]],tblSource[id_src],tblSource[year_last_published])</f>
        <v>2018</v>
      </c>
      <c r="AC485" s="25">
        <f>_xlfn.XLOOKUP(tblMeasure[[#This Row],[id_src]],tblSource[id_src],tblSource[discontinuity])</f>
        <v>0</v>
      </c>
      <c r="AD485" s="25" t="str">
        <f>_xlfn.XLOOKUP(tblMeasure[[#This Row],[id_src]],tblSource[id_src],tblSource[publication_frequency])</f>
        <v>Biennial</v>
      </c>
      <c r="AE485" s="15">
        <f>_xlfn.XLOOKUP(tblMeasure[[#This Row],[id_src]],tblSource[id_src],tblSource[publication_lag_months])</f>
        <v>10</v>
      </c>
      <c r="AF485" s="25" t="str">
        <f>_xlfn.XLOOKUP(tblMeasure[[#This Row],[id_src]],tblSource[id_src],tblSource[data_providers])</f>
        <v>UCL, IFS, Manchester University, NatCen, UEA</v>
      </c>
      <c r="AG485" s="25" t="str">
        <f>_xlfn.XLOOKUP(tblMeasure[[#This Row],[id_src]],tblSource[id_src],tblSource[statistic_class])</f>
        <v>TBD</v>
      </c>
      <c r="AH485" s="25" t="str">
        <f>_xlfn.XLOOKUP(tblMeasure[[#This Row],[id_src]],tblSource[id_src],tblSource[methodology_link])</f>
        <v>https://www.ifs.org.uk/uploads/ELSA_Wave_8_report.pdf</v>
      </c>
      <c r="AI485" s="25" t="str">
        <f>_xlfn.XLOOKUP(tblMeasure[[#This Row],[id_src]],tblSource[id_src],tblSource[quality_issues])</f>
        <v>TBD</v>
      </c>
      <c r="AJ485" s="25">
        <f>VLOOKUP(tblMeasure[[#This Row],[msr_population_or_survey]],strlu_msr_population_or_survey,2,FALSE)</f>
        <v>0</v>
      </c>
      <c r="AK485" s="25">
        <f>VLOOKUP(tblMeasure[[#This Row],[msr_min_geo_resolution]],strlu_msr_min_geo_resolution,2,FALSE)</f>
        <v>0</v>
      </c>
      <c r="AL485" s="25">
        <f>(MAX(tblMeasure[[#This Row],[src_year_last_published]]-2010+1,0)+MIN(2010-tblMeasure[[#This Row],[src_year_first_published]],0)-MAX(tblMeasure[[#This Row],[src_year_last_published]]-2019,0))/10</f>
        <v>0.9</v>
      </c>
      <c r="AM485" s="25">
        <f>IF(OR(tblMeasure[[#This Row],[src_discontinuity]]="None",tblMeasure[[#This Row],[src_discontinuity]]=0),1,0)</f>
        <v>1</v>
      </c>
      <c r="AN485" s="25">
        <f>VLOOKUP(tblMeasure[[#This Row],[src_pub_frequency]],strlu_src_pub_frequency,2,FALSE)</f>
        <v>0.5</v>
      </c>
      <c r="AO485" s="25">
        <f>VLOOKUP(tblMeasure[[#This Row],[src_pub_lag_months]],strlu_src_pub_lag_months,2,FALSE)</f>
        <v>0.1</v>
      </c>
      <c r="AP485" s="25">
        <f>VLOOKUP(tblMeasure[[#This Row],[src_statistic_class]],strlu_src_statistic_class,2,FALSE)</f>
        <v>0</v>
      </c>
      <c r="AQ485" s="25">
        <f>IF(tblMeasure[[#This Row],[src_methodology_url]]="TBD",0,1)</f>
        <v>1</v>
      </c>
      <c r="AR485" s="25">
        <f>IF(tblMeasure[[#This Row],[src_quality_url]]="TBD",0,1)</f>
        <v>0</v>
      </c>
      <c r="AS485" s="85" cm="1">
        <f t="array" ref="AS485">SUMPRODUCT(TRANSPOSE(tblMeasure[[#This Row],[str_msr_population_or_survey]:[str_src_quality_url]]),str_weights)/str_weights_total</f>
        <v>0.33846153846153848</v>
      </c>
    </row>
    <row r="486" spans="1:45" hidden="1" x14ac:dyDescent="0.15">
      <c r="A486" s="30">
        <v>484</v>
      </c>
      <c r="B486" s="32">
        <f>COUNTIF(requirement_measure_map!$D$3:$D$1514,measure!A486)</f>
        <v>0</v>
      </c>
      <c r="C486" s="30" t="s">
        <v>800</v>
      </c>
      <c r="D486" s="15" t="s">
        <v>1451</v>
      </c>
      <c r="E486" s="15" t="s">
        <v>1533</v>
      </c>
      <c r="F486" s="15" t="s">
        <v>1534</v>
      </c>
      <c r="G486" s="13" t="s">
        <v>1359</v>
      </c>
      <c r="H486" s="15"/>
      <c r="I486" s="15" t="s">
        <v>429</v>
      </c>
      <c r="J486" s="15" t="s">
        <v>1360</v>
      </c>
      <c r="K486" s="15" t="s">
        <v>1474</v>
      </c>
      <c r="L486" s="15" t="s">
        <v>233</v>
      </c>
      <c r="M486" s="15" t="s">
        <v>1362</v>
      </c>
      <c r="N486" s="15" t="s">
        <v>218</v>
      </c>
      <c r="O486" s="15" t="s">
        <v>243</v>
      </c>
      <c r="P486" s="15" t="s">
        <v>219</v>
      </c>
      <c r="Q486" s="15" t="s">
        <v>219</v>
      </c>
      <c r="R486" s="15" t="s">
        <v>219</v>
      </c>
      <c r="S486" s="15" t="s">
        <v>219</v>
      </c>
      <c r="T486" s="15" t="s">
        <v>219</v>
      </c>
      <c r="U486" s="15" t="s">
        <v>219</v>
      </c>
      <c r="V486" s="15" t="s">
        <v>219</v>
      </c>
      <c r="W486" s="15">
        <v>32</v>
      </c>
      <c r="X486" s="15" t="str">
        <f>_xlfn.XLOOKUP(tblMeasure[[#This Row],[id_src]],tblSource[id_src],tblSource[org])</f>
        <v xml:space="preserve">NIH National Institute of Ageing </v>
      </c>
      <c r="Y486" s="25" t="str">
        <f>_xlfn.XLOOKUP(tblMeasure[[#This Row],[id_src]],tblSource[id_src],tblSource[source])</f>
        <v>English Longitudinal Study of Ageing</v>
      </c>
      <c r="Z486" s="25" t="str">
        <f>_xlfn.XLOOKUP(tblMeasure[[#This Row],[id_src]],tblSource[id_src],tblSource[url_source])</f>
        <v>https://www.ifs.org.uk/uploads/ELSA_Wave_8_report.pdf</v>
      </c>
      <c r="AA486" s="25">
        <f>_xlfn.XLOOKUP(tblMeasure[[#This Row],[id_src]],tblSource[id_src],tblSource[year_first_published])</f>
        <v>2002</v>
      </c>
      <c r="AB486" s="25">
        <f>_xlfn.XLOOKUP(tblMeasure[[#This Row],[id_src]],tblSource[id_src],tblSource[year_last_published])</f>
        <v>2018</v>
      </c>
      <c r="AC486" s="25">
        <f>_xlfn.XLOOKUP(tblMeasure[[#This Row],[id_src]],tblSource[id_src],tblSource[discontinuity])</f>
        <v>0</v>
      </c>
      <c r="AD486" s="25" t="str">
        <f>_xlfn.XLOOKUP(tblMeasure[[#This Row],[id_src]],tblSource[id_src],tblSource[publication_frequency])</f>
        <v>Biennial</v>
      </c>
      <c r="AE486" s="15">
        <f>_xlfn.XLOOKUP(tblMeasure[[#This Row],[id_src]],tblSource[id_src],tblSource[publication_lag_months])</f>
        <v>10</v>
      </c>
      <c r="AF486" s="25" t="str">
        <f>_xlfn.XLOOKUP(tblMeasure[[#This Row],[id_src]],tblSource[id_src],tblSource[data_providers])</f>
        <v>UCL, IFS, Manchester University, NatCen, UEA</v>
      </c>
      <c r="AG486" s="25" t="str">
        <f>_xlfn.XLOOKUP(tblMeasure[[#This Row],[id_src]],tblSource[id_src],tblSource[statistic_class])</f>
        <v>TBD</v>
      </c>
      <c r="AH486" s="25" t="str">
        <f>_xlfn.XLOOKUP(tblMeasure[[#This Row],[id_src]],tblSource[id_src],tblSource[methodology_link])</f>
        <v>https://www.ifs.org.uk/uploads/ELSA_Wave_8_report.pdf</v>
      </c>
      <c r="AI486" s="25" t="str">
        <f>_xlfn.XLOOKUP(tblMeasure[[#This Row],[id_src]],tblSource[id_src],tblSource[quality_issues])</f>
        <v>TBD</v>
      </c>
      <c r="AJ486" s="25">
        <f>VLOOKUP(tblMeasure[[#This Row],[msr_population_or_survey]],strlu_msr_population_or_survey,2,FALSE)</f>
        <v>0</v>
      </c>
      <c r="AK486" s="25">
        <f>VLOOKUP(tblMeasure[[#This Row],[msr_min_geo_resolution]],strlu_msr_min_geo_resolution,2,FALSE)</f>
        <v>0</v>
      </c>
      <c r="AL486" s="25">
        <f>(MAX(tblMeasure[[#This Row],[src_year_last_published]]-2010+1,0)+MIN(2010-tblMeasure[[#This Row],[src_year_first_published]],0)-MAX(tblMeasure[[#This Row],[src_year_last_published]]-2019,0))/10</f>
        <v>0.9</v>
      </c>
      <c r="AM486" s="25">
        <f>IF(OR(tblMeasure[[#This Row],[src_discontinuity]]="None",tblMeasure[[#This Row],[src_discontinuity]]=0),1,0)</f>
        <v>1</v>
      </c>
      <c r="AN486" s="25">
        <f>VLOOKUP(tblMeasure[[#This Row],[src_pub_frequency]],strlu_src_pub_frequency,2,FALSE)</f>
        <v>0.5</v>
      </c>
      <c r="AO486" s="25">
        <f>VLOOKUP(tblMeasure[[#This Row],[src_pub_lag_months]],strlu_src_pub_lag_months,2,FALSE)</f>
        <v>0.1</v>
      </c>
      <c r="AP486" s="25">
        <f>VLOOKUP(tblMeasure[[#This Row],[src_statistic_class]],strlu_src_statistic_class,2,FALSE)</f>
        <v>0</v>
      </c>
      <c r="AQ486" s="25">
        <f>IF(tblMeasure[[#This Row],[src_methodology_url]]="TBD",0,1)</f>
        <v>1</v>
      </c>
      <c r="AR486" s="25">
        <f>IF(tblMeasure[[#This Row],[src_quality_url]]="TBD",0,1)</f>
        <v>0</v>
      </c>
      <c r="AS486" s="85" cm="1">
        <f t="array" ref="AS486">SUMPRODUCT(TRANSPOSE(tblMeasure[[#This Row],[str_msr_population_or_survey]:[str_src_quality_url]]),str_weights)/str_weights_total</f>
        <v>0.33846153846153848</v>
      </c>
    </row>
    <row r="487" spans="1:45" hidden="1" x14ac:dyDescent="0.15">
      <c r="A487" s="30">
        <v>485</v>
      </c>
      <c r="B487" s="32">
        <f>COUNTIF(requirement_measure_map!$D$3:$D$1514,measure!A487)</f>
        <v>0</v>
      </c>
      <c r="C487" s="30" t="s">
        <v>800</v>
      </c>
      <c r="D487" s="15" t="s">
        <v>1451</v>
      </c>
      <c r="E487" s="15" t="s">
        <v>1535</v>
      </c>
      <c r="F487" s="15" t="s">
        <v>1536</v>
      </c>
      <c r="G487" s="13" t="s">
        <v>1359</v>
      </c>
      <c r="H487" s="15"/>
      <c r="I487" s="15" t="s">
        <v>429</v>
      </c>
      <c r="J487" s="15" t="s">
        <v>1360</v>
      </c>
      <c r="K487" s="15" t="s">
        <v>1474</v>
      </c>
      <c r="L487" s="15" t="s">
        <v>233</v>
      </c>
      <c r="M487" s="15" t="s">
        <v>746</v>
      </c>
      <c r="N487" s="15" t="s">
        <v>218</v>
      </c>
      <c r="O487" s="15" t="s">
        <v>1362</v>
      </c>
      <c r="P487" s="15" t="s">
        <v>219</v>
      </c>
      <c r="Q487" s="15" t="s">
        <v>219</v>
      </c>
      <c r="R487" s="15" t="s">
        <v>219</v>
      </c>
      <c r="S487" s="15" t="s">
        <v>219</v>
      </c>
      <c r="T487" s="15" t="s">
        <v>219</v>
      </c>
      <c r="U487" s="15" t="s">
        <v>219</v>
      </c>
      <c r="V487" s="15" t="s">
        <v>219</v>
      </c>
      <c r="W487" s="15">
        <v>32</v>
      </c>
      <c r="X487" s="15" t="str">
        <f>_xlfn.XLOOKUP(tblMeasure[[#This Row],[id_src]],tblSource[id_src],tblSource[org])</f>
        <v xml:space="preserve">NIH National Institute of Ageing </v>
      </c>
      <c r="Y487" s="25" t="str">
        <f>_xlfn.XLOOKUP(tblMeasure[[#This Row],[id_src]],tblSource[id_src],tblSource[source])</f>
        <v>English Longitudinal Study of Ageing</v>
      </c>
      <c r="Z487" s="25" t="str">
        <f>_xlfn.XLOOKUP(tblMeasure[[#This Row],[id_src]],tblSource[id_src],tblSource[url_source])</f>
        <v>https://www.ifs.org.uk/uploads/ELSA_Wave_8_report.pdf</v>
      </c>
      <c r="AA487" s="25">
        <f>_xlfn.XLOOKUP(tblMeasure[[#This Row],[id_src]],tblSource[id_src],tblSource[year_first_published])</f>
        <v>2002</v>
      </c>
      <c r="AB487" s="25">
        <f>_xlfn.XLOOKUP(tblMeasure[[#This Row],[id_src]],tblSource[id_src],tblSource[year_last_published])</f>
        <v>2018</v>
      </c>
      <c r="AC487" s="25">
        <f>_xlfn.XLOOKUP(tblMeasure[[#This Row],[id_src]],tblSource[id_src],tblSource[discontinuity])</f>
        <v>0</v>
      </c>
      <c r="AD487" s="25" t="str">
        <f>_xlfn.XLOOKUP(tblMeasure[[#This Row],[id_src]],tblSource[id_src],tblSource[publication_frequency])</f>
        <v>Biennial</v>
      </c>
      <c r="AE487" s="15">
        <f>_xlfn.XLOOKUP(tblMeasure[[#This Row],[id_src]],tblSource[id_src],tblSource[publication_lag_months])</f>
        <v>10</v>
      </c>
      <c r="AF487" s="25" t="str">
        <f>_xlfn.XLOOKUP(tblMeasure[[#This Row],[id_src]],tblSource[id_src],tblSource[data_providers])</f>
        <v>UCL, IFS, Manchester University, NatCen, UEA</v>
      </c>
      <c r="AG487" s="25" t="str">
        <f>_xlfn.XLOOKUP(tblMeasure[[#This Row],[id_src]],tblSource[id_src],tblSource[statistic_class])</f>
        <v>TBD</v>
      </c>
      <c r="AH487" s="25" t="str">
        <f>_xlfn.XLOOKUP(tblMeasure[[#This Row],[id_src]],tblSource[id_src],tblSource[methodology_link])</f>
        <v>https://www.ifs.org.uk/uploads/ELSA_Wave_8_report.pdf</v>
      </c>
      <c r="AI487" s="25" t="str">
        <f>_xlfn.XLOOKUP(tblMeasure[[#This Row],[id_src]],tblSource[id_src],tblSource[quality_issues])</f>
        <v>TBD</v>
      </c>
      <c r="AJ487" s="25">
        <f>VLOOKUP(tblMeasure[[#This Row],[msr_population_or_survey]],strlu_msr_population_or_survey,2,FALSE)</f>
        <v>0</v>
      </c>
      <c r="AK487" s="25">
        <f>VLOOKUP(tblMeasure[[#This Row],[msr_min_geo_resolution]],strlu_msr_min_geo_resolution,2,FALSE)</f>
        <v>0</v>
      </c>
      <c r="AL487" s="25">
        <f>(MAX(tblMeasure[[#This Row],[src_year_last_published]]-2010+1,0)+MIN(2010-tblMeasure[[#This Row],[src_year_first_published]],0)-MAX(tblMeasure[[#This Row],[src_year_last_published]]-2019,0))/10</f>
        <v>0.9</v>
      </c>
      <c r="AM487" s="25">
        <f>IF(OR(tblMeasure[[#This Row],[src_discontinuity]]="None",tblMeasure[[#This Row],[src_discontinuity]]=0),1,0)</f>
        <v>1</v>
      </c>
      <c r="AN487" s="25">
        <f>VLOOKUP(tblMeasure[[#This Row],[src_pub_frequency]],strlu_src_pub_frequency,2,FALSE)</f>
        <v>0.5</v>
      </c>
      <c r="AO487" s="25">
        <f>VLOOKUP(tblMeasure[[#This Row],[src_pub_lag_months]],strlu_src_pub_lag_months,2,FALSE)</f>
        <v>0.1</v>
      </c>
      <c r="AP487" s="25">
        <f>VLOOKUP(tblMeasure[[#This Row],[src_statistic_class]],strlu_src_statistic_class,2,FALSE)</f>
        <v>0</v>
      </c>
      <c r="AQ487" s="25">
        <f>IF(tblMeasure[[#This Row],[src_methodology_url]]="TBD",0,1)</f>
        <v>1</v>
      </c>
      <c r="AR487" s="25">
        <f>IF(tblMeasure[[#This Row],[src_quality_url]]="TBD",0,1)</f>
        <v>0</v>
      </c>
      <c r="AS487" s="85" cm="1">
        <f t="array" ref="AS487">SUMPRODUCT(TRANSPOSE(tblMeasure[[#This Row],[str_msr_population_or_survey]:[str_src_quality_url]]),str_weights)/str_weights_total</f>
        <v>0.33846153846153848</v>
      </c>
    </row>
    <row r="488" spans="1:45" hidden="1" x14ac:dyDescent="0.15">
      <c r="A488" s="30">
        <v>486</v>
      </c>
      <c r="B488" s="32">
        <f>COUNTIF(requirement_measure_map!$D$3:$D$1514,measure!A488)</f>
        <v>0</v>
      </c>
      <c r="C488" s="30" t="s">
        <v>800</v>
      </c>
      <c r="D488" s="15" t="s">
        <v>1451</v>
      </c>
      <c r="E488" s="15" t="s">
        <v>1537</v>
      </c>
      <c r="F488" s="15" t="s">
        <v>1538</v>
      </c>
      <c r="G488" s="13" t="s">
        <v>1359</v>
      </c>
      <c r="H488" s="15"/>
      <c r="I488" s="15" t="s">
        <v>429</v>
      </c>
      <c r="J488" s="15" t="s">
        <v>1360</v>
      </c>
      <c r="K488" s="15" t="s">
        <v>1474</v>
      </c>
      <c r="L488" s="15" t="s">
        <v>233</v>
      </c>
      <c r="M488" s="15" t="s">
        <v>1362</v>
      </c>
      <c r="N488" s="15" t="s">
        <v>218</v>
      </c>
      <c r="O488" s="15" t="s">
        <v>243</v>
      </c>
      <c r="P488" s="15" t="s">
        <v>219</v>
      </c>
      <c r="Q488" s="15" t="s">
        <v>219</v>
      </c>
      <c r="R488" s="15" t="s">
        <v>219</v>
      </c>
      <c r="S488" s="15" t="s">
        <v>219</v>
      </c>
      <c r="T488" s="15" t="s">
        <v>219</v>
      </c>
      <c r="U488" s="15" t="s">
        <v>219</v>
      </c>
      <c r="V488" s="15" t="s">
        <v>219</v>
      </c>
      <c r="W488" s="15">
        <v>32</v>
      </c>
      <c r="X488" s="15" t="str">
        <f>_xlfn.XLOOKUP(tblMeasure[[#This Row],[id_src]],tblSource[id_src],tblSource[org])</f>
        <v xml:space="preserve">NIH National Institute of Ageing </v>
      </c>
      <c r="Y488" s="25" t="str">
        <f>_xlfn.XLOOKUP(tblMeasure[[#This Row],[id_src]],tblSource[id_src],tblSource[source])</f>
        <v>English Longitudinal Study of Ageing</v>
      </c>
      <c r="Z488" s="25" t="str">
        <f>_xlfn.XLOOKUP(tblMeasure[[#This Row],[id_src]],tblSource[id_src],tblSource[url_source])</f>
        <v>https://www.ifs.org.uk/uploads/ELSA_Wave_8_report.pdf</v>
      </c>
      <c r="AA488" s="25">
        <f>_xlfn.XLOOKUP(tblMeasure[[#This Row],[id_src]],tblSource[id_src],tblSource[year_first_published])</f>
        <v>2002</v>
      </c>
      <c r="AB488" s="25">
        <f>_xlfn.XLOOKUP(tblMeasure[[#This Row],[id_src]],tblSource[id_src],tblSource[year_last_published])</f>
        <v>2018</v>
      </c>
      <c r="AC488" s="25">
        <f>_xlfn.XLOOKUP(tblMeasure[[#This Row],[id_src]],tblSource[id_src],tblSource[discontinuity])</f>
        <v>0</v>
      </c>
      <c r="AD488" s="25" t="str">
        <f>_xlfn.XLOOKUP(tblMeasure[[#This Row],[id_src]],tblSource[id_src],tblSource[publication_frequency])</f>
        <v>Biennial</v>
      </c>
      <c r="AE488" s="15">
        <f>_xlfn.XLOOKUP(tblMeasure[[#This Row],[id_src]],tblSource[id_src],tblSource[publication_lag_months])</f>
        <v>10</v>
      </c>
      <c r="AF488" s="25" t="str">
        <f>_xlfn.XLOOKUP(tblMeasure[[#This Row],[id_src]],tblSource[id_src],tblSource[data_providers])</f>
        <v>UCL, IFS, Manchester University, NatCen, UEA</v>
      </c>
      <c r="AG488" s="25" t="str">
        <f>_xlfn.XLOOKUP(tblMeasure[[#This Row],[id_src]],tblSource[id_src],tblSource[statistic_class])</f>
        <v>TBD</v>
      </c>
      <c r="AH488" s="25" t="str">
        <f>_xlfn.XLOOKUP(tblMeasure[[#This Row],[id_src]],tblSource[id_src],tblSource[methodology_link])</f>
        <v>https://www.ifs.org.uk/uploads/ELSA_Wave_8_report.pdf</v>
      </c>
      <c r="AI488" s="25" t="str">
        <f>_xlfn.XLOOKUP(tblMeasure[[#This Row],[id_src]],tblSource[id_src],tblSource[quality_issues])</f>
        <v>TBD</v>
      </c>
      <c r="AJ488" s="25">
        <f>VLOOKUP(tblMeasure[[#This Row],[msr_population_or_survey]],strlu_msr_population_or_survey,2,FALSE)</f>
        <v>0</v>
      </c>
      <c r="AK488" s="25">
        <f>VLOOKUP(tblMeasure[[#This Row],[msr_min_geo_resolution]],strlu_msr_min_geo_resolution,2,FALSE)</f>
        <v>0</v>
      </c>
      <c r="AL488" s="25">
        <f>(MAX(tblMeasure[[#This Row],[src_year_last_published]]-2010+1,0)+MIN(2010-tblMeasure[[#This Row],[src_year_first_published]],0)-MAX(tblMeasure[[#This Row],[src_year_last_published]]-2019,0))/10</f>
        <v>0.9</v>
      </c>
      <c r="AM488" s="25">
        <f>IF(OR(tblMeasure[[#This Row],[src_discontinuity]]="None",tblMeasure[[#This Row],[src_discontinuity]]=0),1,0)</f>
        <v>1</v>
      </c>
      <c r="AN488" s="25">
        <f>VLOOKUP(tblMeasure[[#This Row],[src_pub_frequency]],strlu_src_pub_frequency,2,FALSE)</f>
        <v>0.5</v>
      </c>
      <c r="AO488" s="25">
        <f>VLOOKUP(tblMeasure[[#This Row],[src_pub_lag_months]],strlu_src_pub_lag_months,2,FALSE)</f>
        <v>0.1</v>
      </c>
      <c r="AP488" s="25">
        <f>VLOOKUP(tblMeasure[[#This Row],[src_statistic_class]],strlu_src_statistic_class,2,FALSE)</f>
        <v>0</v>
      </c>
      <c r="AQ488" s="25">
        <f>IF(tblMeasure[[#This Row],[src_methodology_url]]="TBD",0,1)</f>
        <v>1</v>
      </c>
      <c r="AR488" s="25">
        <f>IF(tblMeasure[[#This Row],[src_quality_url]]="TBD",0,1)</f>
        <v>0</v>
      </c>
      <c r="AS488" s="85" cm="1">
        <f t="array" ref="AS488">SUMPRODUCT(TRANSPOSE(tblMeasure[[#This Row],[str_msr_population_or_survey]:[str_src_quality_url]]),str_weights)/str_weights_total</f>
        <v>0.33846153846153848</v>
      </c>
    </row>
    <row r="489" spans="1:45" hidden="1" x14ac:dyDescent="0.15">
      <c r="A489" s="30">
        <v>487</v>
      </c>
      <c r="B489" s="32">
        <f>COUNTIF(requirement_measure_map!$D$3:$D$1514,measure!A489)</f>
        <v>0</v>
      </c>
      <c r="C489" s="30" t="s">
        <v>800</v>
      </c>
      <c r="D489" s="15" t="s">
        <v>1451</v>
      </c>
      <c r="E489" s="15" t="s">
        <v>1539</v>
      </c>
      <c r="F489" s="15" t="s">
        <v>1540</v>
      </c>
      <c r="G489" s="13" t="s">
        <v>1359</v>
      </c>
      <c r="H489" s="15"/>
      <c r="I489" s="15" t="s">
        <v>429</v>
      </c>
      <c r="J489" s="15" t="s">
        <v>1360</v>
      </c>
      <c r="K489" s="15" t="s">
        <v>1483</v>
      </c>
      <c r="L489" s="15" t="s">
        <v>233</v>
      </c>
      <c r="M489" s="15" t="s">
        <v>746</v>
      </c>
      <c r="N489" s="15" t="s">
        <v>218</v>
      </c>
      <c r="O489" s="15" t="s">
        <v>1362</v>
      </c>
      <c r="P489" s="15" t="s">
        <v>219</v>
      </c>
      <c r="Q489" s="15" t="s">
        <v>219</v>
      </c>
      <c r="R489" s="15" t="s">
        <v>219</v>
      </c>
      <c r="S489" s="15" t="s">
        <v>219</v>
      </c>
      <c r="T489" s="15" t="s">
        <v>219</v>
      </c>
      <c r="U489" s="15" t="s">
        <v>219</v>
      </c>
      <c r="V489" s="15" t="s">
        <v>219</v>
      </c>
      <c r="W489" s="15">
        <v>32</v>
      </c>
      <c r="X489" s="15" t="str">
        <f>_xlfn.XLOOKUP(tblMeasure[[#This Row],[id_src]],tblSource[id_src],tblSource[org])</f>
        <v xml:space="preserve">NIH National Institute of Ageing </v>
      </c>
      <c r="Y489" s="25" t="str">
        <f>_xlfn.XLOOKUP(tblMeasure[[#This Row],[id_src]],tblSource[id_src],tblSource[source])</f>
        <v>English Longitudinal Study of Ageing</v>
      </c>
      <c r="Z489" s="25" t="str">
        <f>_xlfn.XLOOKUP(tblMeasure[[#This Row],[id_src]],tblSource[id_src],tblSource[url_source])</f>
        <v>https://www.ifs.org.uk/uploads/ELSA_Wave_8_report.pdf</v>
      </c>
      <c r="AA489" s="25">
        <f>_xlfn.XLOOKUP(tblMeasure[[#This Row],[id_src]],tblSource[id_src],tblSource[year_first_published])</f>
        <v>2002</v>
      </c>
      <c r="AB489" s="25">
        <f>_xlfn.XLOOKUP(tblMeasure[[#This Row],[id_src]],tblSource[id_src],tblSource[year_last_published])</f>
        <v>2018</v>
      </c>
      <c r="AC489" s="25">
        <f>_xlfn.XLOOKUP(tblMeasure[[#This Row],[id_src]],tblSource[id_src],tblSource[discontinuity])</f>
        <v>0</v>
      </c>
      <c r="AD489" s="25" t="str">
        <f>_xlfn.XLOOKUP(tblMeasure[[#This Row],[id_src]],tblSource[id_src],tblSource[publication_frequency])</f>
        <v>Biennial</v>
      </c>
      <c r="AE489" s="15">
        <f>_xlfn.XLOOKUP(tblMeasure[[#This Row],[id_src]],tblSource[id_src],tblSource[publication_lag_months])</f>
        <v>10</v>
      </c>
      <c r="AF489" s="25" t="str">
        <f>_xlfn.XLOOKUP(tblMeasure[[#This Row],[id_src]],tblSource[id_src],tblSource[data_providers])</f>
        <v>UCL, IFS, Manchester University, NatCen, UEA</v>
      </c>
      <c r="AG489" s="25" t="str">
        <f>_xlfn.XLOOKUP(tblMeasure[[#This Row],[id_src]],tblSource[id_src],tblSource[statistic_class])</f>
        <v>TBD</v>
      </c>
      <c r="AH489" s="25" t="str">
        <f>_xlfn.XLOOKUP(tblMeasure[[#This Row],[id_src]],tblSource[id_src],tblSource[methodology_link])</f>
        <v>https://www.ifs.org.uk/uploads/ELSA_Wave_8_report.pdf</v>
      </c>
      <c r="AI489" s="25" t="str">
        <f>_xlfn.XLOOKUP(tblMeasure[[#This Row],[id_src]],tblSource[id_src],tblSource[quality_issues])</f>
        <v>TBD</v>
      </c>
      <c r="AJ489" s="25">
        <f>VLOOKUP(tblMeasure[[#This Row],[msr_population_or_survey]],strlu_msr_population_or_survey,2,FALSE)</f>
        <v>0</v>
      </c>
      <c r="AK489" s="25">
        <f>VLOOKUP(tblMeasure[[#This Row],[msr_min_geo_resolution]],strlu_msr_min_geo_resolution,2,FALSE)</f>
        <v>0</v>
      </c>
      <c r="AL489" s="25">
        <f>(MAX(tblMeasure[[#This Row],[src_year_last_published]]-2010+1,0)+MIN(2010-tblMeasure[[#This Row],[src_year_first_published]],0)-MAX(tblMeasure[[#This Row],[src_year_last_published]]-2019,0))/10</f>
        <v>0.9</v>
      </c>
      <c r="AM489" s="25">
        <f>IF(OR(tblMeasure[[#This Row],[src_discontinuity]]="None",tblMeasure[[#This Row],[src_discontinuity]]=0),1,0)</f>
        <v>1</v>
      </c>
      <c r="AN489" s="25">
        <f>VLOOKUP(tblMeasure[[#This Row],[src_pub_frequency]],strlu_src_pub_frequency,2,FALSE)</f>
        <v>0.5</v>
      </c>
      <c r="AO489" s="25">
        <f>VLOOKUP(tblMeasure[[#This Row],[src_pub_lag_months]],strlu_src_pub_lag_months,2,FALSE)</f>
        <v>0.1</v>
      </c>
      <c r="AP489" s="25">
        <f>VLOOKUP(tblMeasure[[#This Row],[src_statistic_class]],strlu_src_statistic_class,2,FALSE)</f>
        <v>0</v>
      </c>
      <c r="AQ489" s="25">
        <f>IF(tblMeasure[[#This Row],[src_methodology_url]]="TBD",0,1)</f>
        <v>1</v>
      </c>
      <c r="AR489" s="25">
        <f>IF(tblMeasure[[#This Row],[src_quality_url]]="TBD",0,1)</f>
        <v>0</v>
      </c>
      <c r="AS489" s="85" cm="1">
        <f t="array" ref="AS489">SUMPRODUCT(TRANSPOSE(tblMeasure[[#This Row],[str_msr_population_or_survey]:[str_src_quality_url]]),str_weights)/str_weights_total</f>
        <v>0.33846153846153848</v>
      </c>
    </row>
    <row r="490" spans="1:45" hidden="1" x14ac:dyDescent="0.15">
      <c r="A490" s="30">
        <v>488</v>
      </c>
      <c r="B490" s="32">
        <f>COUNTIF(requirement_measure_map!$D$3:$D$1514,measure!A490)</f>
        <v>0</v>
      </c>
      <c r="C490" s="30" t="s">
        <v>800</v>
      </c>
      <c r="D490" s="15" t="s">
        <v>1451</v>
      </c>
      <c r="E490" s="15" t="s">
        <v>1541</v>
      </c>
      <c r="F490" s="15" t="s">
        <v>1542</v>
      </c>
      <c r="G490" s="13" t="s">
        <v>1359</v>
      </c>
      <c r="H490" s="15"/>
      <c r="I490" s="15" t="s">
        <v>429</v>
      </c>
      <c r="J490" s="15" t="s">
        <v>1360</v>
      </c>
      <c r="K490" s="15" t="s">
        <v>1483</v>
      </c>
      <c r="L490" s="15" t="s">
        <v>233</v>
      </c>
      <c r="M490" s="15" t="s">
        <v>1362</v>
      </c>
      <c r="N490" s="15" t="s">
        <v>218</v>
      </c>
      <c r="O490" s="15" t="s">
        <v>243</v>
      </c>
      <c r="P490" s="15" t="s">
        <v>219</v>
      </c>
      <c r="Q490" s="15" t="s">
        <v>219</v>
      </c>
      <c r="R490" s="15" t="s">
        <v>219</v>
      </c>
      <c r="S490" s="15" t="s">
        <v>219</v>
      </c>
      <c r="T490" s="15" t="s">
        <v>219</v>
      </c>
      <c r="U490" s="15" t="s">
        <v>219</v>
      </c>
      <c r="V490" s="15" t="s">
        <v>219</v>
      </c>
      <c r="W490" s="15">
        <v>32</v>
      </c>
      <c r="X490" s="15" t="str">
        <f>_xlfn.XLOOKUP(tblMeasure[[#This Row],[id_src]],tblSource[id_src],tblSource[org])</f>
        <v xml:space="preserve">NIH National Institute of Ageing </v>
      </c>
      <c r="Y490" s="25" t="str">
        <f>_xlfn.XLOOKUP(tblMeasure[[#This Row],[id_src]],tblSource[id_src],tblSource[source])</f>
        <v>English Longitudinal Study of Ageing</v>
      </c>
      <c r="Z490" s="25" t="str">
        <f>_xlfn.XLOOKUP(tblMeasure[[#This Row],[id_src]],tblSource[id_src],tblSource[url_source])</f>
        <v>https://www.ifs.org.uk/uploads/ELSA_Wave_8_report.pdf</v>
      </c>
      <c r="AA490" s="25">
        <f>_xlfn.XLOOKUP(tblMeasure[[#This Row],[id_src]],tblSource[id_src],tblSource[year_first_published])</f>
        <v>2002</v>
      </c>
      <c r="AB490" s="25">
        <f>_xlfn.XLOOKUP(tblMeasure[[#This Row],[id_src]],tblSource[id_src],tblSource[year_last_published])</f>
        <v>2018</v>
      </c>
      <c r="AC490" s="25">
        <f>_xlfn.XLOOKUP(tblMeasure[[#This Row],[id_src]],tblSource[id_src],tblSource[discontinuity])</f>
        <v>0</v>
      </c>
      <c r="AD490" s="25" t="str">
        <f>_xlfn.XLOOKUP(tblMeasure[[#This Row],[id_src]],tblSource[id_src],tblSource[publication_frequency])</f>
        <v>Biennial</v>
      </c>
      <c r="AE490" s="15">
        <f>_xlfn.XLOOKUP(tblMeasure[[#This Row],[id_src]],tblSource[id_src],tblSource[publication_lag_months])</f>
        <v>10</v>
      </c>
      <c r="AF490" s="25" t="str">
        <f>_xlfn.XLOOKUP(tblMeasure[[#This Row],[id_src]],tblSource[id_src],tblSource[data_providers])</f>
        <v>UCL, IFS, Manchester University, NatCen, UEA</v>
      </c>
      <c r="AG490" s="25" t="str">
        <f>_xlfn.XLOOKUP(tblMeasure[[#This Row],[id_src]],tblSource[id_src],tblSource[statistic_class])</f>
        <v>TBD</v>
      </c>
      <c r="AH490" s="25" t="str">
        <f>_xlfn.XLOOKUP(tblMeasure[[#This Row],[id_src]],tblSource[id_src],tblSource[methodology_link])</f>
        <v>https://www.ifs.org.uk/uploads/ELSA_Wave_8_report.pdf</v>
      </c>
      <c r="AI490" s="25" t="str">
        <f>_xlfn.XLOOKUP(tblMeasure[[#This Row],[id_src]],tblSource[id_src],tblSource[quality_issues])</f>
        <v>TBD</v>
      </c>
      <c r="AJ490" s="25">
        <f>VLOOKUP(tblMeasure[[#This Row],[msr_population_or_survey]],strlu_msr_population_or_survey,2,FALSE)</f>
        <v>0</v>
      </c>
      <c r="AK490" s="25">
        <f>VLOOKUP(tblMeasure[[#This Row],[msr_min_geo_resolution]],strlu_msr_min_geo_resolution,2,FALSE)</f>
        <v>0</v>
      </c>
      <c r="AL490" s="25">
        <f>(MAX(tblMeasure[[#This Row],[src_year_last_published]]-2010+1,0)+MIN(2010-tblMeasure[[#This Row],[src_year_first_published]],0)-MAX(tblMeasure[[#This Row],[src_year_last_published]]-2019,0))/10</f>
        <v>0.9</v>
      </c>
      <c r="AM490" s="25">
        <f>IF(OR(tblMeasure[[#This Row],[src_discontinuity]]="None",tblMeasure[[#This Row],[src_discontinuity]]=0),1,0)</f>
        <v>1</v>
      </c>
      <c r="AN490" s="25">
        <f>VLOOKUP(tblMeasure[[#This Row],[src_pub_frequency]],strlu_src_pub_frequency,2,FALSE)</f>
        <v>0.5</v>
      </c>
      <c r="AO490" s="25">
        <f>VLOOKUP(tblMeasure[[#This Row],[src_pub_lag_months]],strlu_src_pub_lag_months,2,FALSE)</f>
        <v>0.1</v>
      </c>
      <c r="AP490" s="25">
        <f>VLOOKUP(tblMeasure[[#This Row],[src_statistic_class]],strlu_src_statistic_class,2,FALSE)</f>
        <v>0</v>
      </c>
      <c r="AQ490" s="25">
        <f>IF(tblMeasure[[#This Row],[src_methodology_url]]="TBD",0,1)</f>
        <v>1</v>
      </c>
      <c r="AR490" s="25">
        <f>IF(tblMeasure[[#This Row],[src_quality_url]]="TBD",0,1)</f>
        <v>0</v>
      </c>
      <c r="AS490" s="85" cm="1">
        <f t="array" ref="AS490">SUMPRODUCT(TRANSPOSE(tblMeasure[[#This Row],[str_msr_population_or_survey]:[str_src_quality_url]]),str_weights)/str_weights_total</f>
        <v>0.33846153846153848</v>
      </c>
    </row>
    <row r="491" spans="1:45" hidden="1" x14ac:dyDescent="0.15">
      <c r="A491" s="30">
        <v>489</v>
      </c>
      <c r="B491" s="32">
        <f>COUNTIF(requirement_measure_map!$D$3:$D$1514,measure!A491)</f>
        <v>0</v>
      </c>
      <c r="C491" s="30" t="s">
        <v>800</v>
      </c>
      <c r="D491" s="15" t="s">
        <v>1451</v>
      </c>
      <c r="E491" s="15" t="s">
        <v>1543</v>
      </c>
      <c r="F491" s="15" t="s">
        <v>1544</v>
      </c>
      <c r="G491" s="13" t="s">
        <v>1359</v>
      </c>
      <c r="H491" s="15"/>
      <c r="I491" s="15" t="s">
        <v>429</v>
      </c>
      <c r="J491" s="15" t="s">
        <v>1360</v>
      </c>
      <c r="K491" s="15" t="s">
        <v>1483</v>
      </c>
      <c r="L491" s="15" t="s">
        <v>233</v>
      </c>
      <c r="M491" s="15" t="s">
        <v>746</v>
      </c>
      <c r="N491" s="15" t="s">
        <v>218</v>
      </c>
      <c r="O491" s="15" t="s">
        <v>1362</v>
      </c>
      <c r="P491" s="15" t="s">
        <v>219</v>
      </c>
      <c r="Q491" s="15" t="s">
        <v>219</v>
      </c>
      <c r="R491" s="15" t="s">
        <v>219</v>
      </c>
      <c r="S491" s="15" t="s">
        <v>219</v>
      </c>
      <c r="T491" s="15" t="s">
        <v>219</v>
      </c>
      <c r="U491" s="15" t="s">
        <v>219</v>
      </c>
      <c r="V491" s="15" t="s">
        <v>219</v>
      </c>
      <c r="W491" s="15">
        <v>32</v>
      </c>
      <c r="X491" s="15" t="str">
        <f>_xlfn.XLOOKUP(tblMeasure[[#This Row],[id_src]],tblSource[id_src],tblSource[org])</f>
        <v xml:space="preserve">NIH National Institute of Ageing </v>
      </c>
      <c r="Y491" s="25" t="str">
        <f>_xlfn.XLOOKUP(tblMeasure[[#This Row],[id_src]],tblSource[id_src],tblSource[source])</f>
        <v>English Longitudinal Study of Ageing</v>
      </c>
      <c r="Z491" s="25" t="str">
        <f>_xlfn.XLOOKUP(tblMeasure[[#This Row],[id_src]],tblSource[id_src],tblSource[url_source])</f>
        <v>https://www.ifs.org.uk/uploads/ELSA_Wave_8_report.pdf</v>
      </c>
      <c r="AA491" s="25">
        <f>_xlfn.XLOOKUP(tblMeasure[[#This Row],[id_src]],tblSource[id_src],tblSource[year_first_published])</f>
        <v>2002</v>
      </c>
      <c r="AB491" s="25">
        <f>_xlfn.XLOOKUP(tblMeasure[[#This Row],[id_src]],tblSource[id_src],tblSource[year_last_published])</f>
        <v>2018</v>
      </c>
      <c r="AC491" s="25">
        <f>_xlfn.XLOOKUP(tblMeasure[[#This Row],[id_src]],tblSource[id_src],tblSource[discontinuity])</f>
        <v>0</v>
      </c>
      <c r="AD491" s="25" t="str">
        <f>_xlfn.XLOOKUP(tblMeasure[[#This Row],[id_src]],tblSource[id_src],tblSource[publication_frequency])</f>
        <v>Biennial</v>
      </c>
      <c r="AE491" s="15">
        <f>_xlfn.XLOOKUP(tblMeasure[[#This Row],[id_src]],tblSource[id_src],tblSource[publication_lag_months])</f>
        <v>10</v>
      </c>
      <c r="AF491" s="25" t="str">
        <f>_xlfn.XLOOKUP(tblMeasure[[#This Row],[id_src]],tblSource[id_src],tblSource[data_providers])</f>
        <v>UCL, IFS, Manchester University, NatCen, UEA</v>
      </c>
      <c r="AG491" s="25" t="str">
        <f>_xlfn.XLOOKUP(tblMeasure[[#This Row],[id_src]],tblSource[id_src],tblSource[statistic_class])</f>
        <v>TBD</v>
      </c>
      <c r="AH491" s="25" t="str">
        <f>_xlfn.XLOOKUP(tblMeasure[[#This Row],[id_src]],tblSource[id_src],tblSource[methodology_link])</f>
        <v>https://www.ifs.org.uk/uploads/ELSA_Wave_8_report.pdf</v>
      </c>
      <c r="AI491" s="25" t="str">
        <f>_xlfn.XLOOKUP(tblMeasure[[#This Row],[id_src]],tblSource[id_src],tblSource[quality_issues])</f>
        <v>TBD</v>
      </c>
      <c r="AJ491" s="25">
        <f>VLOOKUP(tblMeasure[[#This Row],[msr_population_or_survey]],strlu_msr_population_or_survey,2,FALSE)</f>
        <v>0</v>
      </c>
      <c r="AK491" s="25">
        <f>VLOOKUP(tblMeasure[[#This Row],[msr_min_geo_resolution]],strlu_msr_min_geo_resolution,2,FALSE)</f>
        <v>0</v>
      </c>
      <c r="AL491" s="25">
        <f>(MAX(tblMeasure[[#This Row],[src_year_last_published]]-2010+1,0)+MIN(2010-tblMeasure[[#This Row],[src_year_first_published]],0)-MAX(tblMeasure[[#This Row],[src_year_last_published]]-2019,0))/10</f>
        <v>0.9</v>
      </c>
      <c r="AM491" s="25">
        <f>IF(OR(tblMeasure[[#This Row],[src_discontinuity]]="None",tblMeasure[[#This Row],[src_discontinuity]]=0),1,0)</f>
        <v>1</v>
      </c>
      <c r="AN491" s="25">
        <f>VLOOKUP(tblMeasure[[#This Row],[src_pub_frequency]],strlu_src_pub_frequency,2,FALSE)</f>
        <v>0.5</v>
      </c>
      <c r="AO491" s="25">
        <f>VLOOKUP(tblMeasure[[#This Row],[src_pub_lag_months]],strlu_src_pub_lag_months,2,FALSE)</f>
        <v>0.1</v>
      </c>
      <c r="AP491" s="25">
        <f>VLOOKUP(tblMeasure[[#This Row],[src_statistic_class]],strlu_src_statistic_class,2,FALSE)</f>
        <v>0</v>
      </c>
      <c r="AQ491" s="25">
        <f>IF(tblMeasure[[#This Row],[src_methodology_url]]="TBD",0,1)</f>
        <v>1</v>
      </c>
      <c r="AR491" s="25">
        <f>IF(tblMeasure[[#This Row],[src_quality_url]]="TBD",0,1)</f>
        <v>0</v>
      </c>
      <c r="AS491" s="85" cm="1">
        <f t="array" ref="AS491">SUMPRODUCT(TRANSPOSE(tblMeasure[[#This Row],[str_msr_population_or_survey]:[str_src_quality_url]]),str_weights)/str_weights_total</f>
        <v>0.33846153846153848</v>
      </c>
    </row>
    <row r="492" spans="1:45" hidden="1" x14ac:dyDescent="0.15">
      <c r="A492" s="30">
        <v>490</v>
      </c>
      <c r="B492" s="32">
        <f>COUNTIF(requirement_measure_map!$D$3:$D$1514,measure!A492)</f>
        <v>0</v>
      </c>
      <c r="C492" s="30" t="s">
        <v>800</v>
      </c>
      <c r="D492" s="15" t="s">
        <v>1451</v>
      </c>
      <c r="E492" s="15" t="s">
        <v>1545</v>
      </c>
      <c r="F492" s="15" t="s">
        <v>1546</v>
      </c>
      <c r="G492" s="13" t="s">
        <v>1359</v>
      </c>
      <c r="H492" s="15"/>
      <c r="I492" s="15" t="s">
        <v>429</v>
      </c>
      <c r="J492" s="15" t="s">
        <v>1360</v>
      </c>
      <c r="K492" s="15" t="s">
        <v>1483</v>
      </c>
      <c r="L492" s="15" t="s">
        <v>233</v>
      </c>
      <c r="M492" s="15" t="s">
        <v>1362</v>
      </c>
      <c r="N492" s="15" t="s">
        <v>218</v>
      </c>
      <c r="O492" s="15" t="s">
        <v>243</v>
      </c>
      <c r="P492" s="15" t="s">
        <v>219</v>
      </c>
      <c r="Q492" s="15" t="s">
        <v>219</v>
      </c>
      <c r="R492" s="15" t="s">
        <v>219</v>
      </c>
      <c r="S492" s="15" t="s">
        <v>219</v>
      </c>
      <c r="T492" s="15" t="s">
        <v>219</v>
      </c>
      <c r="U492" s="15" t="s">
        <v>219</v>
      </c>
      <c r="V492" s="15" t="s">
        <v>219</v>
      </c>
      <c r="W492" s="15">
        <v>32</v>
      </c>
      <c r="X492" s="15" t="str">
        <f>_xlfn.XLOOKUP(tblMeasure[[#This Row],[id_src]],tblSource[id_src],tblSource[org])</f>
        <v xml:space="preserve">NIH National Institute of Ageing </v>
      </c>
      <c r="Y492" s="25" t="str">
        <f>_xlfn.XLOOKUP(tblMeasure[[#This Row],[id_src]],tblSource[id_src],tblSource[source])</f>
        <v>English Longitudinal Study of Ageing</v>
      </c>
      <c r="Z492" s="25" t="str">
        <f>_xlfn.XLOOKUP(tblMeasure[[#This Row],[id_src]],tblSource[id_src],tblSource[url_source])</f>
        <v>https://www.ifs.org.uk/uploads/ELSA_Wave_8_report.pdf</v>
      </c>
      <c r="AA492" s="25">
        <f>_xlfn.XLOOKUP(tblMeasure[[#This Row],[id_src]],tblSource[id_src],tblSource[year_first_published])</f>
        <v>2002</v>
      </c>
      <c r="AB492" s="25">
        <f>_xlfn.XLOOKUP(tblMeasure[[#This Row],[id_src]],tblSource[id_src],tblSource[year_last_published])</f>
        <v>2018</v>
      </c>
      <c r="AC492" s="25">
        <f>_xlfn.XLOOKUP(tblMeasure[[#This Row],[id_src]],tblSource[id_src],tblSource[discontinuity])</f>
        <v>0</v>
      </c>
      <c r="AD492" s="25" t="str">
        <f>_xlfn.XLOOKUP(tblMeasure[[#This Row],[id_src]],tblSource[id_src],tblSource[publication_frequency])</f>
        <v>Biennial</v>
      </c>
      <c r="AE492" s="15">
        <f>_xlfn.XLOOKUP(tblMeasure[[#This Row],[id_src]],tblSource[id_src],tblSource[publication_lag_months])</f>
        <v>10</v>
      </c>
      <c r="AF492" s="25" t="str">
        <f>_xlfn.XLOOKUP(tblMeasure[[#This Row],[id_src]],tblSource[id_src],tblSource[data_providers])</f>
        <v>UCL, IFS, Manchester University, NatCen, UEA</v>
      </c>
      <c r="AG492" s="25" t="str">
        <f>_xlfn.XLOOKUP(tblMeasure[[#This Row],[id_src]],tblSource[id_src],tblSource[statistic_class])</f>
        <v>TBD</v>
      </c>
      <c r="AH492" s="25" t="str">
        <f>_xlfn.XLOOKUP(tblMeasure[[#This Row],[id_src]],tblSource[id_src],tblSource[methodology_link])</f>
        <v>https://www.ifs.org.uk/uploads/ELSA_Wave_8_report.pdf</v>
      </c>
      <c r="AI492" s="25" t="str">
        <f>_xlfn.XLOOKUP(tblMeasure[[#This Row],[id_src]],tblSource[id_src],tblSource[quality_issues])</f>
        <v>TBD</v>
      </c>
      <c r="AJ492" s="25">
        <f>VLOOKUP(tblMeasure[[#This Row],[msr_population_or_survey]],strlu_msr_population_or_survey,2,FALSE)</f>
        <v>0</v>
      </c>
      <c r="AK492" s="25">
        <f>VLOOKUP(tblMeasure[[#This Row],[msr_min_geo_resolution]],strlu_msr_min_geo_resolution,2,FALSE)</f>
        <v>0</v>
      </c>
      <c r="AL492" s="25">
        <f>(MAX(tblMeasure[[#This Row],[src_year_last_published]]-2010+1,0)+MIN(2010-tblMeasure[[#This Row],[src_year_first_published]],0)-MAX(tblMeasure[[#This Row],[src_year_last_published]]-2019,0))/10</f>
        <v>0.9</v>
      </c>
      <c r="AM492" s="25">
        <f>IF(OR(tblMeasure[[#This Row],[src_discontinuity]]="None",tblMeasure[[#This Row],[src_discontinuity]]=0),1,0)</f>
        <v>1</v>
      </c>
      <c r="AN492" s="25">
        <f>VLOOKUP(tblMeasure[[#This Row],[src_pub_frequency]],strlu_src_pub_frequency,2,FALSE)</f>
        <v>0.5</v>
      </c>
      <c r="AO492" s="25">
        <f>VLOOKUP(tblMeasure[[#This Row],[src_pub_lag_months]],strlu_src_pub_lag_months,2,FALSE)</f>
        <v>0.1</v>
      </c>
      <c r="AP492" s="25">
        <f>VLOOKUP(tblMeasure[[#This Row],[src_statistic_class]],strlu_src_statistic_class,2,FALSE)</f>
        <v>0</v>
      </c>
      <c r="AQ492" s="25">
        <f>IF(tblMeasure[[#This Row],[src_methodology_url]]="TBD",0,1)</f>
        <v>1</v>
      </c>
      <c r="AR492" s="25">
        <f>IF(tblMeasure[[#This Row],[src_quality_url]]="TBD",0,1)</f>
        <v>0</v>
      </c>
      <c r="AS492" s="85" cm="1">
        <f t="array" ref="AS492">SUMPRODUCT(TRANSPOSE(tblMeasure[[#This Row],[str_msr_population_or_survey]:[str_src_quality_url]]),str_weights)/str_weights_total</f>
        <v>0.33846153846153848</v>
      </c>
    </row>
    <row r="493" spans="1:45" hidden="1" x14ac:dyDescent="0.15">
      <c r="A493" s="30">
        <v>491</v>
      </c>
      <c r="B493" s="32">
        <f>COUNTIF(requirement_measure_map!$D$3:$D$1514,measure!A493)</f>
        <v>2</v>
      </c>
      <c r="C493" s="30" t="s">
        <v>1395</v>
      </c>
      <c r="D493" s="15" t="s">
        <v>1451</v>
      </c>
      <c r="E493" s="15" t="s">
        <v>1547</v>
      </c>
      <c r="F493" s="15" t="s">
        <v>1548</v>
      </c>
      <c r="G493" s="13" t="s">
        <v>1359</v>
      </c>
      <c r="H493" s="15"/>
      <c r="I493" s="15" t="s">
        <v>429</v>
      </c>
      <c r="J493" s="15" t="s">
        <v>1360</v>
      </c>
      <c r="K493" s="15" t="s">
        <v>1488</v>
      </c>
      <c r="L493" s="15" t="s">
        <v>233</v>
      </c>
      <c r="M493" s="15" t="s">
        <v>746</v>
      </c>
      <c r="N493" s="15" t="s">
        <v>218</v>
      </c>
      <c r="O493" s="15" t="s">
        <v>1362</v>
      </c>
      <c r="P493" s="15" t="s">
        <v>219</v>
      </c>
      <c r="Q493" s="15" t="s">
        <v>219</v>
      </c>
      <c r="R493" s="15" t="s">
        <v>219</v>
      </c>
      <c r="S493" s="15" t="s">
        <v>219</v>
      </c>
      <c r="T493" s="15" t="s">
        <v>219</v>
      </c>
      <c r="U493" s="15" t="s">
        <v>219</v>
      </c>
      <c r="V493" s="15" t="s">
        <v>219</v>
      </c>
      <c r="W493" s="15">
        <v>32</v>
      </c>
      <c r="X493" s="15" t="str">
        <f>_xlfn.XLOOKUP(tblMeasure[[#This Row],[id_src]],tblSource[id_src],tblSource[org])</f>
        <v xml:space="preserve">NIH National Institute of Ageing </v>
      </c>
      <c r="Y493" s="25" t="str">
        <f>_xlfn.XLOOKUP(tblMeasure[[#This Row],[id_src]],tblSource[id_src],tblSource[source])</f>
        <v>English Longitudinal Study of Ageing</v>
      </c>
      <c r="Z493" s="25" t="str">
        <f>_xlfn.XLOOKUP(tblMeasure[[#This Row],[id_src]],tblSource[id_src],tblSource[url_source])</f>
        <v>https://www.ifs.org.uk/uploads/ELSA_Wave_8_report.pdf</v>
      </c>
      <c r="AA493" s="25">
        <f>_xlfn.XLOOKUP(tblMeasure[[#This Row],[id_src]],tblSource[id_src],tblSource[year_first_published])</f>
        <v>2002</v>
      </c>
      <c r="AB493" s="25">
        <f>_xlfn.XLOOKUP(tblMeasure[[#This Row],[id_src]],tblSource[id_src],tblSource[year_last_published])</f>
        <v>2018</v>
      </c>
      <c r="AC493" s="25">
        <f>_xlfn.XLOOKUP(tblMeasure[[#This Row],[id_src]],tblSource[id_src],tblSource[discontinuity])</f>
        <v>0</v>
      </c>
      <c r="AD493" s="25" t="str">
        <f>_xlfn.XLOOKUP(tblMeasure[[#This Row],[id_src]],tblSource[id_src],tblSource[publication_frequency])</f>
        <v>Biennial</v>
      </c>
      <c r="AE493" s="15">
        <f>_xlfn.XLOOKUP(tblMeasure[[#This Row],[id_src]],tblSource[id_src],tblSource[publication_lag_months])</f>
        <v>10</v>
      </c>
      <c r="AF493" s="25" t="str">
        <f>_xlfn.XLOOKUP(tblMeasure[[#This Row],[id_src]],tblSource[id_src],tblSource[data_providers])</f>
        <v>UCL, IFS, Manchester University, NatCen, UEA</v>
      </c>
      <c r="AG493" s="25" t="str">
        <f>_xlfn.XLOOKUP(tblMeasure[[#This Row],[id_src]],tblSource[id_src],tblSource[statistic_class])</f>
        <v>TBD</v>
      </c>
      <c r="AH493" s="25" t="str">
        <f>_xlfn.XLOOKUP(tblMeasure[[#This Row],[id_src]],tblSource[id_src],tblSource[methodology_link])</f>
        <v>https://www.ifs.org.uk/uploads/ELSA_Wave_8_report.pdf</v>
      </c>
      <c r="AI493" s="25" t="str">
        <f>_xlfn.XLOOKUP(tblMeasure[[#This Row],[id_src]],tblSource[id_src],tblSource[quality_issues])</f>
        <v>TBD</v>
      </c>
      <c r="AJ493" s="25">
        <f>VLOOKUP(tblMeasure[[#This Row],[msr_population_or_survey]],strlu_msr_population_or_survey,2,FALSE)</f>
        <v>0</v>
      </c>
      <c r="AK493" s="25">
        <f>VLOOKUP(tblMeasure[[#This Row],[msr_min_geo_resolution]],strlu_msr_min_geo_resolution,2,FALSE)</f>
        <v>0</v>
      </c>
      <c r="AL493" s="25">
        <f>(MAX(tblMeasure[[#This Row],[src_year_last_published]]-2010+1,0)+MIN(2010-tblMeasure[[#This Row],[src_year_first_published]],0)-MAX(tblMeasure[[#This Row],[src_year_last_published]]-2019,0))/10</f>
        <v>0.9</v>
      </c>
      <c r="AM493" s="25">
        <f>IF(OR(tblMeasure[[#This Row],[src_discontinuity]]="None",tblMeasure[[#This Row],[src_discontinuity]]=0),1,0)</f>
        <v>1</v>
      </c>
      <c r="AN493" s="25">
        <f>VLOOKUP(tblMeasure[[#This Row],[src_pub_frequency]],strlu_src_pub_frequency,2,FALSE)</f>
        <v>0.5</v>
      </c>
      <c r="AO493" s="25">
        <f>VLOOKUP(tblMeasure[[#This Row],[src_pub_lag_months]],strlu_src_pub_lag_months,2,FALSE)</f>
        <v>0.1</v>
      </c>
      <c r="AP493" s="25">
        <f>VLOOKUP(tblMeasure[[#This Row],[src_statistic_class]],strlu_src_statistic_class,2,FALSE)</f>
        <v>0</v>
      </c>
      <c r="AQ493" s="25">
        <f>IF(tblMeasure[[#This Row],[src_methodology_url]]="TBD",0,1)</f>
        <v>1</v>
      </c>
      <c r="AR493" s="25">
        <f>IF(tblMeasure[[#This Row],[src_quality_url]]="TBD",0,1)</f>
        <v>0</v>
      </c>
      <c r="AS493" s="85" cm="1">
        <f t="array" ref="AS493">SUMPRODUCT(TRANSPOSE(tblMeasure[[#This Row],[str_msr_population_or_survey]:[str_src_quality_url]]),str_weights)/str_weights_total</f>
        <v>0.33846153846153848</v>
      </c>
    </row>
    <row r="494" spans="1:45" hidden="1" x14ac:dyDescent="0.15">
      <c r="A494" s="30">
        <v>492</v>
      </c>
      <c r="B494" s="32">
        <f>COUNTIF(requirement_measure_map!$D$3:$D$1514,measure!A494)</f>
        <v>2</v>
      </c>
      <c r="C494" s="30" t="s">
        <v>1395</v>
      </c>
      <c r="D494" s="15" t="s">
        <v>1451</v>
      </c>
      <c r="E494" s="15" t="s">
        <v>1549</v>
      </c>
      <c r="F494" s="15" t="s">
        <v>1550</v>
      </c>
      <c r="G494" s="13" t="s">
        <v>1359</v>
      </c>
      <c r="H494" s="15"/>
      <c r="I494" s="15" t="s">
        <v>429</v>
      </c>
      <c r="J494" s="15" t="s">
        <v>1360</v>
      </c>
      <c r="K494" s="15" t="s">
        <v>1488</v>
      </c>
      <c r="L494" s="15" t="s">
        <v>233</v>
      </c>
      <c r="M494" s="15" t="s">
        <v>1362</v>
      </c>
      <c r="N494" s="15" t="s">
        <v>218</v>
      </c>
      <c r="O494" s="15" t="s">
        <v>243</v>
      </c>
      <c r="P494" s="15" t="s">
        <v>219</v>
      </c>
      <c r="Q494" s="15" t="s">
        <v>219</v>
      </c>
      <c r="R494" s="15" t="s">
        <v>219</v>
      </c>
      <c r="S494" s="15" t="s">
        <v>219</v>
      </c>
      <c r="T494" s="15" t="s">
        <v>219</v>
      </c>
      <c r="U494" s="15" t="s">
        <v>219</v>
      </c>
      <c r="V494" s="15" t="s">
        <v>219</v>
      </c>
      <c r="W494" s="15">
        <v>32</v>
      </c>
      <c r="X494" s="15" t="str">
        <f>_xlfn.XLOOKUP(tblMeasure[[#This Row],[id_src]],tblSource[id_src],tblSource[org])</f>
        <v xml:space="preserve">NIH National Institute of Ageing </v>
      </c>
      <c r="Y494" s="25" t="str">
        <f>_xlfn.XLOOKUP(tblMeasure[[#This Row],[id_src]],tblSource[id_src],tblSource[source])</f>
        <v>English Longitudinal Study of Ageing</v>
      </c>
      <c r="Z494" s="25" t="str">
        <f>_xlfn.XLOOKUP(tblMeasure[[#This Row],[id_src]],tblSource[id_src],tblSource[url_source])</f>
        <v>https://www.ifs.org.uk/uploads/ELSA_Wave_8_report.pdf</v>
      </c>
      <c r="AA494" s="25">
        <f>_xlfn.XLOOKUP(tblMeasure[[#This Row],[id_src]],tblSource[id_src],tblSource[year_first_published])</f>
        <v>2002</v>
      </c>
      <c r="AB494" s="25">
        <f>_xlfn.XLOOKUP(tblMeasure[[#This Row],[id_src]],tblSource[id_src],tblSource[year_last_published])</f>
        <v>2018</v>
      </c>
      <c r="AC494" s="25">
        <f>_xlfn.XLOOKUP(tblMeasure[[#This Row],[id_src]],tblSource[id_src],tblSource[discontinuity])</f>
        <v>0</v>
      </c>
      <c r="AD494" s="25" t="str">
        <f>_xlfn.XLOOKUP(tblMeasure[[#This Row],[id_src]],tblSource[id_src],tblSource[publication_frequency])</f>
        <v>Biennial</v>
      </c>
      <c r="AE494" s="15">
        <f>_xlfn.XLOOKUP(tblMeasure[[#This Row],[id_src]],tblSource[id_src],tblSource[publication_lag_months])</f>
        <v>10</v>
      </c>
      <c r="AF494" s="25" t="str">
        <f>_xlfn.XLOOKUP(tblMeasure[[#This Row],[id_src]],tblSource[id_src],tblSource[data_providers])</f>
        <v>UCL, IFS, Manchester University, NatCen, UEA</v>
      </c>
      <c r="AG494" s="25" t="str">
        <f>_xlfn.XLOOKUP(tblMeasure[[#This Row],[id_src]],tblSource[id_src],tblSource[statistic_class])</f>
        <v>TBD</v>
      </c>
      <c r="AH494" s="25" t="str">
        <f>_xlfn.XLOOKUP(tblMeasure[[#This Row],[id_src]],tblSource[id_src],tblSource[methodology_link])</f>
        <v>https://www.ifs.org.uk/uploads/ELSA_Wave_8_report.pdf</v>
      </c>
      <c r="AI494" s="25" t="str">
        <f>_xlfn.XLOOKUP(tblMeasure[[#This Row],[id_src]],tblSource[id_src],tblSource[quality_issues])</f>
        <v>TBD</v>
      </c>
      <c r="AJ494" s="25">
        <f>VLOOKUP(tblMeasure[[#This Row],[msr_population_or_survey]],strlu_msr_population_or_survey,2,FALSE)</f>
        <v>0</v>
      </c>
      <c r="AK494" s="25">
        <f>VLOOKUP(tblMeasure[[#This Row],[msr_min_geo_resolution]],strlu_msr_min_geo_resolution,2,FALSE)</f>
        <v>0</v>
      </c>
      <c r="AL494" s="25">
        <f>(MAX(tblMeasure[[#This Row],[src_year_last_published]]-2010+1,0)+MIN(2010-tblMeasure[[#This Row],[src_year_first_published]],0)-MAX(tblMeasure[[#This Row],[src_year_last_published]]-2019,0))/10</f>
        <v>0.9</v>
      </c>
      <c r="AM494" s="25">
        <f>IF(OR(tblMeasure[[#This Row],[src_discontinuity]]="None",tblMeasure[[#This Row],[src_discontinuity]]=0),1,0)</f>
        <v>1</v>
      </c>
      <c r="AN494" s="25">
        <f>VLOOKUP(tblMeasure[[#This Row],[src_pub_frequency]],strlu_src_pub_frequency,2,FALSE)</f>
        <v>0.5</v>
      </c>
      <c r="AO494" s="25">
        <f>VLOOKUP(tblMeasure[[#This Row],[src_pub_lag_months]],strlu_src_pub_lag_months,2,FALSE)</f>
        <v>0.1</v>
      </c>
      <c r="AP494" s="25">
        <f>VLOOKUP(tblMeasure[[#This Row],[src_statistic_class]],strlu_src_statistic_class,2,FALSE)</f>
        <v>0</v>
      </c>
      <c r="AQ494" s="25">
        <f>IF(tblMeasure[[#This Row],[src_methodology_url]]="TBD",0,1)</f>
        <v>1</v>
      </c>
      <c r="AR494" s="25">
        <f>IF(tblMeasure[[#This Row],[src_quality_url]]="TBD",0,1)</f>
        <v>0</v>
      </c>
      <c r="AS494" s="85" cm="1">
        <f t="array" ref="AS494">SUMPRODUCT(TRANSPOSE(tblMeasure[[#This Row],[str_msr_population_or_survey]:[str_src_quality_url]]),str_weights)/str_weights_total</f>
        <v>0.33846153846153848</v>
      </c>
    </row>
    <row r="495" spans="1:45" hidden="1" x14ac:dyDescent="0.15">
      <c r="A495" s="30">
        <v>493</v>
      </c>
      <c r="B495" s="32">
        <f>COUNTIF(requirement_measure_map!$D$3:$D$1514,measure!A495)</f>
        <v>0</v>
      </c>
      <c r="C495" s="30" t="s">
        <v>800</v>
      </c>
      <c r="D495" s="15" t="s">
        <v>1551</v>
      </c>
      <c r="E495" s="15" t="s">
        <v>1552</v>
      </c>
      <c r="F495" s="15" t="s">
        <v>1553</v>
      </c>
      <c r="G495" s="13" t="s">
        <v>1359</v>
      </c>
      <c r="H495" s="15"/>
      <c r="I495" s="15" t="s">
        <v>429</v>
      </c>
      <c r="J495" s="15" t="s">
        <v>1360</v>
      </c>
      <c r="K495" s="15" t="s">
        <v>1554</v>
      </c>
      <c r="L495" s="15" t="s">
        <v>233</v>
      </c>
      <c r="M495" s="15" t="s">
        <v>349</v>
      </c>
      <c r="N495" s="15" t="s">
        <v>218</v>
      </c>
      <c r="O495" s="15" t="s">
        <v>1362</v>
      </c>
      <c r="P495" s="15" t="s">
        <v>219</v>
      </c>
      <c r="Q495" s="15" t="s">
        <v>219</v>
      </c>
      <c r="R495" s="15" t="s">
        <v>219</v>
      </c>
      <c r="S495" s="15" t="s">
        <v>219</v>
      </c>
      <c r="T495" s="15" t="s">
        <v>219</v>
      </c>
      <c r="U495" s="15" t="s">
        <v>219</v>
      </c>
      <c r="V495" s="15" t="s">
        <v>219</v>
      </c>
      <c r="W495" s="15">
        <v>32</v>
      </c>
      <c r="X495" s="15" t="str">
        <f>_xlfn.XLOOKUP(tblMeasure[[#This Row],[id_src]],tblSource[id_src],tblSource[org])</f>
        <v xml:space="preserve">NIH National Institute of Ageing </v>
      </c>
      <c r="Y495" s="25" t="str">
        <f>_xlfn.XLOOKUP(tblMeasure[[#This Row],[id_src]],tblSource[id_src],tblSource[source])</f>
        <v>English Longitudinal Study of Ageing</v>
      </c>
      <c r="Z495" s="25" t="str">
        <f>_xlfn.XLOOKUP(tblMeasure[[#This Row],[id_src]],tblSource[id_src],tblSource[url_source])</f>
        <v>https://www.ifs.org.uk/uploads/ELSA_Wave_8_report.pdf</v>
      </c>
      <c r="AA495" s="25">
        <f>_xlfn.XLOOKUP(tblMeasure[[#This Row],[id_src]],tblSource[id_src],tblSource[year_first_published])</f>
        <v>2002</v>
      </c>
      <c r="AB495" s="25">
        <f>_xlfn.XLOOKUP(tblMeasure[[#This Row],[id_src]],tblSource[id_src],tblSource[year_last_published])</f>
        <v>2018</v>
      </c>
      <c r="AC495" s="25">
        <f>_xlfn.XLOOKUP(tblMeasure[[#This Row],[id_src]],tblSource[id_src],tblSource[discontinuity])</f>
        <v>0</v>
      </c>
      <c r="AD495" s="25" t="str">
        <f>_xlfn.XLOOKUP(tblMeasure[[#This Row],[id_src]],tblSource[id_src],tblSource[publication_frequency])</f>
        <v>Biennial</v>
      </c>
      <c r="AE495" s="15">
        <f>_xlfn.XLOOKUP(tblMeasure[[#This Row],[id_src]],tblSource[id_src],tblSource[publication_lag_months])</f>
        <v>10</v>
      </c>
      <c r="AF495" s="25" t="str">
        <f>_xlfn.XLOOKUP(tblMeasure[[#This Row],[id_src]],tblSource[id_src],tblSource[data_providers])</f>
        <v>UCL, IFS, Manchester University, NatCen, UEA</v>
      </c>
      <c r="AG495" s="25" t="str">
        <f>_xlfn.XLOOKUP(tblMeasure[[#This Row],[id_src]],tblSource[id_src],tblSource[statistic_class])</f>
        <v>TBD</v>
      </c>
      <c r="AH495" s="25" t="str">
        <f>_xlfn.XLOOKUP(tblMeasure[[#This Row],[id_src]],tblSource[id_src],tblSource[methodology_link])</f>
        <v>https://www.ifs.org.uk/uploads/ELSA_Wave_8_report.pdf</v>
      </c>
      <c r="AI495" s="25" t="str">
        <f>_xlfn.XLOOKUP(tblMeasure[[#This Row],[id_src]],tblSource[id_src],tblSource[quality_issues])</f>
        <v>TBD</v>
      </c>
      <c r="AJ495" s="25">
        <f>VLOOKUP(tblMeasure[[#This Row],[msr_population_or_survey]],strlu_msr_population_or_survey,2,FALSE)</f>
        <v>0</v>
      </c>
      <c r="AK495" s="25">
        <f>VLOOKUP(tblMeasure[[#This Row],[msr_min_geo_resolution]],strlu_msr_min_geo_resolution,2,FALSE)</f>
        <v>0</v>
      </c>
      <c r="AL495" s="25">
        <f>(MAX(tblMeasure[[#This Row],[src_year_last_published]]-2010+1,0)+MIN(2010-tblMeasure[[#This Row],[src_year_first_published]],0)-MAX(tblMeasure[[#This Row],[src_year_last_published]]-2019,0))/10</f>
        <v>0.9</v>
      </c>
      <c r="AM495" s="25">
        <f>IF(OR(tblMeasure[[#This Row],[src_discontinuity]]="None",tblMeasure[[#This Row],[src_discontinuity]]=0),1,0)</f>
        <v>1</v>
      </c>
      <c r="AN495" s="25">
        <f>VLOOKUP(tblMeasure[[#This Row],[src_pub_frequency]],strlu_src_pub_frequency,2,FALSE)</f>
        <v>0.5</v>
      </c>
      <c r="AO495" s="25">
        <f>VLOOKUP(tblMeasure[[#This Row],[src_pub_lag_months]],strlu_src_pub_lag_months,2,FALSE)</f>
        <v>0.1</v>
      </c>
      <c r="AP495" s="25">
        <f>VLOOKUP(tblMeasure[[#This Row],[src_statistic_class]],strlu_src_statistic_class,2,FALSE)</f>
        <v>0</v>
      </c>
      <c r="AQ495" s="25">
        <f>IF(tblMeasure[[#This Row],[src_methodology_url]]="TBD",0,1)</f>
        <v>1</v>
      </c>
      <c r="AR495" s="25">
        <f>IF(tblMeasure[[#This Row],[src_quality_url]]="TBD",0,1)</f>
        <v>0</v>
      </c>
      <c r="AS495" s="85" cm="1">
        <f t="array" ref="AS495">SUMPRODUCT(TRANSPOSE(tblMeasure[[#This Row],[str_msr_population_or_survey]:[str_src_quality_url]]),str_weights)/str_weights_total</f>
        <v>0.33846153846153848</v>
      </c>
    </row>
    <row r="496" spans="1:45" hidden="1" x14ac:dyDescent="0.15">
      <c r="A496" s="30">
        <v>494</v>
      </c>
      <c r="B496" s="32">
        <f>COUNTIF(requirement_measure_map!$D$3:$D$1514,measure!A496)</f>
        <v>0</v>
      </c>
      <c r="C496" s="30" t="s">
        <v>800</v>
      </c>
      <c r="D496" s="15" t="s">
        <v>1551</v>
      </c>
      <c r="E496" s="15" t="s">
        <v>1555</v>
      </c>
      <c r="F496" s="15" t="s">
        <v>1556</v>
      </c>
      <c r="G496" s="13" t="s">
        <v>1359</v>
      </c>
      <c r="H496" s="15"/>
      <c r="I496" s="15" t="s">
        <v>429</v>
      </c>
      <c r="J496" s="15" t="s">
        <v>1360</v>
      </c>
      <c r="K496" s="15" t="s">
        <v>1554</v>
      </c>
      <c r="L496" s="15" t="s">
        <v>233</v>
      </c>
      <c r="M496" s="15" t="s">
        <v>1362</v>
      </c>
      <c r="N496" s="15" t="s">
        <v>218</v>
      </c>
      <c r="O496" s="15" t="s">
        <v>243</v>
      </c>
      <c r="P496" s="15" t="s">
        <v>219</v>
      </c>
      <c r="Q496" s="15" t="s">
        <v>219</v>
      </c>
      <c r="R496" s="15" t="s">
        <v>219</v>
      </c>
      <c r="S496" s="15" t="s">
        <v>219</v>
      </c>
      <c r="T496" s="15" t="s">
        <v>219</v>
      </c>
      <c r="U496" s="15" t="s">
        <v>219</v>
      </c>
      <c r="V496" s="15" t="s">
        <v>219</v>
      </c>
      <c r="W496" s="15">
        <v>32</v>
      </c>
      <c r="X496" s="15" t="str">
        <f>_xlfn.XLOOKUP(tblMeasure[[#This Row],[id_src]],tblSource[id_src],tblSource[org])</f>
        <v xml:space="preserve">NIH National Institute of Ageing </v>
      </c>
      <c r="Y496" s="25" t="str">
        <f>_xlfn.XLOOKUP(tblMeasure[[#This Row],[id_src]],tblSource[id_src],tblSource[source])</f>
        <v>English Longitudinal Study of Ageing</v>
      </c>
      <c r="Z496" s="25" t="str">
        <f>_xlfn.XLOOKUP(tblMeasure[[#This Row],[id_src]],tblSource[id_src],tblSource[url_source])</f>
        <v>https://www.ifs.org.uk/uploads/ELSA_Wave_8_report.pdf</v>
      </c>
      <c r="AA496" s="25">
        <f>_xlfn.XLOOKUP(tblMeasure[[#This Row],[id_src]],tblSource[id_src],tblSource[year_first_published])</f>
        <v>2002</v>
      </c>
      <c r="AB496" s="25">
        <f>_xlfn.XLOOKUP(tblMeasure[[#This Row],[id_src]],tblSource[id_src],tblSource[year_last_published])</f>
        <v>2018</v>
      </c>
      <c r="AC496" s="25">
        <f>_xlfn.XLOOKUP(tblMeasure[[#This Row],[id_src]],tblSource[id_src],tblSource[discontinuity])</f>
        <v>0</v>
      </c>
      <c r="AD496" s="25" t="str">
        <f>_xlfn.XLOOKUP(tblMeasure[[#This Row],[id_src]],tblSource[id_src],tblSource[publication_frequency])</f>
        <v>Biennial</v>
      </c>
      <c r="AE496" s="15">
        <f>_xlfn.XLOOKUP(tblMeasure[[#This Row],[id_src]],tblSource[id_src],tblSource[publication_lag_months])</f>
        <v>10</v>
      </c>
      <c r="AF496" s="25" t="str">
        <f>_xlfn.XLOOKUP(tblMeasure[[#This Row],[id_src]],tblSource[id_src],tblSource[data_providers])</f>
        <v>UCL, IFS, Manchester University, NatCen, UEA</v>
      </c>
      <c r="AG496" s="25" t="str">
        <f>_xlfn.XLOOKUP(tblMeasure[[#This Row],[id_src]],tblSource[id_src],tblSource[statistic_class])</f>
        <v>TBD</v>
      </c>
      <c r="AH496" s="25" t="str">
        <f>_xlfn.XLOOKUP(tblMeasure[[#This Row],[id_src]],tblSource[id_src],tblSource[methodology_link])</f>
        <v>https://www.ifs.org.uk/uploads/ELSA_Wave_8_report.pdf</v>
      </c>
      <c r="AI496" s="25" t="str">
        <f>_xlfn.XLOOKUP(tblMeasure[[#This Row],[id_src]],tblSource[id_src],tblSource[quality_issues])</f>
        <v>TBD</v>
      </c>
      <c r="AJ496" s="25">
        <f>VLOOKUP(tblMeasure[[#This Row],[msr_population_or_survey]],strlu_msr_population_or_survey,2,FALSE)</f>
        <v>0</v>
      </c>
      <c r="AK496" s="25">
        <f>VLOOKUP(tblMeasure[[#This Row],[msr_min_geo_resolution]],strlu_msr_min_geo_resolution,2,FALSE)</f>
        <v>0</v>
      </c>
      <c r="AL496" s="25">
        <f>(MAX(tblMeasure[[#This Row],[src_year_last_published]]-2010+1,0)+MIN(2010-tblMeasure[[#This Row],[src_year_first_published]],0)-MAX(tblMeasure[[#This Row],[src_year_last_published]]-2019,0))/10</f>
        <v>0.9</v>
      </c>
      <c r="AM496" s="25">
        <f>IF(OR(tblMeasure[[#This Row],[src_discontinuity]]="None",tblMeasure[[#This Row],[src_discontinuity]]=0),1,0)</f>
        <v>1</v>
      </c>
      <c r="AN496" s="25">
        <f>VLOOKUP(tblMeasure[[#This Row],[src_pub_frequency]],strlu_src_pub_frequency,2,FALSE)</f>
        <v>0.5</v>
      </c>
      <c r="AO496" s="25">
        <f>VLOOKUP(tblMeasure[[#This Row],[src_pub_lag_months]],strlu_src_pub_lag_months,2,FALSE)</f>
        <v>0.1</v>
      </c>
      <c r="AP496" s="25">
        <f>VLOOKUP(tblMeasure[[#This Row],[src_statistic_class]],strlu_src_statistic_class,2,FALSE)</f>
        <v>0</v>
      </c>
      <c r="AQ496" s="25">
        <f>IF(tblMeasure[[#This Row],[src_methodology_url]]="TBD",0,1)</f>
        <v>1</v>
      </c>
      <c r="AR496" s="25">
        <f>IF(tblMeasure[[#This Row],[src_quality_url]]="TBD",0,1)</f>
        <v>0</v>
      </c>
      <c r="AS496" s="85" cm="1">
        <f t="array" ref="AS496">SUMPRODUCT(TRANSPOSE(tblMeasure[[#This Row],[str_msr_population_or_survey]:[str_src_quality_url]]),str_weights)/str_weights_total</f>
        <v>0.33846153846153848</v>
      </c>
    </row>
    <row r="497" spans="1:45" hidden="1" x14ac:dyDescent="0.15">
      <c r="A497" s="30">
        <v>495</v>
      </c>
      <c r="B497" s="32">
        <f>COUNTIF(requirement_measure_map!$D$3:$D$1514,measure!A497)</f>
        <v>0</v>
      </c>
      <c r="C497" s="30" t="s">
        <v>800</v>
      </c>
      <c r="D497" s="15" t="s">
        <v>1551</v>
      </c>
      <c r="E497" s="15" t="s">
        <v>1557</v>
      </c>
      <c r="F497" s="15" t="s">
        <v>1558</v>
      </c>
      <c r="G497" s="13" t="s">
        <v>1359</v>
      </c>
      <c r="H497" s="15"/>
      <c r="I497" s="15" t="s">
        <v>429</v>
      </c>
      <c r="J497" s="15" t="s">
        <v>1360</v>
      </c>
      <c r="K497" s="15" t="s">
        <v>1559</v>
      </c>
      <c r="L497" s="15" t="s">
        <v>233</v>
      </c>
      <c r="M497" s="15" t="s">
        <v>349</v>
      </c>
      <c r="N497" s="15" t="s">
        <v>218</v>
      </c>
      <c r="O497" s="15" t="s">
        <v>1362</v>
      </c>
      <c r="P497" s="15" t="s">
        <v>219</v>
      </c>
      <c r="Q497" s="15" t="s">
        <v>219</v>
      </c>
      <c r="R497" s="15" t="s">
        <v>219</v>
      </c>
      <c r="S497" s="15" t="s">
        <v>219</v>
      </c>
      <c r="T497" s="15" t="s">
        <v>219</v>
      </c>
      <c r="U497" s="15" t="s">
        <v>219</v>
      </c>
      <c r="V497" s="15" t="s">
        <v>219</v>
      </c>
      <c r="W497" s="15">
        <v>32</v>
      </c>
      <c r="X497" s="15" t="str">
        <f>_xlfn.XLOOKUP(tblMeasure[[#This Row],[id_src]],tblSource[id_src],tblSource[org])</f>
        <v xml:space="preserve">NIH National Institute of Ageing </v>
      </c>
      <c r="Y497" s="25" t="str">
        <f>_xlfn.XLOOKUP(tblMeasure[[#This Row],[id_src]],tblSource[id_src],tblSource[source])</f>
        <v>English Longitudinal Study of Ageing</v>
      </c>
      <c r="Z497" s="25" t="str">
        <f>_xlfn.XLOOKUP(tblMeasure[[#This Row],[id_src]],tblSource[id_src],tblSource[url_source])</f>
        <v>https://www.ifs.org.uk/uploads/ELSA_Wave_8_report.pdf</v>
      </c>
      <c r="AA497" s="25">
        <f>_xlfn.XLOOKUP(tblMeasure[[#This Row],[id_src]],tblSource[id_src],tblSource[year_first_published])</f>
        <v>2002</v>
      </c>
      <c r="AB497" s="25">
        <f>_xlfn.XLOOKUP(tblMeasure[[#This Row],[id_src]],tblSource[id_src],tblSource[year_last_published])</f>
        <v>2018</v>
      </c>
      <c r="AC497" s="25">
        <f>_xlfn.XLOOKUP(tblMeasure[[#This Row],[id_src]],tblSource[id_src],tblSource[discontinuity])</f>
        <v>0</v>
      </c>
      <c r="AD497" s="25" t="str">
        <f>_xlfn.XLOOKUP(tblMeasure[[#This Row],[id_src]],tblSource[id_src],tblSource[publication_frequency])</f>
        <v>Biennial</v>
      </c>
      <c r="AE497" s="15">
        <f>_xlfn.XLOOKUP(tblMeasure[[#This Row],[id_src]],tblSource[id_src],tblSource[publication_lag_months])</f>
        <v>10</v>
      </c>
      <c r="AF497" s="25" t="str">
        <f>_xlfn.XLOOKUP(tblMeasure[[#This Row],[id_src]],tblSource[id_src],tblSource[data_providers])</f>
        <v>UCL, IFS, Manchester University, NatCen, UEA</v>
      </c>
      <c r="AG497" s="25" t="str">
        <f>_xlfn.XLOOKUP(tblMeasure[[#This Row],[id_src]],tblSource[id_src],tblSource[statistic_class])</f>
        <v>TBD</v>
      </c>
      <c r="AH497" s="25" t="str">
        <f>_xlfn.XLOOKUP(tblMeasure[[#This Row],[id_src]],tblSource[id_src],tblSource[methodology_link])</f>
        <v>https://www.ifs.org.uk/uploads/ELSA_Wave_8_report.pdf</v>
      </c>
      <c r="AI497" s="25" t="str">
        <f>_xlfn.XLOOKUP(tblMeasure[[#This Row],[id_src]],tblSource[id_src],tblSource[quality_issues])</f>
        <v>TBD</v>
      </c>
      <c r="AJ497" s="25">
        <f>VLOOKUP(tblMeasure[[#This Row],[msr_population_or_survey]],strlu_msr_population_or_survey,2,FALSE)</f>
        <v>0</v>
      </c>
      <c r="AK497" s="25">
        <f>VLOOKUP(tblMeasure[[#This Row],[msr_min_geo_resolution]],strlu_msr_min_geo_resolution,2,FALSE)</f>
        <v>0</v>
      </c>
      <c r="AL497" s="25">
        <f>(MAX(tblMeasure[[#This Row],[src_year_last_published]]-2010+1,0)+MIN(2010-tblMeasure[[#This Row],[src_year_first_published]],0)-MAX(tblMeasure[[#This Row],[src_year_last_published]]-2019,0))/10</f>
        <v>0.9</v>
      </c>
      <c r="AM497" s="25">
        <f>IF(OR(tblMeasure[[#This Row],[src_discontinuity]]="None",tblMeasure[[#This Row],[src_discontinuity]]=0),1,0)</f>
        <v>1</v>
      </c>
      <c r="AN497" s="25">
        <f>VLOOKUP(tblMeasure[[#This Row],[src_pub_frequency]],strlu_src_pub_frequency,2,FALSE)</f>
        <v>0.5</v>
      </c>
      <c r="AO497" s="25">
        <f>VLOOKUP(tblMeasure[[#This Row],[src_pub_lag_months]],strlu_src_pub_lag_months,2,FALSE)</f>
        <v>0.1</v>
      </c>
      <c r="AP497" s="25">
        <f>VLOOKUP(tblMeasure[[#This Row],[src_statistic_class]],strlu_src_statistic_class,2,FALSE)</f>
        <v>0</v>
      </c>
      <c r="AQ497" s="25">
        <f>IF(tblMeasure[[#This Row],[src_methodology_url]]="TBD",0,1)</f>
        <v>1</v>
      </c>
      <c r="AR497" s="25">
        <f>IF(tblMeasure[[#This Row],[src_quality_url]]="TBD",0,1)</f>
        <v>0</v>
      </c>
      <c r="AS497" s="85" cm="1">
        <f t="array" ref="AS497">SUMPRODUCT(TRANSPOSE(tblMeasure[[#This Row],[str_msr_population_or_survey]:[str_src_quality_url]]),str_weights)/str_weights_total</f>
        <v>0.33846153846153848</v>
      </c>
    </row>
    <row r="498" spans="1:45" hidden="1" x14ac:dyDescent="0.15">
      <c r="A498" s="30">
        <v>496</v>
      </c>
      <c r="B498" s="32">
        <f>COUNTIF(requirement_measure_map!$D$3:$D$1514,measure!A498)</f>
        <v>0</v>
      </c>
      <c r="C498" s="30" t="s">
        <v>800</v>
      </c>
      <c r="D498" s="15" t="s">
        <v>1551</v>
      </c>
      <c r="E498" s="15" t="s">
        <v>1560</v>
      </c>
      <c r="F498" s="15" t="s">
        <v>1561</v>
      </c>
      <c r="G498" s="13" t="s">
        <v>1359</v>
      </c>
      <c r="H498" s="15"/>
      <c r="I498" s="15" t="s">
        <v>429</v>
      </c>
      <c r="J498" s="15" t="s">
        <v>1360</v>
      </c>
      <c r="K498" s="15" t="s">
        <v>1559</v>
      </c>
      <c r="L498" s="15" t="s">
        <v>233</v>
      </c>
      <c r="M498" s="15" t="s">
        <v>1362</v>
      </c>
      <c r="N498" s="15" t="s">
        <v>218</v>
      </c>
      <c r="O498" s="15" t="s">
        <v>243</v>
      </c>
      <c r="P498" s="15" t="s">
        <v>219</v>
      </c>
      <c r="Q498" s="15" t="s">
        <v>219</v>
      </c>
      <c r="R498" s="15" t="s">
        <v>219</v>
      </c>
      <c r="S498" s="15" t="s">
        <v>219</v>
      </c>
      <c r="T498" s="15" t="s">
        <v>219</v>
      </c>
      <c r="U498" s="15" t="s">
        <v>219</v>
      </c>
      <c r="V498" s="15" t="s">
        <v>219</v>
      </c>
      <c r="W498" s="15">
        <v>32</v>
      </c>
      <c r="X498" s="15" t="str">
        <f>_xlfn.XLOOKUP(tblMeasure[[#This Row],[id_src]],tblSource[id_src],tblSource[org])</f>
        <v xml:space="preserve">NIH National Institute of Ageing </v>
      </c>
      <c r="Y498" s="25" t="str">
        <f>_xlfn.XLOOKUP(tblMeasure[[#This Row],[id_src]],tblSource[id_src],tblSource[source])</f>
        <v>English Longitudinal Study of Ageing</v>
      </c>
      <c r="Z498" s="25" t="str">
        <f>_xlfn.XLOOKUP(tblMeasure[[#This Row],[id_src]],tblSource[id_src],tblSource[url_source])</f>
        <v>https://www.ifs.org.uk/uploads/ELSA_Wave_8_report.pdf</v>
      </c>
      <c r="AA498" s="25">
        <f>_xlfn.XLOOKUP(tblMeasure[[#This Row],[id_src]],tblSource[id_src],tblSource[year_first_published])</f>
        <v>2002</v>
      </c>
      <c r="AB498" s="25">
        <f>_xlfn.XLOOKUP(tblMeasure[[#This Row],[id_src]],tblSource[id_src],tblSource[year_last_published])</f>
        <v>2018</v>
      </c>
      <c r="AC498" s="25">
        <f>_xlfn.XLOOKUP(tblMeasure[[#This Row],[id_src]],tblSource[id_src],tblSource[discontinuity])</f>
        <v>0</v>
      </c>
      <c r="AD498" s="25" t="str">
        <f>_xlfn.XLOOKUP(tblMeasure[[#This Row],[id_src]],tblSource[id_src],tblSource[publication_frequency])</f>
        <v>Biennial</v>
      </c>
      <c r="AE498" s="15">
        <f>_xlfn.XLOOKUP(tblMeasure[[#This Row],[id_src]],tblSource[id_src],tblSource[publication_lag_months])</f>
        <v>10</v>
      </c>
      <c r="AF498" s="25" t="str">
        <f>_xlfn.XLOOKUP(tblMeasure[[#This Row],[id_src]],tblSource[id_src],tblSource[data_providers])</f>
        <v>UCL, IFS, Manchester University, NatCen, UEA</v>
      </c>
      <c r="AG498" s="25" t="str">
        <f>_xlfn.XLOOKUP(tblMeasure[[#This Row],[id_src]],tblSource[id_src],tblSource[statistic_class])</f>
        <v>TBD</v>
      </c>
      <c r="AH498" s="25" t="str">
        <f>_xlfn.XLOOKUP(tblMeasure[[#This Row],[id_src]],tblSource[id_src],tblSource[methodology_link])</f>
        <v>https://www.ifs.org.uk/uploads/ELSA_Wave_8_report.pdf</v>
      </c>
      <c r="AI498" s="25" t="str">
        <f>_xlfn.XLOOKUP(tblMeasure[[#This Row],[id_src]],tblSource[id_src],tblSource[quality_issues])</f>
        <v>TBD</v>
      </c>
      <c r="AJ498" s="25">
        <f>VLOOKUP(tblMeasure[[#This Row],[msr_population_or_survey]],strlu_msr_population_or_survey,2,FALSE)</f>
        <v>0</v>
      </c>
      <c r="AK498" s="25">
        <f>VLOOKUP(tblMeasure[[#This Row],[msr_min_geo_resolution]],strlu_msr_min_geo_resolution,2,FALSE)</f>
        <v>0</v>
      </c>
      <c r="AL498" s="25">
        <f>(MAX(tblMeasure[[#This Row],[src_year_last_published]]-2010+1,0)+MIN(2010-tblMeasure[[#This Row],[src_year_first_published]],0)-MAX(tblMeasure[[#This Row],[src_year_last_published]]-2019,0))/10</f>
        <v>0.9</v>
      </c>
      <c r="AM498" s="25">
        <f>IF(OR(tblMeasure[[#This Row],[src_discontinuity]]="None",tblMeasure[[#This Row],[src_discontinuity]]=0),1,0)</f>
        <v>1</v>
      </c>
      <c r="AN498" s="25">
        <f>VLOOKUP(tblMeasure[[#This Row],[src_pub_frequency]],strlu_src_pub_frequency,2,FALSE)</f>
        <v>0.5</v>
      </c>
      <c r="AO498" s="25">
        <f>VLOOKUP(tblMeasure[[#This Row],[src_pub_lag_months]],strlu_src_pub_lag_months,2,FALSE)</f>
        <v>0.1</v>
      </c>
      <c r="AP498" s="25">
        <f>VLOOKUP(tblMeasure[[#This Row],[src_statistic_class]],strlu_src_statistic_class,2,FALSE)</f>
        <v>0</v>
      </c>
      <c r="AQ498" s="25">
        <f>IF(tblMeasure[[#This Row],[src_methodology_url]]="TBD",0,1)</f>
        <v>1</v>
      </c>
      <c r="AR498" s="25">
        <f>IF(tblMeasure[[#This Row],[src_quality_url]]="TBD",0,1)</f>
        <v>0</v>
      </c>
      <c r="AS498" s="85" cm="1">
        <f t="array" ref="AS498">SUMPRODUCT(TRANSPOSE(tblMeasure[[#This Row],[str_msr_population_or_survey]:[str_src_quality_url]]),str_weights)/str_weights_total</f>
        <v>0.33846153846153848</v>
      </c>
    </row>
    <row r="499" spans="1:45" hidden="1" x14ac:dyDescent="0.15">
      <c r="A499" s="30">
        <v>497</v>
      </c>
      <c r="B499" s="32">
        <f>COUNTIF(requirement_measure_map!$D$3:$D$1514,measure!A499)</f>
        <v>0</v>
      </c>
      <c r="C499" s="30" t="s">
        <v>800</v>
      </c>
      <c r="D499" s="15" t="s">
        <v>1551</v>
      </c>
      <c r="E499" s="15" t="s">
        <v>1562</v>
      </c>
      <c r="F499" s="15" t="s">
        <v>1563</v>
      </c>
      <c r="G499" s="13" t="s">
        <v>1359</v>
      </c>
      <c r="H499" s="15"/>
      <c r="I499" s="15" t="s">
        <v>429</v>
      </c>
      <c r="J499" s="15" t="s">
        <v>1360</v>
      </c>
      <c r="K499" s="15" t="s">
        <v>1559</v>
      </c>
      <c r="L499" s="15" t="s">
        <v>233</v>
      </c>
      <c r="M499" s="15" t="s">
        <v>349</v>
      </c>
      <c r="N499" s="15" t="s">
        <v>218</v>
      </c>
      <c r="O499" s="15" t="s">
        <v>1362</v>
      </c>
      <c r="P499" s="15" t="s">
        <v>219</v>
      </c>
      <c r="Q499" s="15" t="s">
        <v>219</v>
      </c>
      <c r="R499" s="15" t="s">
        <v>219</v>
      </c>
      <c r="S499" s="15" t="s">
        <v>219</v>
      </c>
      <c r="T499" s="15" t="s">
        <v>219</v>
      </c>
      <c r="U499" s="15" t="s">
        <v>219</v>
      </c>
      <c r="V499" s="15" t="s">
        <v>219</v>
      </c>
      <c r="W499" s="15">
        <v>32</v>
      </c>
      <c r="X499" s="15" t="str">
        <f>_xlfn.XLOOKUP(tblMeasure[[#This Row],[id_src]],tblSource[id_src],tblSource[org])</f>
        <v xml:space="preserve">NIH National Institute of Ageing </v>
      </c>
      <c r="Y499" s="25" t="str">
        <f>_xlfn.XLOOKUP(tblMeasure[[#This Row],[id_src]],tblSource[id_src],tblSource[source])</f>
        <v>English Longitudinal Study of Ageing</v>
      </c>
      <c r="Z499" s="25" t="str">
        <f>_xlfn.XLOOKUP(tblMeasure[[#This Row],[id_src]],tblSource[id_src],tblSource[url_source])</f>
        <v>https://www.ifs.org.uk/uploads/ELSA_Wave_8_report.pdf</v>
      </c>
      <c r="AA499" s="25">
        <f>_xlfn.XLOOKUP(tblMeasure[[#This Row],[id_src]],tblSource[id_src],tblSource[year_first_published])</f>
        <v>2002</v>
      </c>
      <c r="AB499" s="25">
        <f>_xlfn.XLOOKUP(tblMeasure[[#This Row],[id_src]],tblSource[id_src],tblSource[year_last_published])</f>
        <v>2018</v>
      </c>
      <c r="AC499" s="25">
        <f>_xlfn.XLOOKUP(tblMeasure[[#This Row],[id_src]],tblSource[id_src],tblSource[discontinuity])</f>
        <v>0</v>
      </c>
      <c r="AD499" s="25" t="str">
        <f>_xlfn.XLOOKUP(tblMeasure[[#This Row],[id_src]],tblSource[id_src],tblSource[publication_frequency])</f>
        <v>Biennial</v>
      </c>
      <c r="AE499" s="15">
        <f>_xlfn.XLOOKUP(tblMeasure[[#This Row],[id_src]],tblSource[id_src],tblSource[publication_lag_months])</f>
        <v>10</v>
      </c>
      <c r="AF499" s="25" t="str">
        <f>_xlfn.XLOOKUP(tblMeasure[[#This Row],[id_src]],tblSource[id_src],tblSource[data_providers])</f>
        <v>UCL, IFS, Manchester University, NatCen, UEA</v>
      </c>
      <c r="AG499" s="25" t="str">
        <f>_xlfn.XLOOKUP(tblMeasure[[#This Row],[id_src]],tblSource[id_src],tblSource[statistic_class])</f>
        <v>TBD</v>
      </c>
      <c r="AH499" s="25" t="str">
        <f>_xlfn.XLOOKUP(tblMeasure[[#This Row],[id_src]],tblSource[id_src],tblSource[methodology_link])</f>
        <v>https://www.ifs.org.uk/uploads/ELSA_Wave_8_report.pdf</v>
      </c>
      <c r="AI499" s="25" t="str">
        <f>_xlfn.XLOOKUP(tblMeasure[[#This Row],[id_src]],tblSource[id_src],tblSource[quality_issues])</f>
        <v>TBD</v>
      </c>
      <c r="AJ499" s="25">
        <f>VLOOKUP(tblMeasure[[#This Row],[msr_population_or_survey]],strlu_msr_population_or_survey,2,FALSE)</f>
        <v>0</v>
      </c>
      <c r="AK499" s="25">
        <f>VLOOKUP(tblMeasure[[#This Row],[msr_min_geo_resolution]],strlu_msr_min_geo_resolution,2,FALSE)</f>
        <v>0</v>
      </c>
      <c r="AL499" s="25">
        <f>(MAX(tblMeasure[[#This Row],[src_year_last_published]]-2010+1,0)+MIN(2010-tblMeasure[[#This Row],[src_year_first_published]],0)-MAX(tblMeasure[[#This Row],[src_year_last_published]]-2019,0))/10</f>
        <v>0.9</v>
      </c>
      <c r="AM499" s="25">
        <f>IF(OR(tblMeasure[[#This Row],[src_discontinuity]]="None",tblMeasure[[#This Row],[src_discontinuity]]=0),1,0)</f>
        <v>1</v>
      </c>
      <c r="AN499" s="25">
        <f>VLOOKUP(tblMeasure[[#This Row],[src_pub_frequency]],strlu_src_pub_frequency,2,FALSE)</f>
        <v>0.5</v>
      </c>
      <c r="AO499" s="25">
        <f>VLOOKUP(tblMeasure[[#This Row],[src_pub_lag_months]],strlu_src_pub_lag_months,2,FALSE)</f>
        <v>0.1</v>
      </c>
      <c r="AP499" s="25">
        <f>VLOOKUP(tblMeasure[[#This Row],[src_statistic_class]],strlu_src_statistic_class,2,FALSE)</f>
        <v>0</v>
      </c>
      <c r="AQ499" s="25">
        <f>IF(tblMeasure[[#This Row],[src_methodology_url]]="TBD",0,1)</f>
        <v>1</v>
      </c>
      <c r="AR499" s="25">
        <f>IF(tblMeasure[[#This Row],[src_quality_url]]="TBD",0,1)</f>
        <v>0</v>
      </c>
      <c r="AS499" s="85" cm="1">
        <f t="array" ref="AS499">SUMPRODUCT(TRANSPOSE(tblMeasure[[#This Row],[str_msr_population_or_survey]:[str_src_quality_url]]),str_weights)/str_weights_total</f>
        <v>0.33846153846153848</v>
      </c>
    </row>
    <row r="500" spans="1:45" hidden="1" x14ac:dyDescent="0.15">
      <c r="A500" s="30">
        <v>498</v>
      </c>
      <c r="B500" s="32">
        <f>COUNTIF(requirement_measure_map!$D$3:$D$1514,measure!A500)</f>
        <v>0</v>
      </c>
      <c r="C500" s="30" t="s">
        <v>800</v>
      </c>
      <c r="D500" s="15" t="s">
        <v>1551</v>
      </c>
      <c r="E500" s="15" t="s">
        <v>1564</v>
      </c>
      <c r="F500" s="15" t="s">
        <v>1565</v>
      </c>
      <c r="G500" s="13" t="s">
        <v>1359</v>
      </c>
      <c r="H500" s="15"/>
      <c r="I500" s="15" t="s">
        <v>429</v>
      </c>
      <c r="J500" s="15" t="s">
        <v>1360</v>
      </c>
      <c r="K500" s="15" t="s">
        <v>1559</v>
      </c>
      <c r="L500" s="15" t="s">
        <v>233</v>
      </c>
      <c r="M500" s="15" t="s">
        <v>1362</v>
      </c>
      <c r="N500" s="15" t="s">
        <v>218</v>
      </c>
      <c r="O500" s="15" t="s">
        <v>243</v>
      </c>
      <c r="P500" s="15" t="s">
        <v>219</v>
      </c>
      <c r="Q500" s="15" t="s">
        <v>219</v>
      </c>
      <c r="R500" s="15" t="s">
        <v>219</v>
      </c>
      <c r="S500" s="15" t="s">
        <v>219</v>
      </c>
      <c r="T500" s="15" t="s">
        <v>219</v>
      </c>
      <c r="U500" s="15" t="s">
        <v>219</v>
      </c>
      <c r="V500" s="15" t="s">
        <v>219</v>
      </c>
      <c r="W500" s="15">
        <v>32</v>
      </c>
      <c r="X500" s="15" t="str">
        <f>_xlfn.XLOOKUP(tblMeasure[[#This Row],[id_src]],tblSource[id_src],tblSource[org])</f>
        <v xml:space="preserve">NIH National Institute of Ageing </v>
      </c>
      <c r="Y500" s="25" t="str">
        <f>_xlfn.XLOOKUP(tblMeasure[[#This Row],[id_src]],tblSource[id_src],tblSource[source])</f>
        <v>English Longitudinal Study of Ageing</v>
      </c>
      <c r="Z500" s="25" t="str">
        <f>_xlfn.XLOOKUP(tblMeasure[[#This Row],[id_src]],tblSource[id_src],tblSource[url_source])</f>
        <v>https://www.ifs.org.uk/uploads/ELSA_Wave_8_report.pdf</v>
      </c>
      <c r="AA500" s="25">
        <f>_xlfn.XLOOKUP(tblMeasure[[#This Row],[id_src]],tblSource[id_src],tblSource[year_first_published])</f>
        <v>2002</v>
      </c>
      <c r="AB500" s="25">
        <f>_xlfn.XLOOKUP(tblMeasure[[#This Row],[id_src]],tblSource[id_src],tblSource[year_last_published])</f>
        <v>2018</v>
      </c>
      <c r="AC500" s="25">
        <f>_xlfn.XLOOKUP(tblMeasure[[#This Row],[id_src]],tblSource[id_src],tblSource[discontinuity])</f>
        <v>0</v>
      </c>
      <c r="AD500" s="25" t="str">
        <f>_xlfn.XLOOKUP(tblMeasure[[#This Row],[id_src]],tblSource[id_src],tblSource[publication_frequency])</f>
        <v>Biennial</v>
      </c>
      <c r="AE500" s="15">
        <f>_xlfn.XLOOKUP(tblMeasure[[#This Row],[id_src]],tblSource[id_src],tblSource[publication_lag_months])</f>
        <v>10</v>
      </c>
      <c r="AF500" s="25" t="str">
        <f>_xlfn.XLOOKUP(tblMeasure[[#This Row],[id_src]],tblSource[id_src],tblSource[data_providers])</f>
        <v>UCL, IFS, Manchester University, NatCen, UEA</v>
      </c>
      <c r="AG500" s="25" t="str">
        <f>_xlfn.XLOOKUP(tblMeasure[[#This Row],[id_src]],tblSource[id_src],tblSource[statistic_class])</f>
        <v>TBD</v>
      </c>
      <c r="AH500" s="25" t="str">
        <f>_xlfn.XLOOKUP(tblMeasure[[#This Row],[id_src]],tblSource[id_src],tblSource[methodology_link])</f>
        <v>https://www.ifs.org.uk/uploads/ELSA_Wave_8_report.pdf</v>
      </c>
      <c r="AI500" s="25" t="str">
        <f>_xlfn.XLOOKUP(tblMeasure[[#This Row],[id_src]],tblSource[id_src],tblSource[quality_issues])</f>
        <v>TBD</v>
      </c>
      <c r="AJ500" s="25">
        <f>VLOOKUP(tblMeasure[[#This Row],[msr_population_or_survey]],strlu_msr_population_or_survey,2,FALSE)</f>
        <v>0</v>
      </c>
      <c r="AK500" s="25">
        <f>VLOOKUP(tblMeasure[[#This Row],[msr_min_geo_resolution]],strlu_msr_min_geo_resolution,2,FALSE)</f>
        <v>0</v>
      </c>
      <c r="AL500" s="25">
        <f>(MAX(tblMeasure[[#This Row],[src_year_last_published]]-2010+1,0)+MIN(2010-tblMeasure[[#This Row],[src_year_first_published]],0)-MAX(tblMeasure[[#This Row],[src_year_last_published]]-2019,0))/10</f>
        <v>0.9</v>
      </c>
      <c r="AM500" s="25">
        <f>IF(OR(tblMeasure[[#This Row],[src_discontinuity]]="None",tblMeasure[[#This Row],[src_discontinuity]]=0),1,0)</f>
        <v>1</v>
      </c>
      <c r="AN500" s="25">
        <f>VLOOKUP(tblMeasure[[#This Row],[src_pub_frequency]],strlu_src_pub_frequency,2,FALSE)</f>
        <v>0.5</v>
      </c>
      <c r="AO500" s="25">
        <f>VLOOKUP(tblMeasure[[#This Row],[src_pub_lag_months]],strlu_src_pub_lag_months,2,FALSE)</f>
        <v>0.1</v>
      </c>
      <c r="AP500" s="25">
        <f>VLOOKUP(tblMeasure[[#This Row],[src_statistic_class]],strlu_src_statistic_class,2,FALSE)</f>
        <v>0</v>
      </c>
      <c r="AQ500" s="25">
        <f>IF(tblMeasure[[#This Row],[src_methodology_url]]="TBD",0,1)</f>
        <v>1</v>
      </c>
      <c r="AR500" s="25">
        <f>IF(tblMeasure[[#This Row],[src_quality_url]]="TBD",0,1)</f>
        <v>0</v>
      </c>
      <c r="AS500" s="85" cm="1">
        <f t="array" ref="AS500">SUMPRODUCT(TRANSPOSE(tblMeasure[[#This Row],[str_msr_population_or_survey]:[str_src_quality_url]]),str_weights)/str_weights_total</f>
        <v>0.33846153846153848</v>
      </c>
    </row>
    <row r="501" spans="1:45" hidden="1" x14ac:dyDescent="0.15">
      <c r="A501" s="30">
        <v>499</v>
      </c>
      <c r="B501" s="32">
        <f>COUNTIF(requirement_measure_map!$D$3:$D$1514,measure!A501)</f>
        <v>3</v>
      </c>
      <c r="C501" s="30" t="s">
        <v>1395</v>
      </c>
      <c r="D501" s="15" t="s">
        <v>1551</v>
      </c>
      <c r="E501" s="15" t="s">
        <v>1566</v>
      </c>
      <c r="F501" s="15" t="s">
        <v>1567</v>
      </c>
      <c r="G501" s="13" t="s">
        <v>1359</v>
      </c>
      <c r="H501" s="15"/>
      <c r="I501" s="15" t="s">
        <v>429</v>
      </c>
      <c r="J501" s="15" t="s">
        <v>1360</v>
      </c>
      <c r="K501" s="15" t="s">
        <v>1568</v>
      </c>
      <c r="L501" s="15" t="s">
        <v>233</v>
      </c>
      <c r="M501" s="15" t="s">
        <v>349</v>
      </c>
      <c r="N501" s="15" t="s">
        <v>218</v>
      </c>
      <c r="O501" s="15" t="s">
        <v>1362</v>
      </c>
      <c r="P501" s="15" t="s">
        <v>219</v>
      </c>
      <c r="Q501" s="15" t="s">
        <v>219</v>
      </c>
      <c r="R501" s="15" t="s">
        <v>219</v>
      </c>
      <c r="S501" s="15" t="s">
        <v>219</v>
      </c>
      <c r="T501" s="15" t="s">
        <v>219</v>
      </c>
      <c r="U501" s="15" t="s">
        <v>219</v>
      </c>
      <c r="V501" s="15" t="s">
        <v>219</v>
      </c>
      <c r="W501" s="15">
        <v>32</v>
      </c>
      <c r="X501" s="15" t="str">
        <f>_xlfn.XLOOKUP(tblMeasure[[#This Row],[id_src]],tblSource[id_src],tblSource[org])</f>
        <v xml:space="preserve">NIH National Institute of Ageing </v>
      </c>
      <c r="Y501" s="25" t="str">
        <f>_xlfn.XLOOKUP(tblMeasure[[#This Row],[id_src]],tblSource[id_src],tblSource[source])</f>
        <v>English Longitudinal Study of Ageing</v>
      </c>
      <c r="Z501" s="25" t="str">
        <f>_xlfn.XLOOKUP(tblMeasure[[#This Row],[id_src]],tblSource[id_src],tblSource[url_source])</f>
        <v>https://www.ifs.org.uk/uploads/ELSA_Wave_8_report.pdf</v>
      </c>
      <c r="AA501" s="25">
        <f>_xlfn.XLOOKUP(tblMeasure[[#This Row],[id_src]],tblSource[id_src],tblSource[year_first_published])</f>
        <v>2002</v>
      </c>
      <c r="AB501" s="25">
        <f>_xlfn.XLOOKUP(tblMeasure[[#This Row],[id_src]],tblSource[id_src],tblSource[year_last_published])</f>
        <v>2018</v>
      </c>
      <c r="AC501" s="25">
        <f>_xlfn.XLOOKUP(tblMeasure[[#This Row],[id_src]],tblSource[id_src],tblSource[discontinuity])</f>
        <v>0</v>
      </c>
      <c r="AD501" s="25" t="str">
        <f>_xlfn.XLOOKUP(tblMeasure[[#This Row],[id_src]],tblSource[id_src],tblSource[publication_frequency])</f>
        <v>Biennial</v>
      </c>
      <c r="AE501" s="15">
        <f>_xlfn.XLOOKUP(tblMeasure[[#This Row],[id_src]],tblSource[id_src],tblSource[publication_lag_months])</f>
        <v>10</v>
      </c>
      <c r="AF501" s="25" t="str">
        <f>_xlfn.XLOOKUP(tblMeasure[[#This Row],[id_src]],tblSource[id_src],tblSource[data_providers])</f>
        <v>UCL, IFS, Manchester University, NatCen, UEA</v>
      </c>
      <c r="AG501" s="25" t="str">
        <f>_xlfn.XLOOKUP(tblMeasure[[#This Row],[id_src]],tblSource[id_src],tblSource[statistic_class])</f>
        <v>TBD</v>
      </c>
      <c r="AH501" s="25" t="str">
        <f>_xlfn.XLOOKUP(tblMeasure[[#This Row],[id_src]],tblSource[id_src],tblSource[methodology_link])</f>
        <v>https://www.ifs.org.uk/uploads/ELSA_Wave_8_report.pdf</v>
      </c>
      <c r="AI501" s="25" t="str">
        <f>_xlfn.XLOOKUP(tblMeasure[[#This Row],[id_src]],tblSource[id_src],tblSource[quality_issues])</f>
        <v>TBD</v>
      </c>
      <c r="AJ501" s="25">
        <f>VLOOKUP(tblMeasure[[#This Row],[msr_population_or_survey]],strlu_msr_population_or_survey,2,FALSE)</f>
        <v>0</v>
      </c>
      <c r="AK501" s="25">
        <f>VLOOKUP(tblMeasure[[#This Row],[msr_min_geo_resolution]],strlu_msr_min_geo_resolution,2,FALSE)</f>
        <v>0</v>
      </c>
      <c r="AL501" s="25">
        <f>(MAX(tblMeasure[[#This Row],[src_year_last_published]]-2010+1,0)+MIN(2010-tblMeasure[[#This Row],[src_year_first_published]],0)-MAX(tblMeasure[[#This Row],[src_year_last_published]]-2019,0))/10</f>
        <v>0.9</v>
      </c>
      <c r="AM501" s="25">
        <f>IF(OR(tblMeasure[[#This Row],[src_discontinuity]]="None",tblMeasure[[#This Row],[src_discontinuity]]=0),1,0)</f>
        <v>1</v>
      </c>
      <c r="AN501" s="25">
        <f>VLOOKUP(tblMeasure[[#This Row],[src_pub_frequency]],strlu_src_pub_frequency,2,FALSE)</f>
        <v>0.5</v>
      </c>
      <c r="AO501" s="25">
        <f>VLOOKUP(tblMeasure[[#This Row],[src_pub_lag_months]],strlu_src_pub_lag_months,2,FALSE)</f>
        <v>0.1</v>
      </c>
      <c r="AP501" s="25">
        <f>VLOOKUP(tblMeasure[[#This Row],[src_statistic_class]],strlu_src_statistic_class,2,FALSE)</f>
        <v>0</v>
      </c>
      <c r="AQ501" s="25">
        <f>IF(tblMeasure[[#This Row],[src_methodology_url]]="TBD",0,1)</f>
        <v>1</v>
      </c>
      <c r="AR501" s="25">
        <f>IF(tblMeasure[[#This Row],[src_quality_url]]="TBD",0,1)</f>
        <v>0</v>
      </c>
      <c r="AS501" s="85" cm="1">
        <f t="array" ref="AS501">SUMPRODUCT(TRANSPOSE(tblMeasure[[#This Row],[str_msr_population_or_survey]:[str_src_quality_url]]),str_weights)/str_weights_total</f>
        <v>0.33846153846153848</v>
      </c>
    </row>
    <row r="502" spans="1:45" hidden="1" x14ac:dyDescent="0.15">
      <c r="A502" s="30">
        <v>500</v>
      </c>
      <c r="B502" s="32">
        <f>COUNTIF(requirement_measure_map!$D$3:$D$1514,measure!A502)</f>
        <v>3</v>
      </c>
      <c r="C502" s="30" t="s">
        <v>1395</v>
      </c>
      <c r="D502" s="15" t="s">
        <v>1551</v>
      </c>
      <c r="E502" s="15" t="s">
        <v>1569</v>
      </c>
      <c r="F502" s="15" t="s">
        <v>1570</v>
      </c>
      <c r="G502" s="13" t="s">
        <v>1359</v>
      </c>
      <c r="H502" s="15"/>
      <c r="I502" s="15" t="s">
        <v>429</v>
      </c>
      <c r="J502" s="15" t="s">
        <v>1360</v>
      </c>
      <c r="K502" s="15" t="s">
        <v>1568</v>
      </c>
      <c r="L502" s="15" t="s">
        <v>233</v>
      </c>
      <c r="M502" s="15" t="s">
        <v>1362</v>
      </c>
      <c r="N502" s="15" t="s">
        <v>218</v>
      </c>
      <c r="O502" s="15" t="s">
        <v>243</v>
      </c>
      <c r="P502" s="15" t="s">
        <v>219</v>
      </c>
      <c r="Q502" s="15" t="s">
        <v>219</v>
      </c>
      <c r="R502" s="15" t="s">
        <v>219</v>
      </c>
      <c r="S502" s="15" t="s">
        <v>219</v>
      </c>
      <c r="T502" s="15" t="s">
        <v>219</v>
      </c>
      <c r="U502" s="15" t="s">
        <v>219</v>
      </c>
      <c r="V502" s="15" t="s">
        <v>219</v>
      </c>
      <c r="W502" s="15">
        <v>32</v>
      </c>
      <c r="X502" s="15" t="str">
        <f>_xlfn.XLOOKUP(tblMeasure[[#This Row],[id_src]],tblSource[id_src],tblSource[org])</f>
        <v xml:space="preserve">NIH National Institute of Ageing </v>
      </c>
      <c r="Y502" s="25" t="str">
        <f>_xlfn.XLOOKUP(tblMeasure[[#This Row],[id_src]],tblSource[id_src],tblSource[source])</f>
        <v>English Longitudinal Study of Ageing</v>
      </c>
      <c r="Z502" s="25" t="str">
        <f>_xlfn.XLOOKUP(tblMeasure[[#This Row],[id_src]],tblSource[id_src],tblSource[url_source])</f>
        <v>https://www.ifs.org.uk/uploads/ELSA_Wave_8_report.pdf</v>
      </c>
      <c r="AA502" s="25">
        <f>_xlfn.XLOOKUP(tblMeasure[[#This Row],[id_src]],tblSource[id_src],tblSource[year_first_published])</f>
        <v>2002</v>
      </c>
      <c r="AB502" s="25">
        <f>_xlfn.XLOOKUP(tblMeasure[[#This Row],[id_src]],tblSource[id_src],tblSource[year_last_published])</f>
        <v>2018</v>
      </c>
      <c r="AC502" s="25">
        <f>_xlfn.XLOOKUP(tblMeasure[[#This Row],[id_src]],tblSource[id_src],tblSource[discontinuity])</f>
        <v>0</v>
      </c>
      <c r="AD502" s="25" t="str">
        <f>_xlfn.XLOOKUP(tblMeasure[[#This Row],[id_src]],tblSource[id_src],tblSource[publication_frequency])</f>
        <v>Biennial</v>
      </c>
      <c r="AE502" s="15">
        <f>_xlfn.XLOOKUP(tblMeasure[[#This Row],[id_src]],tblSource[id_src],tblSource[publication_lag_months])</f>
        <v>10</v>
      </c>
      <c r="AF502" s="25" t="str">
        <f>_xlfn.XLOOKUP(tblMeasure[[#This Row],[id_src]],tblSource[id_src],tblSource[data_providers])</f>
        <v>UCL, IFS, Manchester University, NatCen, UEA</v>
      </c>
      <c r="AG502" s="25" t="str">
        <f>_xlfn.XLOOKUP(tblMeasure[[#This Row],[id_src]],tblSource[id_src],tblSource[statistic_class])</f>
        <v>TBD</v>
      </c>
      <c r="AH502" s="25" t="str">
        <f>_xlfn.XLOOKUP(tblMeasure[[#This Row],[id_src]],tblSource[id_src],tblSource[methodology_link])</f>
        <v>https://www.ifs.org.uk/uploads/ELSA_Wave_8_report.pdf</v>
      </c>
      <c r="AI502" s="25" t="str">
        <f>_xlfn.XLOOKUP(tblMeasure[[#This Row],[id_src]],tblSource[id_src],tblSource[quality_issues])</f>
        <v>TBD</v>
      </c>
      <c r="AJ502" s="25">
        <f>VLOOKUP(tblMeasure[[#This Row],[msr_population_or_survey]],strlu_msr_population_or_survey,2,FALSE)</f>
        <v>0</v>
      </c>
      <c r="AK502" s="25">
        <f>VLOOKUP(tblMeasure[[#This Row],[msr_min_geo_resolution]],strlu_msr_min_geo_resolution,2,FALSE)</f>
        <v>0</v>
      </c>
      <c r="AL502" s="25">
        <f>(MAX(tblMeasure[[#This Row],[src_year_last_published]]-2010+1,0)+MIN(2010-tblMeasure[[#This Row],[src_year_first_published]],0)-MAX(tblMeasure[[#This Row],[src_year_last_published]]-2019,0))/10</f>
        <v>0.9</v>
      </c>
      <c r="AM502" s="25">
        <f>IF(OR(tblMeasure[[#This Row],[src_discontinuity]]="None",tblMeasure[[#This Row],[src_discontinuity]]=0),1,0)</f>
        <v>1</v>
      </c>
      <c r="AN502" s="25">
        <f>VLOOKUP(tblMeasure[[#This Row],[src_pub_frequency]],strlu_src_pub_frequency,2,FALSE)</f>
        <v>0.5</v>
      </c>
      <c r="AO502" s="25">
        <f>VLOOKUP(tblMeasure[[#This Row],[src_pub_lag_months]],strlu_src_pub_lag_months,2,FALSE)</f>
        <v>0.1</v>
      </c>
      <c r="AP502" s="25">
        <f>VLOOKUP(tblMeasure[[#This Row],[src_statistic_class]],strlu_src_statistic_class,2,FALSE)</f>
        <v>0</v>
      </c>
      <c r="AQ502" s="25">
        <f>IF(tblMeasure[[#This Row],[src_methodology_url]]="TBD",0,1)</f>
        <v>1</v>
      </c>
      <c r="AR502" s="25">
        <f>IF(tblMeasure[[#This Row],[src_quality_url]]="TBD",0,1)</f>
        <v>0</v>
      </c>
      <c r="AS502" s="85" cm="1">
        <f t="array" ref="AS502">SUMPRODUCT(TRANSPOSE(tblMeasure[[#This Row],[str_msr_population_or_survey]:[str_src_quality_url]]),str_weights)/str_weights_total</f>
        <v>0.33846153846153848</v>
      </c>
    </row>
    <row r="503" spans="1:45" hidden="1" x14ac:dyDescent="0.15">
      <c r="A503" s="30">
        <v>501</v>
      </c>
      <c r="B503" s="32">
        <f>COUNTIF(requirement_measure_map!$D$3:$D$1514,measure!A503)</f>
        <v>3</v>
      </c>
      <c r="C503" s="30" t="s">
        <v>1395</v>
      </c>
      <c r="D503" s="15" t="s">
        <v>1551</v>
      </c>
      <c r="E503" s="15" t="s">
        <v>1571</v>
      </c>
      <c r="F503" s="15" t="s">
        <v>1572</v>
      </c>
      <c r="G503" s="13" t="s">
        <v>1359</v>
      </c>
      <c r="H503" s="15"/>
      <c r="I503" s="15" t="s">
        <v>429</v>
      </c>
      <c r="J503" s="15" t="s">
        <v>1360</v>
      </c>
      <c r="K503" s="15" t="s">
        <v>1573</v>
      </c>
      <c r="L503" s="15" t="s">
        <v>233</v>
      </c>
      <c r="M503" s="15" t="s">
        <v>349</v>
      </c>
      <c r="N503" s="15" t="s">
        <v>218</v>
      </c>
      <c r="O503" s="15" t="s">
        <v>1362</v>
      </c>
      <c r="P503" s="15" t="s">
        <v>219</v>
      </c>
      <c r="Q503" s="15" t="s">
        <v>219</v>
      </c>
      <c r="R503" s="15" t="s">
        <v>219</v>
      </c>
      <c r="S503" s="15" t="s">
        <v>219</v>
      </c>
      <c r="T503" s="15" t="s">
        <v>219</v>
      </c>
      <c r="U503" s="15" t="s">
        <v>219</v>
      </c>
      <c r="V503" s="15" t="s">
        <v>219</v>
      </c>
      <c r="W503" s="15">
        <v>32</v>
      </c>
      <c r="X503" s="15" t="str">
        <f>_xlfn.XLOOKUP(tblMeasure[[#This Row],[id_src]],tblSource[id_src],tblSource[org])</f>
        <v xml:space="preserve">NIH National Institute of Ageing </v>
      </c>
      <c r="Y503" s="25" t="str">
        <f>_xlfn.XLOOKUP(tblMeasure[[#This Row],[id_src]],tblSource[id_src],tblSource[source])</f>
        <v>English Longitudinal Study of Ageing</v>
      </c>
      <c r="Z503" s="25" t="str">
        <f>_xlfn.XLOOKUP(tblMeasure[[#This Row],[id_src]],tblSource[id_src],tblSource[url_source])</f>
        <v>https://www.ifs.org.uk/uploads/ELSA_Wave_8_report.pdf</v>
      </c>
      <c r="AA503" s="25">
        <f>_xlfn.XLOOKUP(tblMeasure[[#This Row],[id_src]],tblSource[id_src],tblSource[year_first_published])</f>
        <v>2002</v>
      </c>
      <c r="AB503" s="25">
        <f>_xlfn.XLOOKUP(tblMeasure[[#This Row],[id_src]],tblSource[id_src],tblSource[year_last_published])</f>
        <v>2018</v>
      </c>
      <c r="AC503" s="25">
        <f>_xlfn.XLOOKUP(tblMeasure[[#This Row],[id_src]],tblSource[id_src],tblSource[discontinuity])</f>
        <v>0</v>
      </c>
      <c r="AD503" s="25" t="str">
        <f>_xlfn.XLOOKUP(tblMeasure[[#This Row],[id_src]],tblSource[id_src],tblSource[publication_frequency])</f>
        <v>Biennial</v>
      </c>
      <c r="AE503" s="15">
        <f>_xlfn.XLOOKUP(tblMeasure[[#This Row],[id_src]],tblSource[id_src],tblSource[publication_lag_months])</f>
        <v>10</v>
      </c>
      <c r="AF503" s="25" t="str">
        <f>_xlfn.XLOOKUP(tblMeasure[[#This Row],[id_src]],tblSource[id_src],tblSource[data_providers])</f>
        <v>UCL, IFS, Manchester University, NatCen, UEA</v>
      </c>
      <c r="AG503" s="25" t="str">
        <f>_xlfn.XLOOKUP(tblMeasure[[#This Row],[id_src]],tblSource[id_src],tblSource[statistic_class])</f>
        <v>TBD</v>
      </c>
      <c r="AH503" s="25" t="str">
        <f>_xlfn.XLOOKUP(tblMeasure[[#This Row],[id_src]],tblSource[id_src],tblSource[methodology_link])</f>
        <v>https://www.ifs.org.uk/uploads/ELSA_Wave_8_report.pdf</v>
      </c>
      <c r="AI503" s="25" t="str">
        <f>_xlfn.XLOOKUP(tblMeasure[[#This Row],[id_src]],tblSource[id_src],tblSource[quality_issues])</f>
        <v>TBD</v>
      </c>
      <c r="AJ503" s="25">
        <f>VLOOKUP(tblMeasure[[#This Row],[msr_population_or_survey]],strlu_msr_population_or_survey,2,FALSE)</f>
        <v>0</v>
      </c>
      <c r="AK503" s="25">
        <f>VLOOKUP(tblMeasure[[#This Row],[msr_min_geo_resolution]],strlu_msr_min_geo_resolution,2,FALSE)</f>
        <v>0</v>
      </c>
      <c r="AL503" s="25">
        <f>(MAX(tblMeasure[[#This Row],[src_year_last_published]]-2010+1,0)+MIN(2010-tblMeasure[[#This Row],[src_year_first_published]],0)-MAX(tblMeasure[[#This Row],[src_year_last_published]]-2019,0))/10</f>
        <v>0.9</v>
      </c>
      <c r="AM503" s="25">
        <f>IF(OR(tblMeasure[[#This Row],[src_discontinuity]]="None",tblMeasure[[#This Row],[src_discontinuity]]=0),1,0)</f>
        <v>1</v>
      </c>
      <c r="AN503" s="25">
        <f>VLOOKUP(tblMeasure[[#This Row],[src_pub_frequency]],strlu_src_pub_frequency,2,FALSE)</f>
        <v>0.5</v>
      </c>
      <c r="AO503" s="25">
        <f>VLOOKUP(tblMeasure[[#This Row],[src_pub_lag_months]],strlu_src_pub_lag_months,2,FALSE)</f>
        <v>0.1</v>
      </c>
      <c r="AP503" s="25">
        <f>VLOOKUP(tblMeasure[[#This Row],[src_statistic_class]],strlu_src_statistic_class,2,FALSE)</f>
        <v>0</v>
      </c>
      <c r="AQ503" s="25">
        <f>IF(tblMeasure[[#This Row],[src_methodology_url]]="TBD",0,1)</f>
        <v>1</v>
      </c>
      <c r="AR503" s="25">
        <f>IF(tblMeasure[[#This Row],[src_quality_url]]="TBD",0,1)</f>
        <v>0</v>
      </c>
      <c r="AS503" s="85" cm="1">
        <f t="array" ref="AS503">SUMPRODUCT(TRANSPOSE(tblMeasure[[#This Row],[str_msr_population_or_survey]:[str_src_quality_url]]),str_weights)/str_weights_total</f>
        <v>0.33846153846153848</v>
      </c>
    </row>
    <row r="504" spans="1:45" hidden="1" x14ac:dyDescent="0.15">
      <c r="A504" s="30">
        <v>502</v>
      </c>
      <c r="B504" s="32">
        <f>COUNTIF(requirement_measure_map!$D$3:$D$1514,measure!A504)</f>
        <v>3</v>
      </c>
      <c r="C504" s="30" t="s">
        <v>1395</v>
      </c>
      <c r="D504" s="15" t="s">
        <v>1551</v>
      </c>
      <c r="E504" s="15" t="s">
        <v>1574</v>
      </c>
      <c r="F504" s="15" t="s">
        <v>1575</v>
      </c>
      <c r="G504" s="13" t="s">
        <v>1359</v>
      </c>
      <c r="H504" s="15"/>
      <c r="I504" s="15" t="s">
        <v>429</v>
      </c>
      <c r="J504" s="15" t="s">
        <v>1360</v>
      </c>
      <c r="K504" s="15" t="s">
        <v>1573</v>
      </c>
      <c r="L504" s="15" t="s">
        <v>233</v>
      </c>
      <c r="M504" s="15" t="s">
        <v>1362</v>
      </c>
      <c r="N504" s="15" t="s">
        <v>218</v>
      </c>
      <c r="O504" s="15" t="s">
        <v>243</v>
      </c>
      <c r="P504" s="15" t="s">
        <v>219</v>
      </c>
      <c r="Q504" s="15" t="s">
        <v>219</v>
      </c>
      <c r="R504" s="15" t="s">
        <v>219</v>
      </c>
      <c r="S504" s="15" t="s">
        <v>219</v>
      </c>
      <c r="T504" s="15" t="s">
        <v>219</v>
      </c>
      <c r="U504" s="15" t="s">
        <v>219</v>
      </c>
      <c r="V504" s="15" t="s">
        <v>219</v>
      </c>
      <c r="W504" s="15">
        <v>32</v>
      </c>
      <c r="X504" s="15" t="str">
        <f>_xlfn.XLOOKUP(tblMeasure[[#This Row],[id_src]],tblSource[id_src],tblSource[org])</f>
        <v xml:space="preserve">NIH National Institute of Ageing </v>
      </c>
      <c r="Y504" s="25" t="str">
        <f>_xlfn.XLOOKUP(tblMeasure[[#This Row],[id_src]],tblSource[id_src],tblSource[source])</f>
        <v>English Longitudinal Study of Ageing</v>
      </c>
      <c r="Z504" s="25" t="str">
        <f>_xlfn.XLOOKUP(tblMeasure[[#This Row],[id_src]],tblSource[id_src],tblSource[url_source])</f>
        <v>https://www.ifs.org.uk/uploads/ELSA_Wave_8_report.pdf</v>
      </c>
      <c r="AA504" s="25">
        <f>_xlfn.XLOOKUP(tblMeasure[[#This Row],[id_src]],tblSource[id_src],tblSource[year_first_published])</f>
        <v>2002</v>
      </c>
      <c r="AB504" s="25">
        <f>_xlfn.XLOOKUP(tblMeasure[[#This Row],[id_src]],tblSource[id_src],tblSource[year_last_published])</f>
        <v>2018</v>
      </c>
      <c r="AC504" s="25">
        <f>_xlfn.XLOOKUP(tblMeasure[[#This Row],[id_src]],tblSource[id_src],tblSource[discontinuity])</f>
        <v>0</v>
      </c>
      <c r="AD504" s="25" t="str">
        <f>_xlfn.XLOOKUP(tblMeasure[[#This Row],[id_src]],tblSource[id_src],tblSource[publication_frequency])</f>
        <v>Biennial</v>
      </c>
      <c r="AE504" s="15">
        <f>_xlfn.XLOOKUP(tblMeasure[[#This Row],[id_src]],tblSource[id_src],tblSource[publication_lag_months])</f>
        <v>10</v>
      </c>
      <c r="AF504" s="25" t="str">
        <f>_xlfn.XLOOKUP(tblMeasure[[#This Row],[id_src]],tblSource[id_src],tblSource[data_providers])</f>
        <v>UCL, IFS, Manchester University, NatCen, UEA</v>
      </c>
      <c r="AG504" s="25" t="str">
        <f>_xlfn.XLOOKUP(tblMeasure[[#This Row],[id_src]],tblSource[id_src],tblSource[statistic_class])</f>
        <v>TBD</v>
      </c>
      <c r="AH504" s="25" t="str">
        <f>_xlfn.XLOOKUP(tblMeasure[[#This Row],[id_src]],tblSource[id_src],tblSource[methodology_link])</f>
        <v>https://www.ifs.org.uk/uploads/ELSA_Wave_8_report.pdf</v>
      </c>
      <c r="AI504" s="25" t="str">
        <f>_xlfn.XLOOKUP(tblMeasure[[#This Row],[id_src]],tblSource[id_src],tblSource[quality_issues])</f>
        <v>TBD</v>
      </c>
      <c r="AJ504" s="25">
        <f>VLOOKUP(tblMeasure[[#This Row],[msr_population_or_survey]],strlu_msr_population_or_survey,2,FALSE)</f>
        <v>0</v>
      </c>
      <c r="AK504" s="25">
        <f>VLOOKUP(tblMeasure[[#This Row],[msr_min_geo_resolution]],strlu_msr_min_geo_resolution,2,FALSE)</f>
        <v>0</v>
      </c>
      <c r="AL504" s="25">
        <f>(MAX(tblMeasure[[#This Row],[src_year_last_published]]-2010+1,0)+MIN(2010-tblMeasure[[#This Row],[src_year_first_published]],0)-MAX(tblMeasure[[#This Row],[src_year_last_published]]-2019,0))/10</f>
        <v>0.9</v>
      </c>
      <c r="AM504" s="25">
        <f>IF(OR(tblMeasure[[#This Row],[src_discontinuity]]="None",tblMeasure[[#This Row],[src_discontinuity]]=0),1,0)</f>
        <v>1</v>
      </c>
      <c r="AN504" s="25">
        <f>VLOOKUP(tblMeasure[[#This Row],[src_pub_frequency]],strlu_src_pub_frequency,2,FALSE)</f>
        <v>0.5</v>
      </c>
      <c r="AO504" s="25">
        <f>VLOOKUP(tblMeasure[[#This Row],[src_pub_lag_months]],strlu_src_pub_lag_months,2,FALSE)</f>
        <v>0.1</v>
      </c>
      <c r="AP504" s="25">
        <f>VLOOKUP(tblMeasure[[#This Row],[src_statistic_class]],strlu_src_statistic_class,2,FALSE)</f>
        <v>0</v>
      </c>
      <c r="AQ504" s="25">
        <f>IF(tblMeasure[[#This Row],[src_methodology_url]]="TBD",0,1)</f>
        <v>1</v>
      </c>
      <c r="AR504" s="25">
        <f>IF(tblMeasure[[#This Row],[src_quality_url]]="TBD",0,1)</f>
        <v>0</v>
      </c>
      <c r="AS504" s="85" cm="1">
        <f t="array" ref="AS504">SUMPRODUCT(TRANSPOSE(tblMeasure[[#This Row],[str_msr_population_or_survey]:[str_src_quality_url]]),str_weights)/str_weights_total</f>
        <v>0.33846153846153848</v>
      </c>
    </row>
    <row r="505" spans="1:45" hidden="1" x14ac:dyDescent="0.15">
      <c r="A505" s="30">
        <v>503</v>
      </c>
      <c r="B505" s="32">
        <f>COUNTIF(requirement_measure_map!$D$3:$D$1514,measure!A505)</f>
        <v>3</v>
      </c>
      <c r="C505" s="30" t="s">
        <v>1395</v>
      </c>
      <c r="D505" s="15" t="s">
        <v>1551</v>
      </c>
      <c r="E505" s="15" t="s">
        <v>1576</v>
      </c>
      <c r="F505" s="15" t="s">
        <v>1577</v>
      </c>
      <c r="G505" s="13" t="s">
        <v>1359</v>
      </c>
      <c r="H505" s="15"/>
      <c r="I505" s="15" t="s">
        <v>429</v>
      </c>
      <c r="J505" s="15" t="s">
        <v>1360</v>
      </c>
      <c r="K505" s="15" t="s">
        <v>1578</v>
      </c>
      <c r="L505" s="15" t="s">
        <v>233</v>
      </c>
      <c r="M505" s="15" t="s">
        <v>349</v>
      </c>
      <c r="N505" s="15" t="s">
        <v>218</v>
      </c>
      <c r="O505" s="15" t="s">
        <v>1362</v>
      </c>
      <c r="P505" s="15" t="s">
        <v>219</v>
      </c>
      <c r="Q505" s="15" t="s">
        <v>219</v>
      </c>
      <c r="R505" s="15" t="s">
        <v>219</v>
      </c>
      <c r="S505" s="15" t="s">
        <v>219</v>
      </c>
      <c r="T505" s="15" t="s">
        <v>219</v>
      </c>
      <c r="U505" s="15" t="s">
        <v>219</v>
      </c>
      <c r="V505" s="15" t="s">
        <v>219</v>
      </c>
      <c r="W505" s="15">
        <v>32</v>
      </c>
      <c r="X505" s="15" t="str">
        <f>_xlfn.XLOOKUP(tblMeasure[[#This Row],[id_src]],tblSource[id_src],tblSource[org])</f>
        <v xml:space="preserve">NIH National Institute of Ageing </v>
      </c>
      <c r="Y505" s="25" t="str">
        <f>_xlfn.XLOOKUP(tblMeasure[[#This Row],[id_src]],tblSource[id_src],tblSource[source])</f>
        <v>English Longitudinal Study of Ageing</v>
      </c>
      <c r="Z505" s="25" t="str">
        <f>_xlfn.XLOOKUP(tblMeasure[[#This Row],[id_src]],tblSource[id_src],tblSource[url_source])</f>
        <v>https://www.ifs.org.uk/uploads/ELSA_Wave_8_report.pdf</v>
      </c>
      <c r="AA505" s="25">
        <f>_xlfn.XLOOKUP(tblMeasure[[#This Row],[id_src]],tblSource[id_src],tblSource[year_first_published])</f>
        <v>2002</v>
      </c>
      <c r="AB505" s="25">
        <f>_xlfn.XLOOKUP(tblMeasure[[#This Row],[id_src]],tblSource[id_src],tblSource[year_last_published])</f>
        <v>2018</v>
      </c>
      <c r="AC505" s="25">
        <f>_xlfn.XLOOKUP(tblMeasure[[#This Row],[id_src]],tblSource[id_src],tblSource[discontinuity])</f>
        <v>0</v>
      </c>
      <c r="AD505" s="25" t="str">
        <f>_xlfn.XLOOKUP(tblMeasure[[#This Row],[id_src]],tblSource[id_src],tblSource[publication_frequency])</f>
        <v>Biennial</v>
      </c>
      <c r="AE505" s="15">
        <f>_xlfn.XLOOKUP(tblMeasure[[#This Row],[id_src]],tblSource[id_src],tblSource[publication_lag_months])</f>
        <v>10</v>
      </c>
      <c r="AF505" s="25" t="str">
        <f>_xlfn.XLOOKUP(tblMeasure[[#This Row],[id_src]],tblSource[id_src],tblSource[data_providers])</f>
        <v>UCL, IFS, Manchester University, NatCen, UEA</v>
      </c>
      <c r="AG505" s="25" t="str">
        <f>_xlfn.XLOOKUP(tblMeasure[[#This Row],[id_src]],tblSource[id_src],tblSource[statistic_class])</f>
        <v>TBD</v>
      </c>
      <c r="AH505" s="25" t="str">
        <f>_xlfn.XLOOKUP(tblMeasure[[#This Row],[id_src]],tblSource[id_src],tblSource[methodology_link])</f>
        <v>https://www.ifs.org.uk/uploads/ELSA_Wave_8_report.pdf</v>
      </c>
      <c r="AI505" s="25" t="str">
        <f>_xlfn.XLOOKUP(tblMeasure[[#This Row],[id_src]],tblSource[id_src],tblSource[quality_issues])</f>
        <v>TBD</v>
      </c>
      <c r="AJ505" s="25">
        <f>VLOOKUP(tblMeasure[[#This Row],[msr_population_or_survey]],strlu_msr_population_or_survey,2,FALSE)</f>
        <v>0</v>
      </c>
      <c r="AK505" s="25">
        <f>VLOOKUP(tblMeasure[[#This Row],[msr_min_geo_resolution]],strlu_msr_min_geo_resolution,2,FALSE)</f>
        <v>0</v>
      </c>
      <c r="AL505" s="25">
        <f>(MAX(tblMeasure[[#This Row],[src_year_last_published]]-2010+1,0)+MIN(2010-tblMeasure[[#This Row],[src_year_first_published]],0)-MAX(tblMeasure[[#This Row],[src_year_last_published]]-2019,0))/10</f>
        <v>0.9</v>
      </c>
      <c r="AM505" s="25">
        <f>IF(OR(tblMeasure[[#This Row],[src_discontinuity]]="None",tblMeasure[[#This Row],[src_discontinuity]]=0),1,0)</f>
        <v>1</v>
      </c>
      <c r="AN505" s="25">
        <f>VLOOKUP(tblMeasure[[#This Row],[src_pub_frequency]],strlu_src_pub_frequency,2,FALSE)</f>
        <v>0.5</v>
      </c>
      <c r="AO505" s="25">
        <f>VLOOKUP(tblMeasure[[#This Row],[src_pub_lag_months]],strlu_src_pub_lag_months,2,FALSE)</f>
        <v>0.1</v>
      </c>
      <c r="AP505" s="25">
        <f>VLOOKUP(tblMeasure[[#This Row],[src_statistic_class]],strlu_src_statistic_class,2,FALSE)</f>
        <v>0</v>
      </c>
      <c r="AQ505" s="25">
        <f>IF(tblMeasure[[#This Row],[src_methodology_url]]="TBD",0,1)</f>
        <v>1</v>
      </c>
      <c r="AR505" s="25">
        <f>IF(tblMeasure[[#This Row],[src_quality_url]]="TBD",0,1)</f>
        <v>0</v>
      </c>
      <c r="AS505" s="85" cm="1">
        <f t="array" ref="AS505">SUMPRODUCT(TRANSPOSE(tblMeasure[[#This Row],[str_msr_population_or_survey]:[str_src_quality_url]]),str_weights)/str_weights_total</f>
        <v>0.33846153846153848</v>
      </c>
    </row>
    <row r="506" spans="1:45" hidden="1" x14ac:dyDescent="0.15">
      <c r="A506" s="30">
        <v>504</v>
      </c>
      <c r="B506" s="32">
        <f>COUNTIF(requirement_measure_map!$D$3:$D$1514,measure!A506)</f>
        <v>3</v>
      </c>
      <c r="C506" s="30" t="s">
        <v>1395</v>
      </c>
      <c r="D506" s="15" t="s">
        <v>1551</v>
      </c>
      <c r="E506" s="15" t="s">
        <v>1579</v>
      </c>
      <c r="F506" s="15" t="s">
        <v>1580</v>
      </c>
      <c r="G506" s="13" t="s">
        <v>1359</v>
      </c>
      <c r="H506" s="15"/>
      <c r="I506" s="15" t="s">
        <v>429</v>
      </c>
      <c r="J506" s="15" t="s">
        <v>1360</v>
      </c>
      <c r="K506" s="15" t="s">
        <v>1578</v>
      </c>
      <c r="L506" s="15" t="s">
        <v>233</v>
      </c>
      <c r="M506" s="15" t="s">
        <v>1362</v>
      </c>
      <c r="N506" s="15" t="s">
        <v>218</v>
      </c>
      <c r="O506" s="15" t="s">
        <v>243</v>
      </c>
      <c r="P506" s="15" t="s">
        <v>219</v>
      </c>
      <c r="Q506" s="15" t="s">
        <v>219</v>
      </c>
      <c r="R506" s="15" t="s">
        <v>219</v>
      </c>
      <c r="S506" s="15" t="s">
        <v>219</v>
      </c>
      <c r="T506" s="15" t="s">
        <v>219</v>
      </c>
      <c r="U506" s="15" t="s">
        <v>219</v>
      </c>
      <c r="V506" s="15" t="s">
        <v>219</v>
      </c>
      <c r="W506" s="15">
        <v>32</v>
      </c>
      <c r="X506" s="15" t="str">
        <f>_xlfn.XLOOKUP(tblMeasure[[#This Row],[id_src]],tblSource[id_src],tblSource[org])</f>
        <v xml:space="preserve">NIH National Institute of Ageing </v>
      </c>
      <c r="Y506" s="25" t="str">
        <f>_xlfn.XLOOKUP(tblMeasure[[#This Row],[id_src]],tblSource[id_src],tblSource[source])</f>
        <v>English Longitudinal Study of Ageing</v>
      </c>
      <c r="Z506" s="25" t="str">
        <f>_xlfn.XLOOKUP(tblMeasure[[#This Row],[id_src]],tblSource[id_src],tblSource[url_source])</f>
        <v>https://www.ifs.org.uk/uploads/ELSA_Wave_8_report.pdf</v>
      </c>
      <c r="AA506" s="25">
        <f>_xlfn.XLOOKUP(tblMeasure[[#This Row],[id_src]],tblSource[id_src],tblSource[year_first_published])</f>
        <v>2002</v>
      </c>
      <c r="AB506" s="25">
        <f>_xlfn.XLOOKUP(tblMeasure[[#This Row],[id_src]],tblSource[id_src],tblSource[year_last_published])</f>
        <v>2018</v>
      </c>
      <c r="AC506" s="25">
        <f>_xlfn.XLOOKUP(tblMeasure[[#This Row],[id_src]],tblSource[id_src],tblSource[discontinuity])</f>
        <v>0</v>
      </c>
      <c r="AD506" s="25" t="str">
        <f>_xlfn.XLOOKUP(tblMeasure[[#This Row],[id_src]],tblSource[id_src],tblSource[publication_frequency])</f>
        <v>Biennial</v>
      </c>
      <c r="AE506" s="15">
        <f>_xlfn.XLOOKUP(tblMeasure[[#This Row],[id_src]],tblSource[id_src],tblSource[publication_lag_months])</f>
        <v>10</v>
      </c>
      <c r="AF506" s="25" t="str">
        <f>_xlfn.XLOOKUP(tblMeasure[[#This Row],[id_src]],tblSource[id_src],tblSource[data_providers])</f>
        <v>UCL, IFS, Manchester University, NatCen, UEA</v>
      </c>
      <c r="AG506" s="25" t="str">
        <f>_xlfn.XLOOKUP(tblMeasure[[#This Row],[id_src]],tblSource[id_src],tblSource[statistic_class])</f>
        <v>TBD</v>
      </c>
      <c r="AH506" s="25" t="str">
        <f>_xlfn.XLOOKUP(tblMeasure[[#This Row],[id_src]],tblSource[id_src],tblSource[methodology_link])</f>
        <v>https://www.ifs.org.uk/uploads/ELSA_Wave_8_report.pdf</v>
      </c>
      <c r="AI506" s="25" t="str">
        <f>_xlfn.XLOOKUP(tblMeasure[[#This Row],[id_src]],tblSource[id_src],tblSource[quality_issues])</f>
        <v>TBD</v>
      </c>
      <c r="AJ506" s="25">
        <f>VLOOKUP(tblMeasure[[#This Row],[msr_population_or_survey]],strlu_msr_population_or_survey,2,FALSE)</f>
        <v>0</v>
      </c>
      <c r="AK506" s="25">
        <f>VLOOKUP(tblMeasure[[#This Row],[msr_min_geo_resolution]],strlu_msr_min_geo_resolution,2,FALSE)</f>
        <v>0</v>
      </c>
      <c r="AL506" s="25">
        <f>(MAX(tblMeasure[[#This Row],[src_year_last_published]]-2010+1,0)+MIN(2010-tblMeasure[[#This Row],[src_year_first_published]],0)-MAX(tblMeasure[[#This Row],[src_year_last_published]]-2019,0))/10</f>
        <v>0.9</v>
      </c>
      <c r="AM506" s="25">
        <f>IF(OR(tblMeasure[[#This Row],[src_discontinuity]]="None",tblMeasure[[#This Row],[src_discontinuity]]=0),1,0)</f>
        <v>1</v>
      </c>
      <c r="AN506" s="25">
        <f>VLOOKUP(tblMeasure[[#This Row],[src_pub_frequency]],strlu_src_pub_frequency,2,FALSE)</f>
        <v>0.5</v>
      </c>
      <c r="AO506" s="25">
        <f>VLOOKUP(tblMeasure[[#This Row],[src_pub_lag_months]],strlu_src_pub_lag_months,2,FALSE)</f>
        <v>0.1</v>
      </c>
      <c r="AP506" s="25">
        <f>VLOOKUP(tblMeasure[[#This Row],[src_statistic_class]],strlu_src_statistic_class,2,FALSE)</f>
        <v>0</v>
      </c>
      <c r="AQ506" s="25">
        <f>IF(tblMeasure[[#This Row],[src_methodology_url]]="TBD",0,1)</f>
        <v>1</v>
      </c>
      <c r="AR506" s="25">
        <f>IF(tblMeasure[[#This Row],[src_quality_url]]="TBD",0,1)</f>
        <v>0</v>
      </c>
      <c r="AS506" s="85" cm="1">
        <f t="array" ref="AS506">SUMPRODUCT(TRANSPOSE(tblMeasure[[#This Row],[str_msr_population_or_survey]:[str_src_quality_url]]),str_weights)/str_weights_total</f>
        <v>0.33846153846153848</v>
      </c>
    </row>
    <row r="507" spans="1:45" hidden="1" x14ac:dyDescent="0.15">
      <c r="A507" s="30">
        <v>505</v>
      </c>
      <c r="B507" s="32">
        <f>COUNTIF(requirement_measure_map!$D$3:$D$1514,measure!A507)</f>
        <v>3</v>
      </c>
      <c r="C507" s="30" t="s">
        <v>1395</v>
      </c>
      <c r="D507" s="15" t="s">
        <v>1551</v>
      </c>
      <c r="E507" s="15" t="s">
        <v>1581</v>
      </c>
      <c r="F507" s="15" t="s">
        <v>1582</v>
      </c>
      <c r="G507" s="13" t="s">
        <v>1359</v>
      </c>
      <c r="H507" s="15"/>
      <c r="I507" s="15" t="s">
        <v>429</v>
      </c>
      <c r="J507" s="15" t="s">
        <v>1360</v>
      </c>
      <c r="K507" s="15" t="s">
        <v>1583</v>
      </c>
      <c r="L507" s="15" t="s">
        <v>233</v>
      </c>
      <c r="M507" s="15" t="s">
        <v>349</v>
      </c>
      <c r="N507" s="15" t="s">
        <v>218</v>
      </c>
      <c r="O507" s="15" t="s">
        <v>1362</v>
      </c>
      <c r="P507" s="15" t="s">
        <v>219</v>
      </c>
      <c r="Q507" s="15" t="s">
        <v>219</v>
      </c>
      <c r="R507" s="15" t="s">
        <v>219</v>
      </c>
      <c r="S507" s="15" t="s">
        <v>219</v>
      </c>
      <c r="T507" s="15" t="s">
        <v>219</v>
      </c>
      <c r="U507" s="15" t="s">
        <v>219</v>
      </c>
      <c r="V507" s="15" t="s">
        <v>219</v>
      </c>
      <c r="W507" s="15">
        <v>32</v>
      </c>
      <c r="X507" s="15" t="str">
        <f>_xlfn.XLOOKUP(tblMeasure[[#This Row],[id_src]],tblSource[id_src],tblSource[org])</f>
        <v xml:space="preserve">NIH National Institute of Ageing </v>
      </c>
      <c r="Y507" s="25" t="str">
        <f>_xlfn.XLOOKUP(tblMeasure[[#This Row],[id_src]],tblSource[id_src],tblSource[source])</f>
        <v>English Longitudinal Study of Ageing</v>
      </c>
      <c r="Z507" s="25" t="str">
        <f>_xlfn.XLOOKUP(tblMeasure[[#This Row],[id_src]],tblSource[id_src],tblSource[url_source])</f>
        <v>https://www.ifs.org.uk/uploads/ELSA_Wave_8_report.pdf</v>
      </c>
      <c r="AA507" s="25">
        <f>_xlfn.XLOOKUP(tblMeasure[[#This Row],[id_src]],tblSource[id_src],tblSource[year_first_published])</f>
        <v>2002</v>
      </c>
      <c r="AB507" s="25">
        <f>_xlfn.XLOOKUP(tblMeasure[[#This Row],[id_src]],tblSource[id_src],tblSource[year_last_published])</f>
        <v>2018</v>
      </c>
      <c r="AC507" s="25">
        <f>_xlfn.XLOOKUP(tblMeasure[[#This Row],[id_src]],tblSource[id_src],tblSource[discontinuity])</f>
        <v>0</v>
      </c>
      <c r="AD507" s="25" t="str">
        <f>_xlfn.XLOOKUP(tblMeasure[[#This Row],[id_src]],tblSource[id_src],tblSource[publication_frequency])</f>
        <v>Biennial</v>
      </c>
      <c r="AE507" s="15">
        <f>_xlfn.XLOOKUP(tblMeasure[[#This Row],[id_src]],tblSource[id_src],tblSource[publication_lag_months])</f>
        <v>10</v>
      </c>
      <c r="AF507" s="25" t="str">
        <f>_xlfn.XLOOKUP(tblMeasure[[#This Row],[id_src]],tblSource[id_src],tblSource[data_providers])</f>
        <v>UCL, IFS, Manchester University, NatCen, UEA</v>
      </c>
      <c r="AG507" s="25" t="str">
        <f>_xlfn.XLOOKUP(tblMeasure[[#This Row],[id_src]],tblSource[id_src],tblSource[statistic_class])</f>
        <v>TBD</v>
      </c>
      <c r="AH507" s="25" t="str">
        <f>_xlfn.XLOOKUP(tblMeasure[[#This Row],[id_src]],tblSource[id_src],tblSource[methodology_link])</f>
        <v>https://www.ifs.org.uk/uploads/ELSA_Wave_8_report.pdf</v>
      </c>
      <c r="AI507" s="25" t="str">
        <f>_xlfn.XLOOKUP(tblMeasure[[#This Row],[id_src]],tblSource[id_src],tblSource[quality_issues])</f>
        <v>TBD</v>
      </c>
      <c r="AJ507" s="25">
        <f>VLOOKUP(tblMeasure[[#This Row],[msr_population_or_survey]],strlu_msr_population_or_survey,2,FALSE)</f>
        <v>0</v>
      </c>
      <c r="AK507" s="25">
        <f>VLOOKUP(tblMeasure[[#This Row],[msr_min_geo_resolution]],strlu_msr_min_geo_resolution,2,FALSE)</f>
        <v>0</v>
      </c>
      <c r="AL507" s="25">
        <f>(MAX(tblMeasure[[#This Row],[src_year_last_published]]-2010+1,0)+MIN(2010-tblMeasure[[#This Row],[src_year_first_published]],0)-MAX(tblMeasure[[#This Row],[src_year_last_published]]-2019,0))/10</f>
        <v>0.9</v>
      </c>
      <c r="AM507" s="25">
        <f>IF(OR(tblMeasure[[#This Row],[src_discontinuity]]="None",tblMeasure[[#This Row],[src_discontinuity]]=0),1,0)</f>
        <v>1</v>
      </c>
      <c r="AN507" s="25">
        <f>VLOOKUP(tblMeasure[[#This Row],[src_pub_frequency]],strlu_src_pub_frequency,2,FALSE)</f>
        <v>0.5</v>
      </c>
      <c r="AO507" s="25">
        <f>VLOOKUP(tblMeasure[[#This Row],[src_pub_lag_months]],strlu_src_pub_lag_months,2,FALSE)</f>
        <v>0.1</v>
      </c>
      <c r="AP507" s="25">
        <f>VLOOKUP(tblMeasure[[#This Row],[src_statistic_class]],strlu_src_statistic_class,2,FALSE)</f>
        <v>0</v>
      </c>
      <c r="AQ507" s="25">
        <f>IF(tblMeasure[[#This Row],[src_methodology_url]]="TBD",0,1)</f>
        <v>1</v>
      </c>
      <c r="AR507" s="25">
        <f>IF(tblMeasure[[#This Row],[src_quality_url]]="TBD",0,1)</f>
        <v>0</v>
      </c>
      <c r="AS507" s="85" cm="1">
        <f t="array" ref="AS507">SUMPRODUCT(TRANSPOSE(tblMeasure[[#This Row],[str_msr_population_or_survey]:[str_src_quality_url]]),str_weights)/str_weights_total</f>
        <v>0.33846153846153848</v>
      </c>
    </row>
    <row r="508" spans="1:45" hidden="1" x14ac:dyDescent="0.15">
      <c r="A508" s="30">
        <v>506</v>
      </c>
      <c r="B508" s="32">
        <f>COUNTIF(requirement_measure_map!$D$3:$D$1514,measure!A508)</f>
        <v>3</v>
      </c>
      <c r="C508" s="30" t="s">
        <v>1395</v>
      </c>
      <c r="D508" s="15" t="s">
        <v>1551</v>
      </c>
      <c r="E508" s="15" t="s">
        <v>1584</v>
      </c>
      <c r="F508" s="15" t="s">
        <v>1585</v>
      </c>
      <c r="G508" s="13" t="s">
        <v>1359</v>
      </c>
      <c r="H508" s="15"/>
      <c r="I508" s="15" t="s">
        <v>429</v>
      </c>
      <c r="J508" s="15" t="s">
        <v>1360</v>
      </c>
      <c r="K508" s="15" t="s">
        <v>1583</v>
      </c>
      <c r="L508" s="15" t="s">
        <v>233</v>
      </c>
      <c r="M508" s="15" t="s">
        <v>1362</v>
      </c>
      <c r="N508" s="15" t="s">
        <v>218</v>
      </c>
      <c r="O508" s="15" t="s">
        <v>243</v>
      </c>
      <c r="P508" s="15" t="s">
        <v>219</v>
      </c>
      <c r="Q508" s="15" t="s">
        <v>219</v>
      </c>
      <c r="R508" s="15" t="s">
        <v>219</v>
      </c>
      <c r="S508" s="15" t="s">
        <v>219</v>
      </c>
      <c r="T508" s="15" t="s">
        <v>219</v>
      </c>
      <c r="U508" s="15" t="s">
        <v>219</v>
      </c>
      <c r="V508" s="15" t="s">
        <v>219</v>
      </c>
      <c r="W508" s="15">
        <v>32</v>
      </c>
      <c r="X508" s="15" t="str">
        <f>_xlfn.XLOOKUP(tblMeasure[[#This Row],[id_src]],tblSource[id_src],tblSource[org])</f>
        <v xml:space="preserve">NIH National Institute of Ageing </v>
      </c>
      <c r="Y508" s="25" t="str">
        <f>_xlfn.XLOOKUP(tblMeasure[[#This Row],[id_src]],tblSource[id_src],tblSource[source])</f>
        <v>English Longitudinal Study of Ageing</v>
      </c>
      <c r="Z508" s="25" t="str">
        <f>_xlfn.XLOOKUP(tblMeasure[[#This Row],[id_src]],tblSource[id_src],tblSource[url_source])</f>
        <v>https://www.ifs.org.uk/uploads/ELSA_Wave_8_report.pdf</v>
      </c>
      <c r="AA508" s="25">
        <f>_xlfn.XLOOKUP(tblMeasure[[#This Row],[id_src]],tblSource[id_src],tblSource[year_first_published])</f>
        <v>2002</v>
      </c>
      <c r="AB508" s="25">
        <f>_xlfn.XLOOKUP(tblMeasure[[#This Row],[id_src]],tblSource[id_src],tblSource[year_last_published])</f>
        <v>2018</v>
      </c>
      <c r="AC508" s="25">
        <f>_xlfn.XLOOKUP(tblMeasure[[#This Row],[id_src]],tblSource[id_src],tblSource[discontinuity])</f>
        <v>0</v>
      </c>
      <c r="AD508" s="25" t="str">
        <f>_xlfn.XLOOKUP(tblMeasure[[#This Row],[id_src]],tblSource[id_src],tblSource[publication_frequency])</f>
        <v>Biennial</v>
      </c>
      <c r="AE508" s="15">
        <f>_xlfn.XLOOKUP(tblMeasure[[#This Row],[id_src]],tblSource[id_src],tblSource[publication_lag_months])</f>
        <v>10</v>
      </c>
      <c r="AF508" s="25" t="str">
        <f>_xlfn.XLOOKUP(tblMeasure[[#This Row],[id_src]],tblSource[id_src],tblSource[data_providers])</f>
        <v>UCL, IFS, Manchester University, NatCen, UEA</v>
      </c>
      <c r="AG508" s="25" t="str">
        <f>_xlfn.XLOOKUP(tblMeasure[[#This Row],[id_src]],tblSource[id_src],tblSource[statistic_class])</f>
        <v>TBD</v>
      </c>
      <c r="AH508" s="25" t="str">
        <f>_xlfn.XLOOKUP(tblMeasure[[#This Row],[id_src]],tblSource[id_src],tblSource[methodology_link])</f>
        <v>https://www.ifs.org.uk/uploads/ELSA_Wave_8_report.pdf</v>
      </c>
      <c r="AI508" s="25" t="str">
        <f>_xlfn.XLOOKUP(tblMeasure[[#This Row],[id_src]],tblSource[id_src],tblSource[quality_issues])</f>
        <v>TBD</v>
      </c>
      <c r="AJ508" s="25">
        <f>VLOOKUP(tblMeasure[[#This Row],[msr_population_or_survey]],strlu_msr_population_or_survey,2,FALSE)</f>
        <v>0</v>
      </c>
      <c r="AK508" s="25">
        <f>VLOOKUP(tblMeasure[[#This Row],[msr_min_geo_resolution]],strlu_msr_min_geo_resolution,2,FALSE)</f>
        <v>0</v>
      </c>
      <c r="AL508" s="25">
        <f>(MAX(tblMeasure[[#This Row],[src_year_last_published]]-2010+1,0)+MIN(2010-tblMeasure[[#This Row],[src_year_first_published]],0)-MAX(tblMeasure[[#This Row],[src_year_last_published]]-2019,0))/10</f>
        <v>0.9</v>
      </c>
      <c r="AM508" s="25">
        <f>IF(OR(tblMeasure[[#This Row],[src_discontinuity]]="None",tblMeasure[[#This Row],[src_discontinuity]]=0),1,0)</f>
        <v>1</v>
      </c>
      <c r="AN508" s="25">
        <f>VLOOKUP(tblMeasure[[#This Row],[src_pub_frequency]],strlu_src_pub_frequency,2,FALSE)</f>
        <v>0.5</v>
      </c>
      <c r="AO508" s="25">
        <f>VLOOKUP(tblMeasure[[#This Row],[src_pub_lag_months]],strlu_src_pub_lag_months,2,FALSE)</f>
        <v>0.1</v>
      </c>
      <c r="AP508" s="25">
        <f>VLOOKUP(tblMeasure[[#This Row],[src_statistic_class]],strlu_src_statistic_class,2,FALSE)</f>
        <v>0</v>
      </c>
      <c r="AQ508" s="25">
        <f>IF(tblMeasure[[#This Row],[src_methodology_url]]="TBD",0,1)</f>
        <v>1</v>
      </c>
      <c r="AR508" s="25">
        <f>IF(tblMeasure[[#This Row],[src_quality_url]]="TBD",0,1)</f>
        <v>0</v>
      </c>
      <c r="AS508" s="85" cm="1">
        <f t="array" ref="AS508">SUMPRODUCT(TRANSPOSE(tblMeasure[[#This Row],[str_msr_population_or_survey]:[str_src_quality_url]]),str_weights)/str_weights_total</f>
        <v>0.33846153846153848</v>
      </c>
    </row>
    <row r="509" spans="1:45" hidden="1" x14ac:dyDescent="0.15">
      <c r="A509" s="30">
        <v>507</v>
      </c>
      <c r="B509" s="32">
        <f>COUNTIF(requirement_measure_map!$D$3:$D$1514,measure!A509)</f>
        <v>0</v>
      </c>
      <c r="C509" s="30" t="s">
        <v>800</v>
      </c>
      <c r="D509" s="15" t="s">
        <v>1551</v>
      </c>
      <c r="E509" s="15" t="s">
        <v>1586</v>
      </c>
      <c r="F509" s="15" t="s">
        <v>1587</v>
      </c>
      <c r="G509" s="13" t="s">
        <v>1359</v>
      </c>
      <c r="H509" s="15"/>
      <c r="I509" s="15" t="s">
        <v>429</v>
      </c>
      <c r="J509" s="15" t="s">
        <v>1360</v>
      </c>
      <c r="K509" s="15" t="s">
        <v>1588</v>
      </c>
      <c r="L509" s="15" t="s">
        <v>233</v>
      </c>
      <c r="M509" s="15" t="s">
        <v>349</v>
      </c>
      <c r="N509" s="15" t="s">
        <v>218</v>
      </c>
      <c r="O509" s="15" t="s">
        <v>1362</v>
      </c>
      <c r="P509" s="15" t="s">
        <v>219</v>
      </c>
      <c r="Q509" s="15" t="s">
        <v>219</v>
      </c>
      <c r="R509" s="15" t="s">
        <v>219</v>
      </c>
      <c r="S509" s="15" t="s">
        <v>219</v>
      </c>
      <c r="T509" s="15" t="s">
        <v>219</v>
      </c>
      <c r="U509" s="15" t="s">
        <v>219</v>
      </c>
      <c r="V509" s="15" t="s">
        <v>219</v>
      </c>
      <c r="W509" s="15">
        <v>32</v>
      </c>
      <c r="X509" s="15" t="str">
        <f>_xlfn.XLOOKUP(tblMeasure[[#This Row],[id_src]],tblSource[id_src],tblSource[org])</f>
        <v xml:space="preserve">NIH National Institute of Ageing </v>
      </c>
      <c r="Y509" s="25" t="str">
        <f>_xlfn.XLOOKUP(tblMeasure[[#This Row],[id_src]],tblSource[id_src],tblSource[source])</f>
        <v>English Longitudinal Study of Ageing</v>
      </c>
      <c r="Z509" s="25" t="str">
        <f>_xlfn.XLOOKUP(tblMeasure[[#This Row],[id_src]],tblSource[id_src],tblSource[url_source])</f>
        <v>https://www.ifs.org.uk/uploads/ELSA_Wave_8_report.pdf</v>
      </c>
      <c r="AA509" s="25">
        <f>_xlfn.XLOOKUP(tblMeasure[[#This Row],[id_src]],tblSource[id_src],tblSource[year_first_published])</f>
        <v>2002</v>
      </c>
      <c r="AB509" s="25">
        <f>_xlfn.XLOOKUP(tblMeasure[[#This Row],[id_src]],tblSource[id_src],tblSource[year_last_published])</f>
        <v>2018</v>
      </c>
      <c r="AC509" s="25">
        <f>_xlfn.XLOOKUP(tblMeasure[[#This Row],[id_src]],tblSource[id_src],tblSource[discontinuity])</f>
        <v>0</v>
      </c>
      <c r="AD509" s="25" t="str">
        <f>_xlfn.XLOOKUP(tblMeasure[[#This Row],[id_src]],tblSource[id_src],tblSource[publication_frequency])</f>
        <v>Biennial</v>
      </c>
      <c r="AE509" s="15">
        <f>_xlfn.XLOOKUP(tblMeasure[[#This Row],[id_src]],tblSource[id_src],tblSource[publication_lag_months])</f>
        <v>10</v>
      </c>
      <c r="AF509" s="25" t="str">
        <f>_xlfn.XLOOKUP(tblMeasure[[#This Row],[id_src]],tblSource[id_src],tblSource[data_providers])</f>
        <v>UCL, IFS, Manchester University, NatCen, UEA</v>
      </c>
      <c r="AG509" s="25" t="str">
        <f>_xlfn.XLOOKUP(tblMeasure[[#This Row],[id_src]],tblSource[id_src],tblSource[statistic_class])</f>
        <v>TBD</v>
      </c>
      <c r="AH509" s="25" t="str">
        <f>_xlfn.XLOOKUP(tblMeasure[[#This Row],[id_src]],tblSource[id_src],tblSource[methodology_link])</f>
        <v>https://www.ifs.org.uk/uploads/ELSA_Wave_8_report.pdf</v>
      </c>
      <c r="AI509" s="25" t="str">
        <f>_xlfn.XLOOKUP(tblMeasure[[#This Row],[id_src]],tblSource[id_src],tblSource[quality_issues])</f>
        <v>TBD</v>
      </c>
      <c r="AJ509" s="25">
        <f>VLOOKUP(tblMeasure[[#This Row],[msr_population_or_survey]],strlu_msr_population_or_survey,2,FALSE)</f>
        <v>0</v>
      </c>
      <c r="AK509" s="25">
        <f>VLOOKUP(tblMeasure[[#This Row],[msr_min_geo_resolution]],strlu_msr_min_geo_resolution,2,FALSE)</f>
        <v>0</v>
      </c>
      <c r="AL509" s="25">
        <f>(MAX(tblMeasure[[#This Row],[src_year_last_published]]-2010+1,0)+MIN(2010-tblMeasure[[#This Row],[src_year_first_published]],0)-MAX(tblMeasure[[#This Row],[src_year_last_published]]-2019,0))/10</f>
        <v>0.9</v>
      </c>
      <c r="AM509" s="25">
        <f>IF(OR(tblMeasure[[#This Row],[src_discontinuity]]="None",tblMeasure[[#This Row],[src_discontinuity]]=0),1,0)</f>
        <v>1</v>
      </c>
      <c r="AN509" s="25">
        <f>VLOOKUP(tblMeasure[[#This Row],[src_pub_frequency]],strlu_src_pub_frequency,2,FALSE)</f>
        <v>0.5</v>
      </c>
      <c r="AO509" s="25">
        <f>VLOOKUP(tblMeasure[[#This Row],[src_pub_lag_months]],strlu_src_pub_lag_months,2,FALSE)</f>
        <v>0.1</v>
      </c>
      <c r="AP509" s="25">
        <f>VLOOKUP(tblMeasure[[#This Row],[src_statistic_class]],strlu_src_statistic_class,2,FALSE)</f>
        <v>0</v>
      </c>
      <c r="AQ509" s="25">
        <f>IF(tblMeasure[[#This Row],[src_methodology_url]]="TBD",0,1)</f>
        <v>1</v>
      </c>
      <c r="AR509" s="25">
        <f>IF(tblMeasure[[#This Row],[src_quality_url]]="TBD",0,1)</f>
        <v>0</v>
      </c>
      <c r="AS509" s="85" cm="1">
        <f t="array" ref="AS509">SUMPRODUCT(TRANSPOSE(tblMeasure[[#This Row],[str_msr_population_or_survey]:[str_src_quality_url]]),str_weights)/str_weights_total</f>
        <v>0.33846153846153848</v>
      </c>
    </row>
    <row r="510" spans="1:45" hidden="1" x14ac:dyDescent="0.15">
      <c r="A510" s="30">
        <v>508</v>
      </c>
      <c r="B510" s="32">
        <f>COUNTIF(requirement_measure_map!$D$3:$D$1514,measure!A510)</f>
        <v>0</v>
      </c>
      <c r="C510" s="30" t="s">
        <v>800</v>
      </c>
      <c r="D510" s="15" t="s">
        <v>1551</v>
      </c>
      <c r="E510" s="15" t="s">
        <v>1589</v>
      </c>
      <c r="F510" s="15" t="s">
        <v>1590</v>
      </c>
      <c r="G510" s="13" t="s">
        <v>1359</v>
      </c>
      <c r="H510" s="15"/>
      <c r="I510" s="15" t="s">
        <v>429</v>
      </c>
      <c r="J510" s="15" t="s">
        <v>1360</v>
      </c>
      <c r="K510" s="15" t="s">
        <v>1588</v>
      </c>
      <c r="L510" s="15" t="s">
        <v>233</v>
      </c>
      <c r="M510" s="15" t="s">
        <v>1362</v>
      </c>
      <c r="N510" s="15" t="s">
        <v>218</v>
      </c>
      <c r="O510" s="15" t="s">
        <v>243</v>
      </c>
      <c r="P510" s="15" t="s">
        <v>219</v>
      </c>
      <c r="Q510" s="15" t="s">
        <v>219</v>
      </c>
      <c r="R510" s="15" t="s">
        <v>219</v>
      </c>
      <c r="S510" s="15" t="s">
        <v>219</v>
      </c>
      <c r="T510" s="15" t="s">
        <v>219</v>
      </c>
      <c r="U510" s="15" t="s">
        <v>219</v>
      </c>
      <c r="V510" s="15" t="s">
        <v>219</v>
      </c>
      <c r="W510" s="15">
        <v>32</v>
      </c>
      <c r="X510" s="15" t="str">
        <f>_xlfn.XLOOKUP(tblMeasure[[#This Row],[id_src]],tblSource[id_src],tblSource[org])</f>
        <v xml:space="preserve">NIH National Institute of Ageing </v>
      </c>
      <c r="Y510" s="25" t="str">
        <f>_xlfn.XLOOKUP(tblMeasure[[#This Row],[id_src]],tblSource[id_src],tblSource[source])</f>
        <v>English Longitudinal Study of Ageing</v>
      </c>
      <c r="Z510" s="25" t="str">
        <f>_xlfn.XLOOKUP(tblMeasure[[#This Row],[id_src]],tblSource[id_src],tblSource[url_source])</f>
        <v>https://www.ifs.org.uk/uploads/ELSA_Wave_8_report.pdf</v>
      </c>
      <c r="AA510" s="25">
        <f>_xlfn.XLOOKUP(tblMeasure[[#This Row],[id_src]],tblSource[id_src],tblSource[year_first_published])</f>
        <v>2002</v>
      </c>
      <c r="AB510" s="25">
        <f>_xlfn.XLOOKUP(tblMeasure[[#This Row],[id_src]],tblSource[id_src],tblSource[year_last_published])</f>
        <v>2018</v>
      </c>
      <c r="AC510" s="25">
        <f>_xlfn.XLOOKUP(tblMeasure[[#This Row],[id_src]],tblSource[id_src],tblSource[discontinuity])</f>
        <v>0</v>
      </c>
      <c r="AD510" s="25" t="str">
        <f>_xlfn.XLOOKUP(tblMeasure[[#This Row],[id_src]],tblSource[id_src],tblSource[publication_frequency])</f>
        <v>Biennial</v>
      </c>
      <c r="AE510" s="15">
        <f>_xlfn.XLOOKUP(tblMeasure[[#This Row],[id_src]],tblSource[id_src],tblSource[publication_lag_months])</f>
        <v>10</v>
      </c>
      <c r="AF510" s="25" t="str">
        <f>_xlfn.XLOOKUP(tblMeasure[[#This Row],[id_src]],tblSource[id_src],tblSource[data_providers])</f>
        <v>UCL, IFS, Manchester University, NatCen, UEA</v>
      </c>
      <c r="AG510" s="25" t="str">
        <f>_xlfn.XLOOKUP(tblMeasure[[#This Row],[id_src]],tblSource[id_src],tblSource[statistic_class])</f>
        <v>TBD</v>
      </c>
      <c r="AH510" s="25" t="str">
        <f>_xlfn.XLOOKUP(tblMeasure[[#This Row],[id_src]],tblSource[id_src],tblSource[methodology_link])</f>
        <v>https://www.ifs.org.uk/uploads/ELSA_Wave_8_report.pdf</v>
      </c>
      <c r="AI510" s="25" t="str">
        <f>_xlfn.XLOOKUP(tblMeasure[[#This Row],[id_src]],tblSource[id_src],tblSource[quality_issues])</f>
        <v>TBD</v>
      </c>
      <c r="AJ510" s="25">
        <f>VLOOKUP(tblMeasure[[#This Row],[msr_population_or_survey]],strlu_msr_population_or_survey,2,FALSE)</f>
        <v>0</v>
      </c>
      <c r="AK510" s="25">
        <f>VLOOKUP(tblMeasure[[#This Row],[msr_min_geo_resolution]],strlu_msr_min_geo_resolution,2,FALSE)</f>
        <v>0</v>
      </c>
      <c r="AL510" s="25">
        <f>(MAX(tblMeasure[[#This Row],[src_year_last_published]]-2010+1,0)+MIN(2010-tblMeasure[[#This Row],[src_year_first_published]],0)-MAX(tblMeasure[[#This Row],[src_year_last_published]]-2019,0))/10</f>
        <v>0.9</v>
      </c>
      <c r="AM510" s="25">
        <f>IF(OR(tblMeasure[[#This Row],[src_discontinuity]]="None",tblMeasure[[#This Row],[src_discontinuity]]=0),1,0)</f>
        <v>1</v>
      </c>
      <c r="AN510" s="25">
        <f>VLOOKUP(tblMeasure[[#This Row],[src_pub_frequency]],strlu_src_pub_frequency,2,FALSE)</f>
        <v>0.5</v>
      </c>
      <c r="AO510" s="25">
        <f>VLOOKUP(tblMeasure[[#This Row],[src_pub_lag_months]],strlu_src_pub_lag_months,2,FALSE)</f>
        <v>0.1</v>
      </c>
      <c r="AP510" s="25">
        <f>VLOOKUP(tblMeasure[[#This Row],[src_statistic_class]],strlu_src_statistic_class,2,FALSE)</f>
        <v>0</v>
      </c>
      <c r="AQ510" s="25">
        <f>IF(tblMeasure[[#This Row],[src_methodology_url]]="TBD",0,1)</f>
        <v>1</v>
      </c>
      <c r="AR510" s="25">
        <f>IF(tblMeasure[[#This Row],[src_quality_url]]="TBD",0,1)</f>
        <v>0</v>
      </c>
      <c r="AS510" s="85" cm="1">
        <f t="array" ref="AS510">SUMPRODUCT(TRANSPOSE(tblMeasure[[#This Row],[str_msr_population_or_survey]:[str_src_quality_url]]),str_weights)/str_weights_total</f>
        <v>0.33846153846153848</v>
      </c>
    </row>
    <row r="511" spans="1:45" hidden="1" x14ac:dyDescent="0.15">
      <c r="A511" s="30">
        <v>509</v>
      </c>
      <c r="B511" s="32">
        <f>COUNTIF(requirement_measure_map!$D$3:$D$1514,measure!A511)</f>
        <v>0</v>
      </c>
      <c r="C511" s="30" t="s">
        <v>800</v>
      </c>
      <c r="D511" s="15" t="s">
        <v>1551</v>
      </c>
      <c r="E511" s="15" t="s">
        <v>1591</v>
      </c>
      <c r="F511" s="15" t="s">
        <v>1592</v>
      </c>
      <c r="G511" s="13" t="s">
        <v>1359</v>
      </c>
      <c r="H511" s="15"/>
      <c r="I511" s="15" t="s">
        <v>429</v>
      </c>
      <c r="J511" s="15" t="s">
        <v>1360</v>
      </c>
      <c r="K511" s="15" t="s">
        <v>1554</v>
      </c>
      <c r="L511" s="15" t="s">
        <v>233</v>
      </c>
      <c r="M511" s="15" t="s">
        <v>349</v>
      </c>
      <c r="N511" s="15" t="s">
        <v>218</v>
      </c>
      <c r="O511" s="15" t="s">
        <v>1362</v>
      </c>
      <c r="P511" s="15" t="s">
        <v>219</v>
      </c>
      <c r="Q511" s="15" t="s">
        <v>219</v>
      </c>
      <c r="R511" s="15" t="s">
        <v>219</v>
      </c>
      <c r="S511" s="15" t="s">
        <v>219</v>
      </c>
      <c r="T511" s="15" t="s">
        <v>219</v>
      </c>
      <c r="U511" s="15" t="s">
        <v>219</v>
      </c>
      <c r="V511" s="15" t="s">
        <v>219</v>
      </c>
      <c r="W511" s="15">
        <v>32</v>
      </c>
      <c r="X511" s="15" t="str">
        <f>_xlfn.XLOOKUP(tblMeasure[[#This Row],[id_src]],tblSource[id_src],tblSource[org])</f>
        <v xml:space="preserve">NIH National Institute of Ageing </v>
      </c>
      <c r="Y511" s="25" t="str">
        <f>_xlfn.XLOOKUP(tblMeasure[[#This Row],[id_src]],tblSource[id_src],tblSource[source])</f>
        <v>English Longitudinal Study of Ageing</v>
      </c>
      <c r="Z511" s="25" t="str">
        <f>_xlfn.XLOOKUP(tblMeasure[[#This Row],[id_src]],tblSource[id_src],tblSource[url_source])</f>
        <v>https://www.ifs.org.uk/uploads/ELSA_Wave_8_report.pdf</v>
      </c>
      <c r="AA511" s="25">
        <f>_xlfn.XLOOKUP(tblMeasure[[#This Row],[id_src]],tblSource[id_src],tblSource[year_first_published])</f>
        <v>2002</v>
      </c>
      <c r="AB511" s="25">
        <f>_xlfn.XLOOKUP(tblMeasure[[#This Row],[id_src]],tblSource[id_src],tblSource[year_last_published])</f>
        <v>2018</v>
      </c>
      <c r="AC511" s="25">
        <f>_xlfn.XLOOKUP(tblMeasure[[#This Row],[id_src]],tblSource[id_src],tblSource[discontinuity])</f>
        <v>0</v>
      </c>
      <c r="AD511" s="25" t="str">
        <f>_xlfn.XLOOKUP(tblMeasure[[#This Row],[id_src]],tblSource[id_src],tblSource[publication_frequency])</f>
        <v>Biennial</v>
      </c>
      <c r="AE511" s="15">
        <f>_xlfn.XLOOKUP(tblMeasure[[#This Row],[id_src]],tblSource[id_src],tblSource[publication_lag_months])</f>
        <v>10</v>
      </c>
      <c r="AF511" s="25" t="str">
        <f>_xlfn.XLOOKUP(tblMeasure[[#This Row],[id_src]],tblSource[id_src],tblSource[data_providers])</f>
        <v>UCL, IFS, Manchester University, NatCen, UEA</v>
      </c>
      <c r="AG511" s="25" t="str">
        <f>_xlfn.XLOOKUP(tblMeasure[[#This Row],[id_src]],tblSource[id_src],tblSource[statistic_class])</f>
        <v>TBD</v>
      </c>
      <c r="AH511" s="25" t="str">
        <f>_xlfn.XLOOKUP(tblMeasure[[#This Row],[id_src]],tblSource[id_src],tblSource[methodology_link])</f>
        <v>https://www.ifs.org.uk/uploads/ELSA_Wave_8_report.pdf</v>
      </c>
      <c r="AI511" s="25" t="str">
        <f>_xlfn.XLOOKUP(tblMeasure[[#This Row],[id_src]],tblSource[id_src],tblSource[quality_issues])</f>
        <v>TBD</v>
      </c>
      <c r="AJ511" s="25">
        <f>VLOOKUP(tblMeasure[[#This Row],[msr_population_or_survey]],strlu_msr_population_or_survey,2,FALSE)</f>
        <v>0</v>
      </c>
      <c r="AK511" s="25">
        <f>VLOOKUP(tblMeasure[[#This Row],[msr_min_geo_resolution]],strlu_msr_min_geo_resolution,2,FALSE)</f>
        <v>0</v>
      </c>
      <c r="AL511" s="25">
        <f>(MAX(tblMeasure[[#This Row],[src_year_last_published]]-2010+1,0)+MIN(2010-tblMeasure[[#This Row],[src_year_first_published]],0)-MAX(tblMeasure[[#This Row],[src_year_last_published]]-2019,0))/10</f>
        <v>0.9</v>
      </c>
      <c r="AM511" s="25">
        <f>IF(OR(tblMeasure[[#This Row],[src_discontinuity]]="None",tblMeasure[[#This Row],[src_discontinuity]]=0),1,0)</f>
        <v>1</v>
      </c>
      <c r="AN511" s="25">
        <f>VLOOKUP(tblMeasure[[#This Row],[src_pub_frequency]],strlu_src_pub_frequency,2,FALSE)</f>
        <v>0.5</v>
      </c>
      <c r="AO511" s="25">
        <f>VLOOKUP(tblMeasure[[#This Row],[src_pub_lag_months]],strlu_src_pub_lag_months,2,FALSE)</f>
        <v>0.1</v>
      </c>
      <c r="AP511" s="25">
        <f>VLOOKUP(tblMeasure[[#This Row],[src_statistic_class]],strlu_src_statistic_class,2,FALSE)</f>
        <v>0</v>
      </c>
      <c r="AQ511" s="25">
        <f>IF(tblMeasure[[#This Row],[src_methodology_url]]="TBD",0,1)</f>
        <v>1</v>
      </c>
      <c r="AR511" s="25">
        <f>IF(tblMeasure[[#This Row],[src_quality_url]]="TBD",0,1)</f>
        <v>0</v>
      </c>
      <c r="AS511" s="85" cm="1">
        <f t="array" ref="AS511">SUMPRODUCT(TRANSPOSE(tblMeasure[[#This Row],[str_msr_population_or_survey]:[str_src_quality_url]]),str_weights)/str_weights_total</f>
        <v>0.33846153846153848</v>
      </c>
    </row>
    <row r="512" spans="1:45" hidden="1" x14ac:dyDescent="0.15">
      <c r="A512" s="30">
        <v>510</v>
      </c>
      <c r="B512" s="32">
        <f>COUNTIF(requirement_measure_map!$D$3:$D$1514,measure!A512)</f>
        <v>0</v>
      </c>
      <c r="C512" s="30" t="s">
        <v>800</v>
      </c>
      <c r="D512" s="15" t="s">
        <v>1551</v>
      </c>
      <c r="E512" s="15" t="s">
        <v>1593</v>
      </c>
      <c r="F512" s="15" t="s">
        <v>1594</v>
      </c>
      <c r="G512" s="13" t="s">
        <v>1359</v>
      </c>
      <c r="H512" s="15"/>
      <c r="I512" s="15" t="s">
        <v>429</v>
      </c>
      <c r="J512" s="15" t="s">
        <v>1360</v>
      </c>
      <c r="K512" s="15" t="s">
        <v>1554</v>
      </c>
      <c r="L512" s="15" t="s">
        <v>233</v>
      </c>
      <c r="M512" s="15" t="s">
        <v>1362</v>
      </c>
      <c r="N512" s="15" t="s">
        <v>218</v>
      </c>
      <c r="O512" s="15" t="s">
        <v>243</v>
      </c>
      <c r="P512" s="15" t="s">
        <v>219</v>
      </c>
      <c r="Q512" s="15" t="s">
        <v>219</v>
      </c>
      <c r="R512" s="15" t="s">
        <v>219</v>
      </c>
      <c r="S512" s="15" t="s">
        <v>219</v>
      </c>
      <c r="T512" s="15" t="s">
        <v>219</v>
      </c>
      <c r="U512" s="15" t="s">
        <v>219</v>
      </c>
      <c r="V512" s="15" t="s">
        <v>219</v>
      </c>
      <c r="W512" s="15">
        <v>32</v>
      </c>
      <c r="X512" s="15" t="str">
        <f>_xlfn.XLOOKUP(tblMeasure[[#This Row],[id_src]],tblSource[id_src],tblSource[org])</f>
        <v xml:space="preserve">NIH National Institute of Ageing </v>
      </c>
      <c r="Y512" s="25" t="str">
        <f>_xlfn.XLOOKUP(tblMeasure[[#This Row],[id_src]],tblSource[id_src],tblSource[source])</f>
        <v>English Longitudinal Study of Ageing</v>
      </c>
      <c r="Z512" s="25" t="str">
        <f>_xlfn.XLOOKUP(tblMeasure[[#This Row],[id_src]],tblSource[id_src],tblSource[url_source])</f>
        <v>https://www.ifs.org.uk/uploads/ELSA_Wave_8_report.pdf</v>
      </c>
      <c r="AA512" s="25">
        <f>_xlfn.XLOOKUP(tblMeasure[[#This Row],[id_src]],tblSource[id_src],tblSource[year_first_published])</f>
        <v>2002</v>
      </c>
      <c r="AB512" s="25">
        <f>_xlfn.XLOOKUP(tblMeasure[[#This Row],[id_src]],tblSource[id_src],tblSource[year_last_published])</f>
        <v>2018</v>
      </c>
      <c r="AC512" s="25">
        <f>_xlfn.XLOOKUP(tblMeasure[[#This Row],[id_src]],tblSource[id_src],tblSource[discontinuity])</f>
        <v>0</v>
      </c>
      <c r="AD512" s="25" t="str">
        <f>_xlfn.XLOOKUP(tblMeasure[[#This Row],[id_src]],tblSource[id_src],tblSource[publication_frequency])</f>
        <v>Biennial</v>
      </c>
      <c r="AE512" s="15">
        <f>_xlfn.XLOOKUP(tblMeasure[[#This Row],[id_src]],tblSource[id_src],tblSource[publication_lag_months])</f>
        <v>10</v>
      </c>
      <c r="AF512" s="25" t="str">
        <f>_xlfn.XLOOKUP(tblMeasure[[#This Row],[id_src]],tblSource[id_src],tblSource[data_providers])</f>
        <v>UCL, IFS, Manchester University, NatCen, UEA</v>
      </c>
      <c r="AG512" s="25" t="str">
        <f>_xlfn.XLOOKUP(tblMeasure[[#This Row],[id_src]],tblSource[id_src],tblSource[statistic_class])</f>
        <v>TBD</v>
      </c>
      <c r="AH512" s="25" t="str">
        <f>_xlfn.XLOOKUP(tblMeasure[[#This Row],[id_src]],tblSource[id_src],tblSource[methodology_link])</f>
        <v>https://www.ifs.org.uk/uploads/ELSA_Wave_8_report.pdf</v>
      </c>
      <c r="AI512" s="25" t="str">
        <f>_xlfn.XLOOKUP(tblMeasure[[#This Row],[id_src]],tblSource[id_src],tblSource[quality_issues])</f>
        <v>TBD</v>
      </c>
      <c r="AJ512" s="25">
        <f>VLOOKUP(tblMeasure[[#This Row],[msr_population_or_survey]],strlu_msr_population_or_survey,2,FALSE)</f>
        <v>0</v>
      </c>
      <c r="AK512" s="25">
        <f>VLOOKUP(tblMeasure[[#This Row],[msr_min_geo_resolution]],strlu_msr_min_geo_resolution,2,FALSE)</f>
        <v>0</v>
      </c>
      <c r="AL512" s="25">
        <f>(MAX(tblMeasure[[#This Row],[src_year_last_published]]-2010+1,0)+MIN(2010-tblMeasure[[#This Row],[src_year_first_published]],0)-MAX(tblMeasure[[#This Row],[src_year_last_published]]-2019,0))/10</f>
        <v>0.9</v>
      </c>
      <c r="AM512" s="25">
        <f>IF(OR(tblMeasure[[#This Row],[src_discontinuity]]="None",tblMeasure[[#This Row],[src_discontinuity]]=0),1,0)</f>
        <v>1</v>
      </c>
      <c r="AN512" s="25">
        <f>VLOOKUP(tblMeasure[[#This Row],[src_pub_frequency]],strlu_src_pub_frequency,2,FALSE)</f>
        <v>0.5</v>
      </c>
      <c r="AO512" s="25">
        <f>VLOOKUP(tblMeasure[[#This Row],[src_pub_lag_months]],strlu_src_pub_lag_months,2,FALSE)</f>
        <v>0.1</v>
      </c>
      <c r="AP512" s="25">
        <f>VLOOKUP(tblMeasure[[#This Row],[src_statistic_class]],strlu_src_statistic_class,2,FALSE)</f>
        <v>0</v>
      </c>
      <c r="AQ512" s="25">
        <f>IF(tblMeasure[[#This Row],[src_methodology_url]]="TBD",0,1)</f>
        <v>1</v>
      </c>
      <c r="AR512" s="25">
        <f>IF(tblMeasure[[#This Row],[src_quality_url]]="TBD",0,1)</f>
        <v>0</v>
      </c>
      <c r="AS512" s="85" cm="1">
        <f t="array" ref="AS512">SUMPRODUCT(TRANSPOSE(tblMeasure[[#This Row],[str_msr_population_or_survey]:[str_src_quality_url]]),str_weights)/str_weights_total</f>
        <v>0.33846153846153848</v>
      </c>
    </row>
    <row r="513" spans="1:45" hidden="1" x14ac:dyDescent="0.15">
      <c r="A513" s="30">
        <v>511</v>
      </c>
      <c r="B513" s="32">
        <f>COUNTIF(requirement_measure_map!$D$3:$D$1514,measure!A513)</f>
        <v>0</v>
      </c>
      <c r="C513" s="30" t="s">
        <v>800</v>
      </c>
      <c r="D513" s="15" t="s">
        <v>1551</v>
      </c>
      <c r="E513" s="15" t="s">
        <v>1595</v>
      </c>
      <c r="F513" s="15" t="s">
        <v>1596</v>
      </c>
      <c r="G513" s="13" t="s">
        <v>1359</v>
      </c>
      <c r="H513" s="15"/>
      <c r="I513" s="15" t="s">
        <v>429</v>
      </c>
      <c r="J513" s="15" t="s">
        <v>1360</v>
      </c>
      <c r="K513" s="15" t="s">
        <v>1597</v>
      </c>
      <c r="L513" s="15" t="s">
        <v>233</v>
      </c>
      <c r="M513" s="15" t="s">
        <v>349</v>
      </c>
      <c r="N513" s="15" t="s">
        <v>218</v>
      </c>
      <c r="O513" s="15" t="s">
        <v>1362</v>
      </c>
      <c r="P513" s="15" t="s">
        <v>219</v>
      </c>
      <c r="Q513" s="15" t="s">
        <v>219</v>
      </c>
      <c r="R513" s="15" t="s">
        <v>219</v>
      </c>
      <c r="S513" s="15" t="s">
        <v>219</v>
      </c>
      <c r="T513" s="15" t="s">
        <v>219</v>
      </c>
      <c r="U513" s="15" t="s">
        <v>219</v>
      </c>
      <c r="V513" s="15" t="s">
        <v>219</v>
      </c>
      <c r="W513" s="15">
        <v>32</v>
      </c>
      <c r="X513" s="15" t="str">
        <f>_xlfn.XLOOKUP(tblMeasure[[#This Row],[id_src]],tblSource[id_src],tblSource[org])</f>
        <v xml:space="preserve">NIH National Institute of Ageing </v>
      </c>
      <c r="Y513" s="25" t="str">
        <f>_xlfn.XLOOKUP(tblMeasure[[#This Row],[id_src]],tblSource[id_src],tblSource[source])</f>
        <v>English Longitudinal Study of Ageing</v>
      </c>
      <c r="Z513" s="25" t="str">
        <f>_xlfn.XLOOKUP(tblMeasure[[#This Row],[id_src]],tblSource[id_src],tblSource[url_source])</f>
        <v>https://www.ifs.org.uk/uploads/ELSA_Wave_8_report.pdf</v>
      </c>
      <c r="AA513" s="25">
        <f>_xlfn.XLOOKUP(tblMeasure[[#This Row],[id_src]],tblSource[id_src],tblSource[year_first_published])</f>
        <v>2002</v>
      </c>
      <c r="AB513" s="25">
        <f>_xlfn.XLOOKUP(tblMeasure[[#This Row],[id_src]],tblSource[id_src],tblSource[year_last_published])</f>
        <v>2018</v>
      </c>
      <c r="AC513" s="25">
        <f>_xlfn.XLOOKUP(tblMeasure[[#This Row],[id_src]],tblSource[id_src],tblSource[discontinuity])</f>
        <v>0</v>
      </c>
      <c r="AD513" s="25" t="str">
        <f>_xlfn.XLOOKUP(tblMeasure[[#This Row],[id_src]],tblSource[id_src],tblSource[publication_frequency])</f>
        <v>Biennial</v>
      </c>
      <c r="AE513" s="15">
        <f>_xlfn.XLOOKUP(tblMeasure[[#This Row],[id_src]],tblSource[id_src],tblSource[publication_lag_months])</f>
        <v>10</v>
      </c>
      <c r="AF513" s="25" t="str">
        <f>_xlfn.XLOOKUP(tblMeasure[[#This Row],[id_src]],tblSource[id_src],tblSource[data_providers])</f>
        <v>UCL, IFS, Manchester University, NatCen, UEA</v>
      </c>
      <c r="AG513" s="25" t="str">
        <f>_xlfn.XLOOKUP(tblMeasure[[#This Row],[id_src]],tblSource[id_src],tblSource[statistic_class])</f>
        <v>TBD</v>
      </c>
      <c r="AH513" s="25" t="str">
        <f>_xlfn.XLOOKUP(tblMeasure[[#This Row],[id_src]],tblSource[id_src],tblSource[methodology_link])</f>
        <v>https://www.ifs.org.uk/uploads/ELSA_Wave_8_report.pdf</v>
      </c>
      <c r="AI513" s="25" t="str">
        <f>_xlfn.XLOOKUP(tblMeasure[[#This Row],[id_src]],tblSource[id_src],tblSource[quality_issues])</f>
        <v>TBD</v>
      </c>
      <c r="AJ513" s="25">
        <f>VLOOKUP(tblMeasure[[#This Row],[msr_population_or_survey]],strlu_msr_population_or_survey,2,FALSE)</f>
        <v>0</v>
      </c>
      <c r="AK513" s="25">
        <f>VLOOKUP(tblMeasure[[#This Row],[msr_min_geo_resolution]],strlu_msr_min_geo_resolution,2,FALSE)</f>
        <v>0</v>
      </c>
      <c r="AL513" s="25">
        <f>(MAX(tblMeasure[[#This Row],[src_year_last_published]]-2010+1,0)+MIN(2010-tblMeasure[[#This Row],[src_year_first_published]],0)-MAX(tblMeasure[[#This Row],[src_year_last_published]]-2019,0))/10</f>
        <v>0.9</v>
      </c>
      <c r="AM513" s="25">
        <f>IF(OR(tblMeasure[[#This Row],[src_discontinuity]]="None",tblMeasure[[#This Row],[src_discontinuity]]=0),1,0)</f>
        <v>1</v>
      </c>
      <c r="AN513" s="25">
        <f>VLOOKUP(tblMeasure[[#This Row],[src_pub_frequency]],strlu_src_pub_frequency,2,FALSE)</f>
        <v>0.5</v>
      </c>
      <c r="AO513" s="25">
        <f>VLOOKUP(tblMeasure[[#This Row],[src_pub_lag_months]],strlu_src_pub_lag_months,2,FALSE)</f>
        <v>0.1</v>
      </c>
      <c r="AP513" s="25">
        <f>VLOOKUP(tblMeasure[[#This Row],[src_statistic_class]],strlu_src_statistic_class,2,FALSE)</f>
        <v>0</v>
      </c>
      <c r="AQ513" s="25">
        <f>IF(tblMeasure[[#This Row],[src_methodology_url]]="TBD",0,1)</f>
        <v>1</v>
      </c>
      <c r="AR513" s="25">
        <f>IF(tblMeasure[[#This Row],[src_quality_url]]="TBD",0,1)</f>
        <v>0</v>
      </c>
      <c r="AS513" s="85" cm="1">
        <f t="array" ref="AS513">SUMPRODUCT(TRANSPOSE(tblMeasure[[#This Row],[str_msr_population_or_survey]:[str_src_quality_url]]),str_weights)/str_weights_total</f>
        <v>0.33846153846153848</v>
      </c>
    </row>
    <row r="514" spans="1:45" hidden="1" x14ac:dyDescent="0.15">
      <c r="A514" s="30">
        <v>512</v>
      </c>
      <c r="B514" s="32">
        <f>COUNTIF(requirement_measure_map!$D$3:$D$1514,measure!A514)</f>
        <v>0</v>
      </c>
      <c r="C514" s="30" t="s">
        <v>800</v>
      </c>
      <c r="D514" s="15" t="s">
        <v>1551</v>
      </c>
      <c r="E514" s="15" t="s">
        <v>1598</v>
      </c>
      <c r="F514" s="15" t="s">
        <v>1599</v>
      </c>
      <c r="G514" s="13" t="s">
        <v>1359</v>
      </c>
      <c r="H514" s="15"/>
      <c r="I514" s="15" t="s">
        <v>429</v>
      </c>
      <c r="J514" s="15" t="s">
        <v>1360</v>
      </c>
      <c r="K514" s="15" t="s">
        <v>1597</v>
      </c>
      <c r="L514" s="15" t="s">
        <v>233</v>
      </c>
      <c r="M514" s="15" t="s">
        <v>1362</v>
      </c>
      <c r="N514" s="15" t="s">
        <v>218</v>
      </c>
      <c r="O514" s="15" t="s">
        <v>243</v>
      </c>
      <c r="P514" s="15" t="s">
        <v>219</v>
      </c>
      <c r="Q514" s="15" t="s">
        <v>219</v>
      </c>
      <c r="R514" s="15" t="s">
        <v>219</v>
      </c>
      <c r="S514" s="15" t="s">
        <v>219</v>
      </c>
      <c r="T514" s="15" t="s">
        <v>219</v>
      </c>
      <c r="U514" s="15" t="s">
        <v>219</v>
      </c>
      <c r="V514" s="15" t="s">
        <v>219</v>
      </c>
      <c r="W514" s="15">
        <v>32</v>
      </c>
      <c r="X514" s="15" t="str">
        <f>_xlfn.XLOOKUP(tblMeasure[[#This Row],[id_src]],tblSource[id_src],tblSource[org])</f>
        <v xml:space="preserve">NIH National Institute of Ageing </v>
      </c>
      <c r="Y514" s="25" t="str">
        <f>_xlfn.XLOOKUP(tblMeasure[[#This Row],[id_src]],tblSource[id_src],tblSource[source])</f>
        <v>English Longitudinal Study of Ageing</v>
      </c>
      <c r="Z514" s="25" t="str">
        <f>_xlfn.XLOOKUP(tblMeasure[[#This Row],[id_src]],tblSource[id_src],tblSource[url_source])</f>
        <v>https://www.ifs.org.uk/uploads/ELSA_Wave_8_report.pdf</v>
      </c>
      <c r="AA514" s="25">
        <f>_xlfn.XLOOKUP(tblMeasure[[#This Row],[id_src]],tblSource[id_src],tblSource[year_first_published])</f>
        <v>2002</v>
      </c>
      <c r="AB514" s="25">
        <f>_xlfn.XLOOKUP(tblMeasure[[#This Row],[id_src]],tblSource[id_src],tblSource[year_last_published])</f>
        <v>2018</v>
      </c>
      <c r="AC514" s="25">
        <f>_xlfn.XLOOKUP(tblMeasure[[#This Row],[id_src]],tblSource[id_src],tblSource[discontinuity])</f>
        <v>0</v>
      </c>
      <c r="AD514" s="25" t="str">
        <f>_xlfn.XLOOKUP(tblMeasure[[#This Row],[id_src]],tblSource[id_src],tblSource[publication_frequency])</f>
        <v>Biennial</v>
      </c>
      <c r="AE514" s="15">
        <f>_xlfn.XLOOKUP(tblMeasure[[#This Row],[id_src]],tblSource[id_src],tblSource[publication_lag_months])</f>
        <v>10</v>
      </c>
      <c r="AF514" s="25" t="str">
        <f>_xlfn.XLOOKUP(tblMeasure[[#This Row],[id_src]],tblSource[id_src],tblSource[data_providers])</f>
        <v>UCL, IFS, Manchester University, NatCen, UEA</v>
      </c>
      <c r="AG514" s="25" t="str">
        <f>_xlfn.XLOOKUP(tblMeasure[[#This Row],[id_src]],tblSource[id_src],tblSource[statistic_class])</f>
        <v>TBD</v>
      </c>
      <c r="AH514" s="25" t="str">
        <f>_xlfn.XLOOKUP(tblMeasure[[#This Row],[id_src]],tblSource[id_src],tblSource[methodology_link])</f>
        <v>https://www.ifs.org.uk/uploads/ELSA_Wave_8_report.pdf</v>
      </c>
      <c r="AI514" s="25" t="str">
        <f>_xlfn.XLOOKUP(tblMeasure[[#This Row],[id_src]],tblSource[id_src],tblSource[quality_issues])</f>
        <v>TBD</v>
      </c>
      <c r="AJ514" s="25">
        <f>VLOOKUP(tblMeasure[[#This Row],[msr_population_or_survey]],strlu_msr_population_or_survey,2,FALSE)</f>
        <v>0</v>
      </c>
      <c r="AK514" s="25">
        <f>VLOOKUP(tblMeasure[[#This Row],[msr_min_geo_resolution]],strlu_msr_min_geo_resolution,2,FALSE)</f>
        <v>0</v>
      </c>
      <c r="AL514" s="25">
        <f>(MAX(tblMeasure[[#This Row],[src_year_last_published]]-2010+1,0)+MIN(2010-tblMeasure[[#This Row],[src_year_first_published]],0)-MAX(tblMeasure[[#This Row],[src_year_last_published]]-2019,0))/10</f>
        <v>0.9</v>
      </c>
      <c r="AM514" s="25">
        <f>IF(OR(tblMeasure[[#This Row],[src_discontinuity]]="None",tblMeasure[[#This Row],[src_discontinuity]]=0),1,0)</f>
        <v>1</v>
      </c>
      <c r="AN514" s="25">
        <f>VLOOKUP(tblMeasure[[#This Row],[src_pub_frequency]],strlu_src_pub_frequency,2,FALSE)</f>
        <v>0.5</v>
      </c>
      <c r="AO514" s="25">
        <f>VLOOKUP(tblMeasure[[#This Row],[src_pub_lag_months]],strlu_src_pub_lag_months,2,FALSE)</f>
        <v>0.1</v>
      </c>
      <c r="AP514" s="25">
        <f>VLOOKUP(tblMeasure[[#This Row],[src_statistic_class]],strlu_src_statistic_class,2,FALSE)</f>
        <v>0</v>
      </c>
      <c r="AQ514" s="25">
        <f>IF(tblMeasure[[#This Row],[src_methodology_url]]="TBD",0,1)</f>
        <v>1</v>
      </c>
      <c r="AR514" s="25">
        <f>IF(tblMeasure[[#This Row],[src_quality_url]]="TBD",0,1)</f>
        <v>0</v>
      </c>
      <c r="AS514" s="85" cm="1">
        <f t="array" ref="AS514">SUMPRODUCT(TRANSPOSE(tblMeasure[[#This Row],[str_msr_population_or_survey]:[str_src_quality_url]]),str_weights)/str_weights_total</f>
        <v>0.33846153846153848</v>
      </c>
    </row>
    <row r="515" spans="1:45" hidden="1" x14ac:dyDescent="0.15">
      <c r="A515" s="30">
        <v>513</v>
      </c>
      <c r="B515" s="32">
        <f>COUNTIF(requirement_measure_map!$D$3:$D$1514,measure!A515)</f>
        <v>0</v>
      </c>
      <c r="C515" s="30" t="s">
        <v>800</v>
      </c>
      <c r="D515" s="15" t="s">
        <v>1551</v>
      </c>
      <c r="E515" s="15" t="s">
        <v>1600</v>
      </c>
      <c r="F515" s="15" t="s">
        <v>1601</v>
      </c>
      <c r="G515" s="13" t="s">
        <v>1359</v>
      </c>
      <c r="H515" s="15"/>
      <c r="I515" s="15" t="s">
        <v>429</v>
      </c>
      <c r="J515" s="15" t="s">
        <v>1360</v>
      </c>
      <c r="K515" s="15" t="s">
        <v>1602</v>
      </c>
      <c r="L515" s="15" t="s">
        <v>233</v>
      </c>
      <c r="M515" s="15" t="s">
        <v>349</v>
      </c>
      <c r="N515" s="15" t="s">
        <v>218</v>
      </c>
      <c r="O515" s="15" t="s">
        <v>1362</v>
      </c>
      <c r="P515" s="15" t="s">
        <v>219</v>
      </c>
      <c r="Q515" s="15" t="s">
        <v>219</v>
      </c>
      <c r="R515" s="15" t="s">
        <v>219</v>
      </c>
      <c r="S515" s="15" t="s">
        <v>219</v>
      </c>
      <c r="T515" s="15" t="s">
        <v>219</v>
      </c>
      <c r="U515" s="15" t="s">
        <v>219</v>
      </c>
      <c r="V515" s="15" t="s">
        <v>219</v>
      </c>
      <c r="W515" s="15">
        <v>32</v>
      </c>
      <c r="X515" s="15" t="str">
        <f>_xlfn.XLOOKUP(tblMeasure[[#This Row],[id_src]],tblSource[id_src],tblSource[org])</f>
        <v xml:space="preserve">NIH National Institute of Ageing </v>
      </c>
      <c r="Y515" s="25" t="str">
        <f>_xlfn.XLOOKUP(tblMeasure[[#This Row],[id_src]],tblSource[id_src],tblSource[source])</f>
        <v>English Longitudinal Study of Ageing</v>
      </c>
      <c r="Z515" s="25" t="str">
        <f>_xlfn.XLOOKUP(tblMeasure[[#This Row],[id_src]],tblSource[id_src],tblSource[url_source])</f>
        <v>https://www.ifs.org.uk/uploads/ELSA_Wave_8_report.pdf</v>
      </c>
      <c r="AA515" s="25">
        <f>_xlfn.XLOOKUP(tblMeasure[[#This Row],[id_src]],tblSource[id_src],tblSource[year_first_published])</f>
        <v>2002</v>
      </c>
      <c r="AB515" s="25">
        <f>_xlfn.XLOOKUP(tblMeasure[[#This Row],[id_src]],tblSource[id_src],tblSource[year_last_published])</f>
        <v>2018</v>
      </c>
      <c r="AC515" s="25">
        <f>_xlfn.XLOOKUP(tblMeasure[[#This Row],[id_src]],tblSource[id_src],tblSource[discontinuity])</f>
        <v>0</v>
      </c>
      <c r="AD515" s="25" t="str">
        <f>_xlfn.XLOOKUP(tblMeasure[[#This Row],[id_src]],tblSource[id_src],tblSource[publication_frequency])</f>
        <v>Biennial</v>
      </c>
      <c r="AE515" s="15">
        <f>_xlfn.XLOOKUP(tblMeasure[[#This Row],[id_src]],tblSource[id_src],tblSource[publication_lag_months])</f>
        <v>10</v>
      </c>
      <c r="AF515" s="25" t="str">
        <f>_xlfn.XLOOKUP(tblMeasure[[#This Row],[id_src]],tblSource[id_src],tblSource[data_providers])</f>
        <v>UCL, IFS, Manchester University, NatCen, UEA</v>
      </c>
      <c r="AG515" s="25" t="str">
        <f>_xlfn.XLOOKUP(tblMeasure[[#This Row],[id_src]],tblSource[id_src],tblSource[statistic_class])</f>
        <v>TBD</v>
      </c>
      <c r="AH515" s="25" t="str">
        <f>_xlfn.XLOOKUP(tblMeasure[[#This Row],[id_src]],tblSource[id_src],tblSource[methodology_link])</f>
        <v>https://www.ifs.org.uk/uploads/ELSA_Wave_8_report.pdf</v>
      </c>
      <c r="AI515" s="25" t="str">
        <f>_xlfn.XLOOKUP(tblMeasure[[#This Row],[id_src]],tblSource[id_src],tblSource[quality_issues])</f>
        <v>TBD</v>
      </c>
      <c r="AJ515" s="25">
        <f>VLOOKUP(tblMeasure[[#This Row],[msr_population_or_survey]],strlu_msr_population_or_survey,2,FALSE)</f>
        <v>0</v>
      </c>
      <c r="AK515" s="25">
        <f>VLOOKUP(tblMeasure[[#This Row],[msr_min_geo_resolution]],strlu_msr_min_geo_resolution,2,FALSE)</f>
        <v>0</v>
      </c>
      <c r="AL515" s="25">
        <f>(MAX(tblMeasure[[#This Row],[src_year_last_published]]-2010+1,0)+MIN(2010-tblMeasure[[#This Row],[src_year_first_published]],0)-MAX(tblMeasure[[#This Row],[src_year_last_published]]-2019,0))/10</f>
        <v>0.9</v>
      </c>
      <c r="AM515" s="25">
        <f>IF(OR(tblMeasure[[#This Row],[src_discontinuity]]="None",tblMeasure[[#This Row],[src_discontinuity]]=0),1,0)</f>
        <v>1</v>
      </c>
      <c r="AN515" s="25">
        <f>VLOOKUP(tblMeasure[[#This Row],[src_pub_frequency]],strlu_src_pub_frequency,2,FALSE)</f>
        <v>0.5</v>
      </c>
      <c r="AO515" s="25">
        <f>VLOOKUP(tblMeasure[[#This Row],[src_pub_lag_months]],strlu_src_pub_lag_months,2,FALSE)</f>
        <v>0.1</v>
      </c>
      <c r="AP515" s="25">
        <f>VLOOKUP(tblMeasure[[#This Row],[src_statistic_class]],strlu_src_statistic_class,2,FALSE)</f>
        <v>0</v>
      </c>
      <c r="AQ515" s="25">
        <f>IF(tblMeasure[[#This Row],[src_methodology_url]]="TBD",0,1)</f>
        <v>1</v>
      </c>
      <c r="AR515" s="25">
        <f>IF(tblMeasure[[#This Row],[src_quality_url]]="TBD",0,1)</f>
        <v>0</v>
      </c>
      <c r="AS515" s="85" cm="1">
        <f t="array" ref="AS515">SUMPRODUCT(TRANSPOSE(tblMeasure[[#This Row],[str_msr_population_or_survey]:[str_src_quality_url]]),str_weights)/str_weights_total</f>
        <v>0.33846153846153848</v>
      </c>
    </row>
    <row r="516" spans="1:45" hidden="1" x14ac:dyDescent="0.15">
      <c r="A516" s="30">
        <v>514</v>
      </c>
      <c r="B516" s="32">
        <f>COUNTIF(requirement_measure_map!$D$3:$D$1514,measure!A516)</f>
        <v>0</v>
      </c>
      <c r="C516" s="30" t="s">
        <v>800</v>
      </c>
      <c r="D516" s="15" t="s">
        <v>1551</v>
      </c>
      <c r="E516" s="15" t="s">
        <v>1603</v>
      </c>
      <c r="F516" s="15" t="s">
        <v>1604</v>
      </c>
      <c r="G516" s="13" t="s">
        <v>1359</v>
      </c>
      <c r="H516" s="15"/>
      <c r="I516" s="15" t="s">
        <v>429</v>
      </c>
      <c r="J516" s="15" t="s">
        <v>1360</v>
      </c>
      <c r="K516" s="15" t="s">
        <v>1602</v>
      </c>
      <c r="L516" s="15" t="s">
        <v>233</v>
      </c>
      <c r="M516" s="15" t="s">
        <v>1362</v>
      </c>
      <c r="N516" s="15" t="s">
        <v>218</v>
      </c>
      <c r="O516" s="15" t="s">
        <v>243</v>
      </c>
      <c r="P516" s="15" t="s">
        <v>219</v>
      </c>
      <c r="Q516" s="15" t="s">
        <v>219</v>
      </c>
      <c r="R516" s="15" t="s">
        <v>219</v>
      </c>
      <c r="S516" s="15" t="s">
        <v>219</v>
      </c>
      <c r="T516" s="15" t="s">
        <v>219</v>
      </c>
      <c r="U516" s="15" t="s">
        <v>219</v>
      </c>
      <c r="V516" s="15" t="s">
        <v>219</v>
      </c>
      <c r="W516" s="15">
        <v>32</v>
      </c>
      <c r="X516" s="15" t="str">
        <f>_xlfn.XLOOKUP(tblMeasure[[#This Row],[id_src]],tblSource[id_src],tblSource[org])</f>
        <v xml:space="preserve">NIH National Institute of Ageing </v>
      </c>
      <c r="Y516" s="25" t="str">
        <f>_xlfn.XLOOKUP(tblMeasure[[#This Row],[id_src]],tblSource[id_src],tblSource[source])</f>
        <v>English Longitudinal Study of Ageing</v>
      </c>
      <c r="Z516" s="25" t="str">
        <f>_xlfn.XLOOKUP(tblMeasure[[#This Row],[id_src]],tblSource[id_src],tblSource[url_source])</f>
        <v>https://www.ifs.org.uk/uploads/ELSA_Wave_8_report.pdf</v>
      </c>
      <c r="AA516" s="25">
        <f>_xlfn.XLOOKUP(tblMeasure[[#This Row],[id_src]],tblSource[id_src],tblSource[year_first_published])</f>
        <v>2002</v>
      </c>
      <c r="AB516" s="25">
        <f>_xlfn.XLOOKUP(tblMeasure[[#This Row],[id_src]],tblSource[id_src],tblSource[year_last_published])</f>
        <v>2018</v>
      </c>
      <c r="AC516" s="25">
        <f>_xlfn.XLOOKUP(tblMeasure[[#This Row],[id_src]],tblSource[id_src],tblSource[discontinuity])</f>
        <v>0</v>
      </c>
      <c r="AD516" s="25" t="str">
        <f>_xlfn.XLOOKUP(tblMeasure[[#This Row],[id_src]],tblSource[id_src],tblSource[publication_frequency])</f>
        <v>Biennial</v>
      </c>
      <c r="AE516" s="15">
        <f>_xlfn.XLOOKUP(tblMeasure[[#This Row],[id_src]],tblSource[id_src],tblSource[publication_lag_months])</f>
        <v>10</v>
      </c>
      <c r="AF516" s="25" t="str">
        <f>_xlfn.XLOOKUP(tblMeasure[[#This Row],[id_src]],tblSource[id_src],tblSource[data_providers])</f>
        <v>UCL, IFS, Manchester University, NatCen, UEA</v>
      </c>
      <c r="AG516" s="25" t="str">
        <f>_xlfn.XLOOKUP(tblMeasure[[#This Row],[id_src]],tblSource[id_src],tblSource[statistic_class])</f>
        <v>TBD</v>
      </c>
      <c r="AH516" s="25" t="str">
        <f>_xlfn.XLOOKUP(tblMeasure[[#This Row],[id_src]],tblSource[id_src],tblSource[methodology_link])</f>
        <v>https://www.ifs.org.uk/uploads/ELSA_Wave_8_report.pdf</v>
      </c>
      <c r="AI516" s="25" t="str">
        <f>_xlfn.XLOOKUP(tblMeasure[[#This Row],[id_src]],tblSource[id_src],tblSource[quality_issues])</f>
        <v>TBD</v>
      </c>
      <c r="AJ516" s="25">
        <f>VLOOKUP(tblMeasure[[#This Row],[msr_population_or_survey]],strlu_msr_population_or_survey,2,FALSE)</f>
        <v>0</v>
      </c>
      <c r="AK516" s="25">
        <f>VLOOKUP(tblMeasure[[#This Row],[msr_min_geo_resolution]],strlu_msr_min_geo_resolution,2,FALSE)</f>
        <v>0</v>
      </c>
      <c r="AL516" s="25">
        <f>(MAX(tblMeasure[[#This Row],[src_year_last_published]]-2010+1,0)+MIN(2010-tblMeasure[[#This Row],[src_year_first_published]],0)-MAX(tblMeasure[[#This Row],[src_year_last_published]]-2019,0))/10</f>
        <v>0.9</v>
      </c>
      <c r="AM516" s="25">
        <f>IF(OR(tblMeasure[[#This Row],[src_discontinuity]]="None",tblMeasure[[#This Row],[src_discontinuity]]=0),1,0)</f>
        <v>1</v>
      </c>
      <c r="AN516" s="25">
        <f>VLOOKUP(tblMeasure[[#This Row],[src_pub_frequency]],strlu_src_pub_frequency,2,FALSE)</f>
        <v>0.5</v>
      </c>
      <c r="AO516" s="25">
        <f>VLOOKUP(tblMeasure[[#This Row],[src_pub_lag_months]],strlu_src_pub_lag_months,2,FALSE)</f>
        <v>0.1</v>
      </c>
      <c r="AP516" s="25">
        <f>VLOOKUP(tblMeasure[[#This Row],[src_statistic_class]],strlu_src_statistic_class,2,FALSE)</f>
        <v>0</v>
      </c>
      <c r="AQ516" s="25">
        <f>IF(tblMeasure[[#This Row],[src_methodology_url]]="TBD",0,1)</f>
        <v>1</v>
      </c>
      <c r="AR516" s="25">
        <f>IF(tblMeasure[[#This Row],[src_quality_url]]="TBD",0,1)</f>
        <v>0</v>
      </c>
      <c r="AS516" s="85" cm="1">
        <f t="array" ref="AS516">SUMPRODUCT(TRANSPOSE(tblMeasure[[#This Row],[str_msr_population_or_survey]:[str_src_quality_url]]),str_weights)/str_weights_total</f>
        <v>0.33846153846153848</v>
      </c>
    </row>
    <row r="517" spans="1:45" hidden="1" x14ac:dyDescent="0.15">
      <c r="A517" s="30">
        <v>515</v>
      </c>
      <c r="B517" s="32">
        <f>COUNTIF(requirement_measure_map!$D$3:$D$1514,measure!A517)</f>
        <v>0</v>
      </c>
      <c r="C517" s="30" t="s">
        <v>800</v>
      </c>
      <c r="D517" s="15" t="s">
        <v>1551</v>
      </c>
      <c r="E517" s="15" t="s">
        <v>1605</v>
      </c>
      <c r="F517" s="15" t="s">
        <v>1606</v>
      </c>
      <c r="G517" s="13" t="s">
        <v>1359</v>
      </c>
      <c r="H517" s="15"/>
      <c r="I517" s="15" t="s">
        <v>429</v>
      </c>
      <c r="J517" s="15" t="s">
        <v>1360</v>
      </c>
      <c r="K517" s="15" t="s">
        <v>1607</v>
      </c>
      <c r="L517" s="15" t="s">
        <v>233</v>
      </c>
      <c r="M517" s="15" t="s">
        <v>349</v>
      </c>
      <c r="N517" s="15" t="s">
        <v>218</v>
      </c>
      <c r="O517" s="15" t="s">
        <v>1362</v>
      </c>
      <c r="P517" s="15" t="s">
        <v>219</v>
      </c>
      <c r="Q517" s="15" t="s">
        <v>219</v>
      </c>
      <c r="R517" s="15" t="s">
        <v>219</v>
      </c>
      <c r="S517" s="15" t="s">
        <v>219</v>
      </c>
      <c r="T517" s="15" t="s">
        <v>219</v>
      </c>
      <c r="U517" s="15" t="s">
        <v>219</v>
      </c>
      <c r="V517" s="15" t="s">
        <v>219</v>
      </c>
      <c r="W517" s="15">
        <v>32</v>
      </c>
      <c r="X517" s="15" t="str">
        <f>_xlfn.XLOOKUP(tblMeasure[[#This Row],[id_src]],tblSource[id_src],tblSource[org])</f>
        <v xml:space="preserve">NIH National Institute of Ageing </v>
      </c>
      <c r="Y517" s="25" t="str">
        <f>_xlfn.XLOOKUP(tblMeasure[[#This Row],[id_src]],tblSource[id_src],tblSource[source])</f>
        <v>English Longitudinal Study of Ageing</v>
      </c>
      <c r="Z517" s="25" t="str">
        <f>_xlfn.XLOOKUP(tblMeasure[[#This Row],[id_src]],tblSource[id_src],tblSource[url_source])</f>
        <v>https://www.ifs.org.uk/uploads/ELSA_Wave_8_report.pdf</v>
      </c>
      <c r="AA517" s="25">
        <f>_xlfn.XLOOKUP(tblMeasure[[#This Row],[id_src]],tblSource[id_src],tblSource[year_first_published])</f>
        <v>2002</v>
      </c>
      <c r="AB517" s="25">
        <f>_xlfn.XLOOKUP(tblMeasure[[#This Row],[id_src]],tblSource[id_src],tblSource[year_last_published])</f>
        <v>2018</v>
      </c>
      <c r="AC517" s="25">
        <f>_xlfn.XLOOKUP(tblMeasure[[#This Row],[id_src]],tblSource[id_src],tblSource[discontinuity])</f>
        <v>0</v>
      </c>
      <c r="AD517" s="25" t="str">
        <f>_xlfn.XLOOKUP(tblMeasure[[#This Row],[id_src]],tblSource[id_src],tblSource[publication_frequency])</f>
        <v>Biennial</v>
      </c>
      <c r="AE517" s="15">
        <f>_xlfn.XLOOKUP(tblMeasure[[#This Row],[id_src]],tblSource[id_src],tblSource[publication_lag_months])</f>
        <v>10</v>
      </c>
      <c r="AF517" s="25" t="str">
        <f>_xlfn.XLOOKUP(tblMeasure[[#This Row],[id_src]],tblSource[id_src],tblSource[data_providers])</f>
        <v>UCL, IFS, Manchester University, NatCen, UEA</v>
      </c>
      <c r="AG517" s="25" t="str">
        <f>_xlfn.XLOOKUP(tblMeasure[[#This Row],[id_src]],tblSource[id_src],tblSource[statistic_class])</f>
        <v>TBD</v>
      </c>
      <c r="AH517" s="25" t="str">
        <f>_xlfn.XLOOKUP(tblMeasure[[#This Row],[id_src]],tblSource[id_src],tblSource[methodology_link])</f>
        <v>https://www.ifs.org.uk/uploads/ELSA_Wave_8_report.pdf</v>
      </c>
      <c r="AI517" s="25" t="str">
        <f>_xlfn.XLOOKUP(tblMeasure[[#This Row],[id_src]],tblSource[id_src],tblSource[quality_issues])</f>
        <v>TBD</v>
      </c>
      <c r="AJ517" s="25">
        <f>VLOOKUP(tblMeasure[[#This Row],[msr_population_or_survey]],strlu_msr_population_or_survey,2,FALSE)</f>
        <v>0</v>
      </c>
      <c r="AK517" s="25">
        <f>VLOOKUP(tblMeasure[[#This Row],[msr_min_geo_resolution]],strlu_msr_min_geo_resolution,2,FALSE)</f>
        <v>0</v>
      </c>
      <c r="AL517" s="25">
        <f>(MAX(tblMeasure[[#This Row],[src_year_last_published]]-2010+1,0)+MIN(2010-tblMeasure[[#This Row],[src_year_first_published]],0)-MAX(tblMeasure[[#This Row],[src_year_last_published]]-2019,0))/10</f>
        <v>0.9</v>
      </c>
      <c r="AM517" s="25">
        <f>IF(OR(tblMeasure[[#This Row],[src_discontinuity]]="None",tblMeasure[[#This Row],[src_discontinuity]]=0),1,0)</f>
        <v>1</v>
      </c>
      <c r="AN517" s="25">
        <f>VLOOKUP(tblMeasure[[#This Row],[src_pub_frequency]],strlu_src_pub_frequency,2,FALSE)</f>
        <v>0.5</v>
      </c>
      <c r="AO517" s="25">
        <f>VLOOKUP(tblMeasure[[#This Row],[src_pub_lag_months]],strlu_src_pub_lag_months,2,FALSE)</f>
        <v>0.1</v>
      </c>
      <c r="AP517" s="25">
        <f>VLOOKUP(tblMeasure[[#This Row],[src_statistic_class]],strlu_src_statistic_class,2,FALSE)</f>
        <v>0</v>
      </c>
      <c r="AQ517" s="25">
        <f>IF(tblMeasure[[#This Row],[src_methodology_url]]="TBD",0,1)</f>
        <v>1</v>
      </c>
      <c r="AR517" s="25">
        <f>IF(tblMeasure[[#This Row],[src_quality_url]]="TBD",0,1)</f>
        <v>0</v>
      </c>
      <c r="AS517" s="85" cm="1">
        <f t="array" ref="AS517">SUMPRODUCT(TRANSPOSE(tblMeasure[[#This Row],[str_msr_population_or_survey]:[str_src_quality_url]]),str_weights)/str_weights_total</f>
        <v>0.33846153846153848</v>
      </c>
    </row>
    <row r="518" spans="1:45" hidden="1" x14ac:dyDescent="0.15">
      <c r="A518" s="30">
        <v>516</v>
      </c>
      <c r="B518" s="32">
        <f>COUNTIF(requirement_measure_map!$D$3:$D$1514,measure!A518)</f>
        <v>0</v>
      </c>
      <c r="C518" s="30" t="s">
        <v>800</v>
      </c>
      <c r="D518" s="15" t="s">
        <v>1551</v>
      </c>
      <c r="E518" s="15" t="s">
        <v>1608</v>
      </c>
      <c r="F518" s="15" t="s">
        <v>1609</v>
      </c>
      <c r="G518" s="13" t="s">
        <v>1359</v>
      </c>
      <c r="H518" s="15"/>
      <c r="I518" s="15" t="s">
        <v>429</v>
      </c>
      <c r="J518" s="15" t="s">
        <v>1360</v>
      </c>
      <c r="K518" s="15" t="s">
        <v>1607</v>
      </c>
      <c r="L518" s="15" t="s">
        <v>233</v>
      </c>
      <c r="M518" s="15" t="s">
        <v>1362</v>
      </c>
      <c r="N518" s="15" t="s">
        <v>218</v>
      </c>
      <c r="O518" s="15" t="s">
        <v>243</v>
      </c>
      <c r="P518" s="15" t="s">
        <v>219</v>
      </c>
      <c r="Q518" s="15" t="s">
        <v>219</v>
      </c>
      <c r="R518" s="15" t="s">
        <v>219</v>
      </c>
      <c r="S518" s="15" t="s">
        <v>219</v>
      </c>
      <c r="T518" s="15" t="s">
        <v>219</v>
      </c>
      <c r="U518" s="15" t="s">
        <v>219</v>
      </c>
      <c r="V518" s="15" t="s">
        <v>219</v>
      </c>
      <c r="W518" s="15">
        <v>32</v>
      </c>
      <c r="X518" s="15" t="str">
        <f>_xlfn.XLOOKUP(tblMeasure[[#This Row],[id_src]],tblSource[id_src],tblSource[org])</f>
        <v xml:space="preserve">NIH National Institute of Ageing </v>
      </c>
      <c r="Y518" s="25" t="str">
        <f>_xlfn.XLOOKUP(tblMeasure[[#This Row],[id_src]],tblSource[id_src],tblSource[source])</f>
        <v>English Longitudinal Study of Ageing</v>
      </c>
      <c r="Z518" s="25" t="str">
        <f>_xlfn.XLOOKUP(tblMeasure[[#This Row],[id_src]],tblSource[id_src],tblSource[url_source])</f>
        <v>https://www.ifs.org.uk/uploads/ELSA_Wave_8_report.pdf</v>
      </c>
      <c r="AA518" s="25">
        <f>_xlfn.XLOOKUP(tblMeasure[[#This Row],[id_src]],tblSource[id_src],tblSource[year_first_published])</f>
        <v>2002</v>
      </c>
      <c r="AB518" s="25">
        <f>_xlfn.XLOOKUP(tblMeasure[[#This Row],[id_src]],tblSource[id_src],tblSource[year_last_published])</f>
        <v>2018</v>
      </c>
      <c r="AC518" s="25">
        <f>_xlfn.XLOOKUP(tblMeasure[[#This Row],[id_src]],tblSource[id_src],tblSource[discontinuity])</f>
        <v>0</v>
      </c>
      <c r="AD518" s="25" t="str">
        <f>_xlfn.XLOOKUP(tblMeasure[[#This Row],[id_src]],tblSource[id_src],tblSource[publication_frequency])</f>
        <v>Biennial</v>
      </c>
      <c r="AE518" s="15">
        <f>_xlfn.XLOOKUP(tblMeasure[[#This Row],[id_src]],tblSource[id_src],tblSource[publication_lag_months])</f>
        <v>10</v>
      </c>
      <c r="AF518" s="25" t="str">
        <f>_xlfn.XLOOKUP(tblMeasure[[#This Row],[id_src]],tblSource[id_src],tblSource[data_providers])</f>
        <v>UCL, IFS, Manchester University, NatCen, UEA</v>
      </c>
      <c r="AG518" s="25" t="str">
        <f>_xlfn.XLOOKUP(tblMeasure[[#This Row],[id_src]],tblSource[id_src],tblSource[statistic_class])</f>
        <v>TBD</v>
      </c>
      <c r="AH518" s="25" t="str">
        <f>_xlfn.XLOOKUP(tblMeasure[[#This Row],[id_src]],tblSource[id_src],tblSource[methodology_link])</f>
        <v>https://www.ifs.org.uk/uploads/ELSA_Wave_8_report.pdf</v>
      </c>
      <c r="AI518" s="25" t="str">
        <f>_xlfn.XLOOKUP(tblMeasure[[#This Row],[id_src]],tblSource[id_src],tblSource[quality_issues])</f>
        <v>TBD</v>
      </c>
      <c r="AJ518" s="25">
        <f>VLOOKUP(tblMeasure[[#This Row],[msr_population_or_survey]],strlu_msr_population_or_survey,2,FALSE)</f>
        <v>0</v>
      </c>
      <c r="AK518" s="25">
        <f>VLOOKUP(tblMeasure[[#This Row],[msr_min_geo_resolution]],strlu_msr_min_geo_resolution,2,FALSE)</f>
        <v>0</v>
      </c>
      <c r="AL518" s="25">
        <f>(MAX(tblMeasure[[#This Row],[src_year_last_published]]-2010+1,0)+MIN(2010-tblMeasure[[#This Row],[src_year_first_published]],0)-MAX(tblMeasure[[#This Row],[src_year_last_published]]-2019,0))/10</f>
        <v>0.9</v>
      </c>
      <c r="AM518" s="25">
        <f>IF(OR(tblMeasure[[#This Row],[src_discontinuity]]="None",tblMeasure[[#This Row],[src_discontinuity]]=0),1,0)</f>
        <v>1</v>
      </c>
      <c r="AN518" s="25">
        <f>VLOOKUP(tblMeasure[[#This Row],[src_pub_frequency]],strlu_src_pub_frequency,2,FALSE)</f>
        <v>0.5</v>
      </c>
      <c r="AO518" s="25">
        <f>VLOOKUP(tblMeasure[[#This Row],[src_pub_lag_months]],strlu_src_pub_lag_months,2,FALSE)</f>
        <v>0.1</v>
      </c>
      <c r="AP518" s="25">
        <f>VLOOKUP(tblMeasure[[#This Row],[src_statistic_class]],strlu_src_statistic_class,2,FALSE)</f>
        <v>0</v>
      </c>
      <c r="AQ518" s="25">
        <f>IF(tblMeasure[[#This Row],[src_methodology_url]]="TBD",0,1)</f>
        <v>1</v>
      </c>
      <c r="AR518" s="25">
        <f>IF(tblMeasure[[#This Row],[src_quality_url]]="TBD",0,1)</f>
        <v>0</v>
      </c>
      <c r="AS518" s="85" cm="1">
        <f t="array" ref="AS518">SUMPRODUCT(TRANSPOSE(tblMeasure[[#This Row],[str_msr_population_or_survey]:[str_src_quality_url]]),str_weights)/str_weights_total</f>
        <v>0.33846153846153848</v>
      </c>
    </row>
    <row r="519" spans="1:45" hidden="1" x14ac:dyDescent="0.15">
      <c r="A519" s="30">
        <v>517</v>
      </c>
      <c r="B519" s="32">
        <f>COUNTIF(requirement_measure_map!$D$3:$D$1514,measure!A519)</f>
        <v>0</v>
      </c>
      <c r="C519" s="30" t="s">
        <v>800</v>
      </c>
      <c r="D519" s="15" t="s">
        <v>1551</v>
      </c>
      <c r="E519" s="15" t="s">
        <v>1610</v>
      </c>
      <c r="F519" s="15" t="s">
        <v>1611</v>
      </c>
      <c r="G519" s="13" t="s">
        <v>1359</v>
      </c>
      <c r="H519" s="15"/>
      <c r="I519" s="15" t="s">
        <v>429</v>
      </c>
      <c r="J519" s="15" t="s">
        <v>1360</v>
      </c>
      <c r="K519" s="15" t="s">
        <v>1612</v>
      </c>
      <c r="L519" s="15" t="s">
        <v>233</v>
      </c>
      <c r="M519" s="15" t="s">
        <v>349</v>
      </c>
      <c r="N519" s="15" t="s">
        <v>218</v>
      </c>
      <c r="O519" s="15" t="s">
        <v>1362</v>
      </c>
      <c r="P519" s="15" t="s">
        <v>219</v>
      </c>
      <c r="Q519" s="15" t="s">
        <v>219</v>
      </c>
      <c r="R519" s="15" t="s">
        <v>219</v>
      </c>
      <c r="S519" s="15" t="s">
        <v>219</v>
      </c>
      <c r="T519" s="15" t="s">
        <v>219</v>
      </c>
      <c r="U519" s="15" t="s">
        <v>219</v>
      </c>
      <c r="V519" s="15" t="s">
        <v>219</v>
      </c>
      <c r="W519" s="15">
        <v>32</v>
      </c>
      <c r="X519" s="15" t="str">
        <f>_xlfn.XLOOKUP(tblMeasure[[#This Row],[id_src]],tblSource[id_src],tblSource[org])</f>
        <v xml:space="preserve">NIH National Institute of Ageing </v>
      </c>
      <c r="Y519" s="25" t="str">
        <f>_xlfn.XLOOKUP(tblMeasure[[#This Row],[id_src]],tblSource[id_src],tblSource[source])</f>
        <v>English Longitudinal Study of Ageing</v>
      </c>
      <c r="Z519" s="25" t="str">
        <f>_xlfn.XLOOKUP(tblMeasure[[#This Row],[id_src]],tblSource[id_src],tblSource[url_source])</f>
        <v>https://www.ifs.org.uk/uploads/ELSA_Wave_8_report.pdf</v>
      </c>
      <c r="AA519" s="25">
        <f>_xlfn.XLOOKUP(tblMeasure[[#This Row],[id_src]],tblSource[id_src],tblSource[year_first_published])</f>
        <v>2002</v>
      </c>
      <c r="AB519" s="25">
        <f>_xlfn.XLOOKUP(tblMeasure[[#This Row],[id_src]],tblSource[id_src],tblSource[year_last_published])</f>
        <v>2018</v>
      </c>
      <c r="AC519" s="25">
        <f>_xlfn.XLOOKUP(tblMeasure[[#This Row],[id_src]],tblSource[id_src],tblSource[discontinuity])</f>
        <v>0</v>
      </c>
      <c r="AD519" s="25" t="str">
        <f>_xlfn.XLOOKUP(tblMeasure[[#This Row],[id_src]],tblSource[id_src],tblSource[publication_frequency])</f>
        <v>Biennial</v>
      </c>
      <c r="AE519" s="15">
        <f>_xlfn.XLOOKUP(tblMeasure[[#This Row],[id_src]],tblSource[id_src],tblSource[publication_lag_months])</f>
        <v>10</v>
      </c>
      <c r="AF519" s="25" t="str">
        <f>_xlfn.XLOOKUP(tblMeasure[[#This Row],[id_src]],tblSource[id_src],tblSource[data_providers])</f>
        <v>UCL, IFS, Manchester University, NatCen, UEA</v>
      </c>
      <c r="AG519" s="25" t="str">
        <f>_xlfn.XLOOKUP(tblMeasure[[#This Row],[id_src]],tblSource[id_src],tblSource[statistic_class])</f>
        <v>TBD</v>
      </c>
      <c r="AH519" s="25" t="str">
        <f>_xlfn.XLOOKUP(tblMeasure[[#This Row],[id_src]],tblSource[id_src],tblSource[methodology_link])</f>
        <v>https://www.ifs.org.uk/uploads/ELSA_Wave_8_report.pdf</v>
      </c>
      <c r="AI519" s="25" t="str">
        <f>_xlfn.XLOOKUP(tblMeasure[[#This Row],[id_src]],tblSource[id_src],tblSource[quality_issues])</f>
        <v>TBD</v>
      </c>
      <c r="AJ519" s="25">
        <f>VLOOKUP(tblMeasure[[#This Row],[msr_population_or_survey]],strlu_msr_population_or_survey,2,FALSE)</f>
        <v>0</v>
      </c>
      <c r="AK519" s="25">
        <f>VLOOKUP(tblMeasure[[#This Row],[msr_min_geo_resolution]],strlu_msr_min_geo_resolution,2,FALSE)</f>
        <v>0</v>
      </c>
      <c r="AL519" s="25">
        <f>(MAX(tblMeasure[[#This Row],[src_year_last_published]]-2010+1,0)+MIN(2010-tblMeasure[[#This Row],[src_year_first_published]],0)-MAX(tblMeasure[[#This Row],[src_year_last_published]]-2019,0))/10</f>
        <v>0.9</v>
      </c>
      <c r="AM519" s="25">
        <f>IF(OR(tblMeasure[[#This Row],[src_discontinuity]]="None",tblMeasure[[#This Row],[src_discontinuity]]=0),1,0)</f>
        <v>1</v>
      </c>
      <c r="AN519" s="25">
        <f>VLOOKUP(tblMeasure[[#This Row],[src_pub_frequency]],strlu_src_pub_frequency,2,FALSE)</f>
        <v>0.5</v>
      </c>
      <c r="AO519" s="25">
        <f>VLOOKUP(tblMeasure[[#This Row],[src_pub_lag_months]],strlu_src_pub_lag_months,2,FALSE)</f>
        <v>0.1</v>
      </c>
      <c r="AP519" s="25">
        <f>VLOOKUP(tblMeasure[[#This Row],[src_statistic_class]],strlu_src_statistic_class,2,FALSE)</f>
        <v>0</v>
      </c>
      <c r="AQ519" s="25">
        <f>IF(tblMeasure[[#This Row],[src_methodology_url]]="TBD",0,1)</f>
        <v>1</v>
      </c>
      <c r="AR519" s="25">
        <f>IF(tblMeasure[[#This Row],[src_quality_url]]="TBD",0,1)</f>
        <v>0</v>
      </c>
      <c r="AS519" s="85" cm="1">
        <f t="array" ref="AS519">SUMPRODUCT(TRANSPOSE(tblMeasure[[#This Row],[str_msr_population_or_survey]:[str_src_quality_url]]),str_weights)/str_weights_total</f>
        <v>0.33846153846153848</v>
      </c>
    </row>
    <row r="520" spans="1:45" hidden="1" x14ac:dyDescent="0.15">
      <c r="A520" s="30">
        <v>518</v>
      </c>
      <c r="B520" s="32">
        <f>COUNTIF(requirement_measure_map!$D$3:$D$1514,measure!A520)</f>
        <v>0</v>
      </c>
      <c r="C520" s="30" t="s">
        <v>800</v>
      </c>
      <c r="D520" s="15" t="s">
        <v>1551</v>
      </c>
      <c r="E520" s="15" t="s">
        <v>1613</v>
      </c>
      <c r="F520" s="15" t="s">
        <v>1614</v>
      </c>
      <c r="G520" s="13" t="s">
        <v>1359</v>
      </c>
      <c r="H520" s="15"/>
      <c r="I520" s="15" t="s">
        <v>429</v>
      </c>
      <c r="J520" s="15" t="s">
        <v>1360</v>
      </c>
      <c r="K520" s="15" t="s">
        <v>1612</v>
      </c>
      <c r="L520" s="15" t="s">
        <v>233</v>
      </c>
      <c r="M520" s="15" t="s">
        <v>1362</v>
      </c>
      <c r="N520" s="15" t="s">
        <v>218</v>
      </c>
      <c r="O520" s="15" t="s">
        <v>243</v>
      </c>
      <c r="P520" s="15" t="s">
        <v>219</v>
      </c>
      <c r="Q520" s="15" t="s">
        <v>219</v>
      </c>
      <c r="R520" s="15" t="s">
        <v>219</v>
      </c>
      <c r="S520" s="15" t="s">
        <v>219</v>
      </c>
      <c r="T520" s="15" t="s">
        <v>219</v>
      </c>
      <c r="U520" s="15" t="s">
        <v>219</v>
      </c>
      <c r="V520" s="15" t="s">
        <v>219</v>
      </c>
      <c r="W520" s="15">
        <v>32</v>
      </c>
      <c r="X520" s="15" t="str">
        <f>_xlfn.XLOOKUP(tblMeasure[[#This Row],[id_src]],tblSource[id_src],tblSource[org])</f>
        <v xml:space="preserve">NIH National Institute of Ageing </v>
      </c>
      <c r="Y520" s="25" t="str">
        <f>_xlfn.XLOOKUP(tblMeasure[[#This Row],[id_src]],tblSource[id_src],tblSource[source])</f>
        <v>English Longitudinal Study of Ageing</v>
      </c>
      <c r="Z520" s="25" t="str">
        <f>_xlfn.XLOOKUP(tblMeasure[[#This Row],[id_src]],tblSource[id_src],tblSource[url_source])</f>
        <v>https://www.ifs.org.uk/uploads/ELSA_Wave_8_report.pdf</v>
      </c>
      <c r="AA520" s="25">
        <f>_xlfn.XLOOKUP(tblMeasure[[#This Row],[id_src]],tblSource[id_src],tblSource[year_first_published])</f>
        <v>2002</v>
      </c>
      <c r="AB520" s="25">
        <f>_xlfn.XLOOKUP(tblMeasure[[#This Row],[id_src]],tblSource[id_src],tblSource[year_last_published])</f>
        <v>2018</v>
      </c>
      <c r="AC520" s="25">
        <f>_xlfn.XLOOKUP(tblMeasure[[#This Row],[id_src]],tblSource[id_src],tblSource[discontinuity])</f>
        <v>0</v>
      </c>
      <c r="AD520" s="25" t="str">
        <f>_xlfn.XLOOKUP(tblMeasure[[#This Row],[id_src]],tblSource[id_src],tblSource[publication_frequency])</f>
        <v>Biennial</v>
      </c>
      <c r="AE520" s="15">
        <f>_xlfn.XLOOKUP(tblMeasure[[#This Row],[id_src]],tblSource[id_src],tblSource[publication_lag_months])</f>
        <v>10</v>
      </c>
      <c r="AF520" s="25" t="str">
        <f>_xlfn.XLOOKUP(tblMeasure[[#This Row],[id_src]],tblSource[id_src],tblSource[data_providers])</f>
        <v>UCL, IFS, Manchester University, NatCen, UEA</v>
      </c>
      <c r="AG520" s="25" t="str">
        <f>_xlfn.XLOOKUP(tblMeasure[[#This Row],[id_src]],tblSource[id_src],tblSource[statistic_class])</f>
        <v>TBD</v>
      </c>
      <c r="AH520" s="25" t="str">
        <f>_xlfn.XLOOKUP(tblMeasure[[#This Row],[id_src]],tblSource[id_src],tblSource[methodology_link])</f>
        <v>https://www.ifs.org.uk/uploads/ELSA_Wave_8_report.pdf</v>
      </c>
      <c r="AI520" s="25" t="str">
        <f>_xlfn.XLOOKUP(tblMeasure[[#This Row],[id_src]],tblSource[id_src],tblSource[quality_issues])</f>
        <v>TBD</v>
      </c>
      <c r="AJ520" s="25">
        <f>VLOOKUP(tblMeasure[[#This Row],[msr_population_or_survey]],strlu_msr_population_or_survey,2,FALSE)</f>
        <v>0</v>
      </c>
      <c r="AK520" s="25">
        <f>VLOOKUP(tblMeasure[[#This Row],[msr_min_geo_resolution]],strlu_msr_min_geo_resolution,2,FALSE)</f>
        <v>0</v>
      </c>
      <c r="AL520" s="25">
        <f>(MAX(tblMeasure[[#This Row],[src_year_last_published]]-2010+1,0)+MIN(2010-tblMeasure[[#This Row],[src_year_first_published]],0)-MAX(tblMeasure[[#This Row],[src_year_last_published]]-2019,0))/10</f>
        <v>0.9</v>
      </c>
      <c r="AM520" s="25">
        <f>IF(OR(tblMeasure[[#This Row],[src_discontinuity]]="None",tblMeasure[[#This Row],[src_discontinuity]]=0),1,0)</f>
        <v>1</v>
      </c>
      <c r="AN520" s="25">
        <f>VLOOKUP(tblMeasure[[#This Row],[src_pub_frequency]],strlu_src_pub_frequency,2,FALSE)</f>
        <v>0.5</v>
      </c>
      <c r="AO520" s="25">
        <f>VLOOKUP(tblMeasure[[#This Row],[src_pub_lag_months]],strlu_src_pub_lag_months,2,FALSE)</f>
        <v>0.1</v>
      </c>
      <c r="AP520" s="25">
        <f>VLOOKUP(tblMeasure[[#This Row],[src_statistic_class]],strlu_src_statistic_class,2,FALSE)</f>
        <v>0</v>
      </c>
      <c r="AQ520" s="25">
        <f>IF(tblMeasure[[#This Row],[src_methodology_url]]="TBD",0,1)</f>
        <v>1</v>
      </c>
      <c r="AR520" s="25">
        <f>IF(tblMeasure[[#This Row],[src_quality_url]]="TBD",0,1)</f>
        <v>0</v>
      </c>
      <c r="AS520" s="85" cm="1">
        <f t="array" ref="AS520">SUMPRODUCT(TRANSPOSE(tblMeasure[[#This Row],[str_msr_population_or_survey]:[str_src_quality_url]]),str_weights)/str_weights_total</f>
        <v>0.33846153846153848</v>
      </c>
    </row>
    <row r="521" spans="1:45" hidden="1" x14ac:dyDescent="0.15">
      <c r="A521" s="30">
        <v>519</v>
      </c>
      <c r="B521" s="32">
        <f>COUNTIF(requirement_measure_map!$D$3:$D$1514,measure!A521)</f>
        <v>3</v>
      </c>
      <c r="C521" s="30" t="s">
        <v>1395</v>
      </c>
      <c r="D521" s="15" t="s">
        <v>1551</v>
      </c>
      <c r="E521" s="15" t="s">
        <v>1615</v>
      </c>
      <c r="F521" s="15" t="s">
        <v>1616</v>
      </c>
      <c r="G521" s="13" t="s">
        <v>1359</v>
      </c>
      <c r="H521" s="15"/>
      <c r="I521" s="15" t="s">
        <v>429</v>
      </c>
      <c r="J521" s="15" t="s">
        <v>1360</v>
      </c>
      <c r="K521" s="15" t="s">
        <v>1573</v>
      </c>
      <c r="L521" s="15" t="s">
        <v>233</v>
      </c>
      <c r="M521" s="15" t="s">
        <v>243</v>
      </c>
      <c r="N521" s="15" t="s">
        <v>218</v>
      </c>
      <c r="O521" s="15" t="s">
        <v>1362</v>
      </c>
      <c r="P521" s="15" t="s">
        <v>219</v>
      </c>
      <c r="Q521" s="15" t="s">
        <v>219</v>
      </c>
      <c r="R521" s="15" t="s">
        <v>219</v>
      </c>
      <c r="S521" s="15" t="s">
        <v>219</v>
      </c>
      <c r="T521" s="15" t="s">
        <v>219</v>
      </c>
      <c r="U521" s="15" t="s">
        <v>219</v>
      </c>
      <c r="V521" s="15" t="s">
        <v>219</v>
      </c>
      <c r="W521" s="15">
        <v>32</v>
      </c>
      <c r="X521" s="15" t="str">
        <f>_xlfn.XLOOKUP(tblMeasure[[#This Row],[id_src]],tblSource[id_src],tblSource[org])</f>
        <v xml:space="preserve">NIH National Institute of Ageing </v>
      </c>
      <c r="Y521" s="25" t="str">
        <f>_xlfn.XLOOKUP(tblMeasure[[#This Row],[id_src]],tblSource[id_src],tblSource[source])</f>
        <v>English Longitudinal Study of Ageing</v>
      </c>
      <c r="Z521" s="25" t="str">
        <f>_xlfn.XLOOKUP(tblMeasure[[#This Row],[id_src]],tblSource[id_src],tblSource[url_source])</f>
        <v>https://www.ifs.org.uk/uploads/ELSA_Wave_8_report.pdf</v>
      </c>
      <c r="AA521" s="25">
        <f>_xlfn.XLOOKUP(tblMeasure[[#This Row],[id_src]],tblSource[id_src],tblSource[year_first_published])</f>
        <v>2002</v>
      </c>
      <c r="AB521" s="25">
        <f>_xlfn.XLOOKUP(tblMeasure[[#This Row],[id_src]],tblSource[id_src],tblSource[year_last_published])</f>
        <v>2018</v>
      </c>
      <c r="AC521" s="25">
        <f>_xlfn.XLOOKUP(tblMeasure[[#This Row],[id_src]],tblSource[id_src],tblSource[discontinuity])</f>
        <v>0</v>
      </c>
      <c r="AD521" s="25" t="str">
        <f>_xlfn.XLOOKUP(tblMeasure[[#This Row],[id_src]],tblSource[id_src],tblSource[publication_frequency])</f>
        <v>Biennial</v>
      </c>
      <c r="AE521" s="15">
        <f>_xlfn.XLOOKUP(tblMeasure[[#This Row],[id_src]],tblSource[id_src],tblSource[publication_lag_months])</f>
        <v>10</v>
      </c>
      <c r="AF521" s="25" t="str">
        <f>_xlfn.XLOOKUP(tblMeasure[[#This Row],[id_src]],tblSource[id_src],tblSource[data_providers])</f>
        <v>UCL, IFS, Manchester University, NatCen, UEA</v>
      </c>
      <c r="AG521" s="25" t="str">
        <f>_xlfn.XLOOKUP(tblMeasure[[#This Row],[id_src]],tblSource[id_src],tblSource[statistic_class])</f>
        <v>TBD</v>
      </c>
      <c r="AH521" s="25" t="str">
        <f>_xlfn.XLOOKUP(tblMeasure[[#This Row],[id_src]],tblSource[id_src],tblSource[methodology_link])</f>
        <v>https://www.ifs.org.uk/uploads/ELSA_Wave_8_report.pdf</v>
      </c>
      <c r="AI521" s="25" t="str">
        <f>_xlfn.XLOOKUP(tblMeasure[[#This Row],[id_src]],tblSource[id_src],tblSource[quality_issues])</f>
        <v>TBD</v>
      </c>
      <c r="AJ521" s="25">
        <f>VLOOKUP(tblMeasure[[#This Row],[msr_population_or_survey]],strlu_msr_population_or_survey,2,FALSE)</f>
        <v>0</v>
      </c>
      <c r="AK521" s="25">
        <f>VLOOKUP(tblMeasure[[#This Row],[msr_min_geo_resolution]],strlu_msr_min_geo_resolution,2,FALSE)</f>
        <v>0</v>
      </c>
      <c r="AL521" s="25">
        <f>(MAX(tblMeasure[[#This Row],[src_year_last_published]]-2010+1,0)+MIN(2010-tblMeasure[[#This Row],[src_year_first_published]],0)-MAX(tblMeasure[[#This Row],[src_year_last_published]]-2019,0))/10</f>
        <v>0.9</v>
      </c>
      <c r="AM521" s="25">
        <f>IF(OR(tblMeasure[[#This Row],[src_discontinuity]]="None",tblMeasure[[#This Row],[src_discontinuity]]=0),1,0)</f>
        <v>1</v>
      </c>
      <c r="AN521" s="25">
        <f>VLOOKUP(tblMeasure[[#This Row],[src_pub_frequency]],strlu_src_pub_frequency,2,FALSE)</f>
        <v>0.5</v>
      </c>
      <c r="AO521" s="25">
        <f>VLOOKUP(tblMeasure[[#This Row],[src_pub_lag_months]],strlu_src_pub_lag_months,2,FALSE)</f>
        <v>0.1</v>
      </c>
      <c r="AP521" s="25">
        <f>VLOOKUP(tblMeasure[[#This Row],[src_statistic_class]],strlu_src_statistic_class,2,FALSE)</f>
        <v>0</v>
      </c>
      <c r="AQ521" s="25">
        <f>IF(tblMeasure[[#This Row],[src_methodology_url]]="TBD",0,1)</f>
        <v>1</v>
      </c>
      <c r="AR521" s="25">
        <f>IF(tblMeasure[[#This Row],[src_quality_url]]="TBD",0,1)</f>
        <v>0</v>
      </c>
      <c r="AS521" s="85" cm="1">
        <f t="array" ref="AS521">SUMPRODUCT(TRANSPOSE(tblMeasure[[#This Row],[str_msr_population_or_survey]:[str_src_quality_url]]),str_weights)/str_weights_total</f>
        <v>0.33846153846153848</v>
      </c>
    </row>
    <row r="522" spans="1:45" hidden="1" x14ac:dyDescent="0.15">
      <c r="A522" s="30">
        <v>520</v>
      </c>
      <c r="B522" s="32">
        <f>COUNTIF(requirement_measure_map!$D$3:$D$1514,measure!A522)</f>
        <v>3</v>
      </c>
      <c r="C522" s="30" t="s">
        <v>1395</v>
      </c>
      <c r="D522" s="15" t="s">
        <v>1551</v>
      </c>
      <c r="E522" s="15" t="s">
        <v>1617</v>
      </c>
      <c r="F522" s="15" t="s">
        <v>1618</v>
      </c>
      <c r="G522" s="13" t="s">
        <v>1359</v>
      </c>
      <c r="H522" s="15"/>
      <c r="I522" s="15" t="s">
        <v>429</v>
      </c>
      <c r="J522" s="15" t="s">
        <v>1360</v>
      </c>
      <c r="K522" s="15" t="s">
        <v>1573</v>
      </c>
      <c r="L522" s="15" t="s">
        <v>233</v>
      </c>
      <c r="M522" s="15" t="s">
        <v>1362</v>
      </c>
      <c r="N522" s="15" t="s">
        <v>218</v>
      </c>
      <c r="O522" s="15" t="s">
        <v>243</v>
      </c>
      <c r="P522" s="15" t="s">
        <v>219</v>
      </c>
      <c r="Q522" s="15" t="s">
        <v>219</v>
      </c>
      <c r="R522" s="15" t="s">
        <v>219</v>
      </c>
      <c r="S522" s="15" t="s">
        <v>219</v>
      </c>
      <c r="T522" s="15" t="s">
        <v>219</v>
      </c>
      <c r="U522" s="15" t="s">
        <v>219</v>
      </c>
      <c r="V522" s="15" t="s">
        <v>219</v>
      </c>
      <c r="W522" s="15">
        <v>32</v>
      </c>
      <c r="X522" s="15" t="str">
        <f>_xlfn.XLOOKUP(tblMeasure[[#This Row],[id_src]],tblSource[id_src],tblSource[org])</f>
        <v xml:space="preserve">NIH National Institute of Ageing </v>
      </c>
      <c r="Y522" s="25" t="str">
        <f>_xlfn.XLOOKUP(tblMeasure[[#This Row],[id_src]],tblSource[id_src],tblSource[source])</f>
        <v>English Longitudinal Study of Ageing</v>
      </c>
      <c r="Z522" s="25" t="str">
        <f>_xlfn.XLOOKUP(tblMeasure[[#This Row],[id_src]],tblSource[id_src],tblSource[url_source])</f>
        <v>https://www.ifs.org.uk/uploads/ELSA_Wave_8_report.pdf</v>
      </c>
      <c r="AA522" s="25">
        <f>_xlfn.XLOOKUP(tblMeasure[[#This Row],[id_src]],tblSource[id_src],tblSource[year_first_published])</f>
        <v>2002</v>
      </c>
      <c r="AB522" s="25">
        <f>_xlfn.XLOOKUP(tblMeasure[[#This Row],[id_src]],tblSource[id_src],tblSource[year_last_published])</f>
        <v>2018</v>
      </c>
      <c r="AC522" s="25">
        <f>_xlfn.XLOOKUP(tblMeasure[[#This Row],[id_src]],tblSource[id_src],tblSource[discontinuity])</f>
        <v>0</v>
      </c>
      <c r="AD522" s="25" t="str">
        <f>_xlfn.XLOOKUP(tblMeasure[[#This Row],[id_src]],tblSource[id_src],tblSource[publication_frequency])</f>
        <v>Biennial</v>
      </c>
      <c r="AE522" s="15">
        <f>_xlfn.XLOOKUP(tblMeasure[[#This Row],[id_src]],tblSource[id_src],tblSource[publication_lag_months])</f>
        <v>10</v>
      </c>
      <c r="AF522" s="25" t="str">
        <f>_xlfn.XLOOKUP(tblMeasure[[#This Row],[id_src]],tblSource[id_src],tblSource[data_providers])</f>
        <v>UCL, IFS, Manchester University, NatCen, UEA</v>
      </c>
      <c r="AG522" s="25" t="str">
        <f>_xlfn.XLOOKUP(tblMeasure[[#This Row],[id_src]],tblSource[id_src],tblSource[statistic_class])</f>
        <v>TBD</v>
      </c>
      <c r="AH522" s="25" t="str">
        <f>_xlfn.XLOOKUP(tblMeasure[[#This Row],[id_src]],tblSource[id_src],tblSource[methodology_link])</f>
        <v>https://www.ifs.org.uk/uploads/ELSA_Wave_8_report.pdf</v>
      </c>
      <c r="AI522" s="25" t="str">
        <f>_xlfn.XLOOKUP(tblMeasure[[#This Row],[id_src]],tblSource[id_src],tblSource[quality_issues])</f>
        <v>TBD</v>
      </c>
      <c r="AJ522" s="25">
        <f>VLOOKUP(tblMeasure[[#This Row],[msr_population_or_survey]],strlu_msr_population_or_survey,2,FALSE)</f>
        <v>0</v>
      </c>
      <c r="AK522" s="25">
        <f>VLOOKUP(tblMeasure[[#This Row],[msr_min_geo_resolution]],strlu_msr_min_geo_resolution,2,FALSE)</f>
        <v>0</v>
      </c>
      <c r="AL522" s="25">
        <f>(MAX(tblMeasure[[#This Row],[src_year_last_published]]-2010+1,0)+MIN(2010-tblMeasure[[#This Row],[src_year_first_published]],0)-MAX(tblMeasure[[#This Row],[src_year_last_published]]-2019,0))/10</f>
        <v>0.9</v>
      </c>
      <c r="AM522" s="25">
        <f>IF(OR(tblMeasure[[#This Row],[src_discontinuity]]="None",tblMeasure[[#This Row],[src_discontinuity]]=0),1,0)</f>
        <v>1</v>
      </c>
      <c r="AN522" s="25">
        <f>VLOOKUP(tblMeasure[[#This Row],[src_pub_frequency]],strlu_src_pub_frequency,2,FALSE)</f>
        <v>0.5</v>
      </c>
      <c r="AO522" s="25">
        <f>VLOOKUP(tblMeasure[[#This Row],[src_pub_lag_months]],strlu_src_pub_lag_months,2,FALSE)</f>
        <v>0.1</v>
      </c>
      <c r="AP522" s="25">
        <f>VLOOKUP(tblMeasure[[#This Row],[src_statistic_class]],strlu_src_statistic_class,2,FALSE)</f>
        <v>0</v>
      </c>
      <c r="AQ522" s="25">
        <f>IF(tblMeasure[[#This Row],[src_methodology_url]]="TBD",0,1)</f>
        <v>1</v>
      </c>
      <c r="AR522" s="25">
        <f>IF(tblMeasure[[#This Row],[src_quality_url]]="TBD",0,1)</f>
        <v>0</v>
      </c>
      <c r="AS522" s="85" cm="1">
        <f t="array" ref="AS522">SUMPRODUCT(TRANSPOSE(tblMeasure[[#This Row],[str_msr_population_or_survey]:[str_src_quality_url]]),str_weights)/str_weights_total</f>
        <v>0.33846153846153848</v>
      </c>
    </row>
    <row r="523" spans="1:45" hidden="1" x14ac:dyDescent="0.15">
      <c r="A523" s="30">
        <v>521</v>
      </c>
      <c r="B523" s="32">
        <f>COUNTIF(requirement_measure_map!$D$3:$D$1514,measure!A523)</f>
        <v>3</v>
      </c>
      <c r="C523" s="30" t="s">
        <v>1395</v>
      </c>
      <c r="D523" s="15" t="s">
        <v>1551</v>
      </c>
      <c r="E523" s="15" t="s">
        <v>1619</v>
      </c>
      <c r="F523" s="15" t="s">
        <v>1620</v>
      </c>
      <c r="G523" s="13" t="s">
        <v>1359</v>
      </c>
      <c r="H523" s="15"/>
      <c r="I523" s="15" t="s">
        <v>429</v>
      </c>
      <c r="J523" s="15" t="s">
        <v>1360</v>
      </c>
      <c r="K523" s="15" t="s">
        <v>1578</v>
      </c>
      <c r="L523" s="15" t="s">
        <v>233</v>
      </c>
      <c r="M523" s="15" t="s">
        <v>349</v>
      </c>
      <c r="N523" s="15" t="s">
        <v>218</v>
      </c>
      <c r="O523" s="15" t="s">
        <v>1362</v>
      </c>
      <c r="P523" s="15" t="s">
        <v>219</v>
      </c>
      <c r="Q523" s="15" t="s">
        <v>219</v>
      </c>
      <c r="R523" s="15" t="s">
        <v>219</v>
      </c>
      <c r="S523" s="15" t="s">
        <v>219</v>
      </c>
      <c r="T523" s="15" t="s">
        <v>219</v>
      </c>
      <c r="U523" s="15" t="s">
        <v>219</v>
      </c>
      <c r="V523" s="15" t="s">
        <v>219</v>
      </c>
      <c r="W523" s="15">
        <v>32</v>
      </c>
      <c r="X523" s="15" t="str">
        <f>_xlfn.XLOOKUP(tblMeasure[[#This Row],[id_src]],tblSource[id_src],tblSource[org])</f>
        <v xml:space="preserve">NIH National Institute of Ageing </v>
      </c>
      <c r="Y523" s="25" t="str">
        <f>_xlfn.XLOOKUP(tblMeasure[[#This Row],[id_src]],tblSource[id_src],tblSource[source])</f>
        <v>English Longitudinal Study of Ageing</v>
      </c>
      <c r="Z523" s="25" t="str">
        <f>_xlfn.XLOOKUP(tblMeasure[[#This Row],[id_src]],tblSource[id_src],tblSource[url_source])</f>
        <v>https://www.ifs.org.uk/uploads/ELSA_Wave_8_report.pdf</v>
      </c>
      <c r="AA523" s="25">
        <f>_xlfn.XLOOKUP(tblMeasure[[#This Row],[id_src]],tblSource[id_src],tblSource[year_first_published])</f>
        <v>2002</v>
      </c>
      <c r="AB523" s="25">
        <f>_xlfn.XLOOKUP(tblMeasure[[#This Row],[id_src]],tblSource[id_src],tblSource[year_last_published])</f>
        <v>2018</v>
      </c>
      <c r="AC523" s="25">
        <f>_xlfn.XLOOKUP(tblMeasure[[#This Row],[id_src]],tblSource[id_src],tblSource[discontinuity])</f>
        <v>0</v>
      </c>
      <c r="AD523" s="25" t="str">
        <f>_xlfn.XLOOKUP(tblMeasure[[#This Row],[id_src]],tblSource[id_src],tblSource[publication_frequency])</f>
        <v>Biennial</v>
      </c>
      <c r="AE523" s="15">
        <f>_xlfn.XLOOKUP(tblMeasure[[#This Row],[id_src]],tblSource[id_src],tblSource[publication_lag_months])</f>
        <v>10</v>
      </c>
      <c r="AF523" s="25" t="str">
        <f>_xlfn.XLOOKUP(tblMeasure[[#This Row],[id_src]],tblSource[id_src],tblSource[data_providers])</f>
        <v>UCL, IFS, Manchester University, NatCen, UEA</v>
      </c>
      <c r="AG523" s="25" t="str">
        <f>_xlfn.XLOOKUP(tblMeasure[[#This Row],[id_src]],tblSource[id_src],tblSource[statistic_class])</f>
        <v>TBD</v>
      </c>
      <c r="AH523" s="25" t="str">
        <f>_xlfn.XLOOKUP(tblMeasure[[#This Row],[id_src]],tblSource[id_src],tblSource[methodology_link])</f>
        <v>https://www.ifs.org.uk/uploads/ELSA_Wave_8_report.pdf</v>
      </c>
      <c r="AI523" s="25" t="str">
        <f>_xlfn.XLOOKUP(tblMeasure[[#This Row],[id_src]],tblSource[id_src],tblSource[quality_issues])</f>
        <v>TBD</v>
      </c>
      <c r="AJ523" s="25">
        <f>VLOOKUP(tblMeasure[[#This Row],[msr_population_or_survey]],strlu_msr_population_or_survey,2,FALSE)</f>
        <v>0</v>
      </c>
      <c r="AK523" s="25">
        <f>VLOOKUP(tblMeasure[[#This Row],[msr_min_geo_resolution]],strlu_msr_min_geo_resolution,2,FALSE)</f>
        <v>0</v>
      </c>
      <c r="AL523" s="25">
        <f>(MAX(tblMeasure[[#This Row],[src_year_last_published]]-2010+1,0)+MIN(2010-tblMeasure[[#This Row],[src_year_first_published]],0)-MAX(tblMeasure[[#This Row],[src_year_last_published]]-2019,0))/10</f>
        <v>0.9</v>
      </c>
      <c r="AM523" s="25">
        <f>IF(OR(tblMeasure[[#This Row],[src_discontinuity]]="None",tblMeasure[[#This Row],[src_discontinuity]]=0),1,0)</f>
        <v>1</v>
      </c>
      <c r="AN523" s="25">
        <f>VLOOKUP(tblMeasure[[#This Row],[src_pub_frequency]],strlu_src_pub_frequency,2,FALSE)</f>
        <v>0.5</v>
      </c>
      <c r="AO523" s="25">
        <f>VLOOKUP(tblMeasure[[#This Row],[src_pub_lag_months]],strlu_src_pub_lag_months,2,FALSE)</f>
        <v>0.1</v>
      </c>
      <c r="AP523" s="25">
        <f>VLOOKUP(tblMeasure[[#This Row],[src_statistic_class]],strlu_src_statistic_class,2,FALSE)</f>
        <v>0</v>
      </c>
      <c r="AQ523" s="25">
        <f>IF(tblMeasure[[#This Row],[src_methodology_url]]="TBD",0,1)</f>
        <v>1</v>
      </c>
      <c r="AR523" s="25">
        <f>IF(tblMeasure[[#This Row],[src_quality_url]]="TBD",0,1)</f>
        <v>0</v>
      </c>
      <c r="AS523" s="85" cm="1">
        <f t="array" ref="AS523">SUMPRODUCT(TRANSPOSE(tblMeasure[[#This Row],[str_msr_population_or_survey]:[str_src_quality_url]]),str_weights)/str_weights_total</f>
        <v>0.33846153846153848</v>
      </c>
    </row>
    <row r="524" spans="1:45" hidden="1" x14ac:dyDescent="0.15">
      <c r="A524" s="30">
        <v>522</v>
      </c>
      <c r="B524" s="32">
        <f>COUNTIF(requirement_measure_map!$D$3:$D$1514,measure!A524)</f>
        <v>3</v>
      </c>
      <c r="C524" s="30" t="s">
        <v>1395</v>
      </c>
      <c r="D524" s="15" t="s">
        <v>1551</v>
      </c>
      <c r="E524" s="15" t="s">
        <v>1621</v>
      </c>
      <c r="F524" s="15" t="s">
        <v>1622</v>
      </c>
      <c r="G524" s="13" t="s">
        <v>1359</v>
      </c>
      <c r="H524" s="15"/>
      <c r="I524" s="15" t="s">
        <v>429</v>
      </c>
      <c r="J524" s="15" t="s">
        <v>1360</v>
      </c>
      <c r="K524" s="15" t="s">
        <v>1578</v>
      </c>
      <c r="L524" s="15" t="s">
        <v>233</v>
      </c>
      <c r="M524" s="15" t="s">
        <v>1362</v>
      </c>
      <c r="N524" s="15" t="s">
        <v>218</v>
      </c>
      <c r="O524" s="15" t="s">
        <v>243</v>
      </c>
      <c r="P524" s="15" t="s">
        <v>219</v>
      </c>
      <c r="Q524" s="15" t="s">
        <v>219</v>
      </c>
      <c r="R524" s="15" t="s">
        <v>219</v>
      </c>
      <c r="S524" s="15" t="s">
        <v>219</v>
      </c>
      <c r="T524" s="15" t="s">
        <v>219</v>
      </c>
      <c r="U524" s="15" t="s">
        <v>219</v>
      </c>
      <c r="V524" s="15" t="s">
        <v>219</v>
      </c>
      <c r="W524" s="15">
        <v>32</v>
      </c>
      <c r="X524" s="15" t="str">
        <f>_xlfn.XLOOKUP(tblMeasure[[#This Row],[id_src]],tblSource[id_src],tblSource[org])</f>
        <v xml:space="preserve">NIH National Institute of Ageing </v>
      </c>
      <c r="Y524" s="25" t="str">
        <f>_xlfn.XLOOKUP(tblMeasure[[#This Row],[id_src]],tblSource[id_src],tblSource[source])</f>
        <v>English Longitudinal Study of Ageing</v>
      </c>
      <c r="Z524" s="25" t="str">
        <f>_xlfn.XLOOKUP(tblMeasure[[#This Row],[id_src]],tblSource[id_src],tblSource[url_source])</f>
        <v>https://www.ifs.org.uk/uploads/ELSA_Wave_8_report.pdf</v>
      </c>
      <c r="AA524" s="25">
        <f>_xlfn.XLOOKUP(tblMeasure[[#This Row],[id_src]],tblSource[id_src],tblSource[year_first_published])</f>
        <v>2002</v>
      </c>
      <c r="AB524" s="25">
        <f>_xlfn.XLOOKUP(tblMeasure[[#This Row],[id_src]],tblSource[id_src],tblSource[year_last_published])</f>
        <v>2018</v>
      </c>
      <c r="AC524" s="25">
        <f>_xlfn.XLOOKUP(tblMeasure[[#This Row],[id_src]],tblSource[id_src],tblSource[discontinuity])</f>
        <v>0</v>
      </c>
      <c r="AD524" s="25" t="str">
        <f>_xlfn.XLOOKUP(tblMeasure[[#This Row],[id_src]],tblSource[id_src],tblSource[publication_frequency])</f>
        <v>Biennial</v>
      </c>
      <c r="AE524" s="15">
        <f>_xlfn.XLOOKUP(tblMeasure[[#This Row],[id_src]],tblSource[id_src],tblSource[publication_lag_months])</f>
        <v>10</v>
      </c>
      <c r="AF524" s="25" t="str">
        <f>_xlfn.XLOOKUP(tblMeasure[[#This Row],[id_src]],tblSource[id_src],tblSource[data_providers])</f>
        <v>UCL, IFS, Manchester University, NatCen, UEA</v>
      </c>
      <c r="AG524" s="25" t="str">
        <f>_xlfn.XLOOKUP(tblMeasure[[#This Row],[id_src]],tblSource[id_src],tblSource[statistic_class])</f>
        <v>TBD</v>
      </c>
      <c r="AH524" s="25" t="str">
        <f>_xlfn.XLOOKUP(tblMeasure[[#This Row],[id_src]],tblSource[id_src],tblSource[methodology_link])</f>
        <v>https://www.ifs.org.uk/uploads/ELSA_Wave_8_report.pdf</v>
      </c>
      <c r="AI524" s="25" t="str">
        <f>_xlfn.XLOOKUP(tblMeasure[[#This Row],[id_src]],tblSource[id_src],tblSource[quality_issues])</f>
        <v>TBD</v>
      </c>
      <c r="AJ524" s="25">
        <f>VLOOKUP(tblMeasure[[#This Row],[msr_population_or_survey]],strlu_msr_population_or_survey,2,FALSE)</f>
        <v>0</v>
      </c>
      <c r="AK524" s="25">
        <f>VLOOKUP(tblMeasure[[#This Row],[msr_min_geo_resolution]],strlu_msr_min_geo_resolution,2,FALSE)</f>
        <v>0</v>
      </c>
      <c r="AL524" s="25">
        <f>(MAX(tblMeasure[[#This Row],[src_year_last_published]]-2010+1,0)+MIN(2010-tblMeasure[[#This Row],[src_year_first_published]],0)-MAX(tblMeasure[[#This Row],[src_year_last_published]]-2019,0))/10</f>
        <v>0.9</v>
      </c>
      <c r="AM524" s="25">
        <f>IF(OR(tblMeasure[[#This Row],[src_discontinuity]]="None",tblMeasure[[#This Row],[src_discontinuity]]=0),1,0)</f>
        <v>1</v>
      </c>
      <c r="AN524" s="25">
        <f>VLOOKUP(tblMeasure[[#This Row],[src_pub_frequency]],strlu_src_pub_frequency,2,FALSE)</f>
        <v>0.5</v>
      </c>
      <c r="AO524" s="25">
        <f>VLOOKUP(tblMeasure[[#This Row],[src_pub_lag_months]],strlu_src_pub_lag_months,2,FALSE)</f>
        <v>0.1</v>
      </c>
      <c r="AP524" s="25">
        <f>VLOOKUP(tblMeasure[[#This Row],[src_statistic_class]],strlu_src_statistic_class,2,FALSE)</f>
        <v>0</v>
      </c>
      <c r="AQ524" s="25">
        <f>IF(tblMeasure[[#This Row],[src_methodology_url]]="TBD",0,1)</f>
        <v>1</v>
      </c>
      <c r="AR524" s="25">
        <f>IF(tblMeasure[[#This Row],[src_quality_url]]="TBD",0,1)</f>
        <v>0</v>
      </c>
      <c r="AS524" s="85" cm="1">
        <f t="array" ref="AS524">SUMPRODUCT(TRANSPOSE(tblMeasure[[#This Row],[str_msr_population_or_survey]:[str_src_quality_url]]),str_weights)/str_weights_total</f>
        <v>0.33846153846153848</v>
      </c>
    </row>
    <row r="525" spans="1:45" hidden="1" x14ac:dyDescent="0.15">
      <c r="A525" s="30">
        <v>523</v>
      </c>
      <c r="B525" s="32">
        <f>COUNTIF(requirement_measure_map!$D$3:$D$1514,measure!A525)</f>
        <v>3</v>
      </c>
      <c r="C525" s="30" t="s">
        <v>1395</v>
      </c>
      <c r="D525" s="15" t="s">
        <v>1551</v>
      </c>
      <c r="E525" s="15" t="s">
        <v>1623</v>
      </c>
      <c r="F525" s="15" t="s">
        <v>1624</v>
      </c>
      <c r="G525" s="13" t="s">
        <v>1359</v>
      </c>
      <c r="H525" s="15"/>
      <c r="I525" s="15" t="s">
        <v>429</v>
      </c>
      <c r="J525" s="15" t="s">
        <v>1360</v>
      </c>
      <c r="K525" s="15" t="s">
        <v>1583</v>
      </c>
      <c r="L525" s="15" t="s">
        <v>233</v>
      </c>
      <c r="M525" s="15" t="s">
        <v>349</v>
      </c>
      <c r="N525" s="15" t="s">
        <v>218</v>
      </c>
      <c r="O525" s="15" t="s">
        <v>1362</v>
      </c>
      <c r="P525" s="15" t="s">
        <v>219</v>
      </c>
      <c r="Q525" s="15" t="s">
        <v>219</v>
      </c>
      <c r="R525" s="15" t="s">
        <v>219</v>
      </c>
      <c r="S525" s="15" t="s">
        <v>219</v>
      </c>
      <c r="T525" s="15" t="s">
        <v>219</v>
      </c>
      <c r="U525" s="15" t="s">
        <v>219</v>
      </c>
      <c r="V525" s="15" t="s">
        <v>219</v>
      </c>
      <c r="W525" s="15">
        <v>32</v>
      </c>
      <c r="X525" s="15" t="str">
        <f>_xlfn.XLOOKUP(tblMeasure[[#This Row],[id_src]],tblSource[id_src],tblSource[org])</f>
        <v xml:space="preserve">NIH National Institute of Ageing </v>
      </c>
      <c r="Y525" s="25" t="str">
        <f>_xlfn.XLOOKUP(tblMeasure[[#This Row],[id_src]],tblSource[id_src],tblSource[source])</f>
        <v>English Longitudinal Study of Ageing</v>
      </c>
      <c r="Z525" s="25" t="str">
        <f>_xlfn.XLOOKUP(tblMeasure[[#This Row],[id_src]],tblSource[id_src],tblSource[url_source])</f>
        <v>https://www.ifs.org.uk/uploads/ELSA_Wave_8_report.pdf</v>
      </c>
      <c r="AA525" s="25">
        <f>_xlfn.XLOOKUP(tblMeasure[[#This Row],[id_src]],tblSource[id_src],tblSource[year_first_published])</f>
        <v>2002</v>
      </c>
      <c r="AB525" s="25">
        <f>_xlfn.XLOOKUP(tblMeasure[[#This Row],[id_src]],tblSource[id_src],tblSource[year_last_published])</f>
        <v>2018</v>
      </c>
      <c r="AC525" s="25">
        <f>_xlfn.XLOOKUP(tblMeasure[[#This Row],[id_src]],tblSource[id_src],tblSource[discontinuity])</f>
        <v>0</v>
      </c>
      <c r="AD525" s="25" t="str">
        <f>_xlfn.XLOOKUP(tblMeasure[[#This Row],[id_src]],tblSource[id_src],tblSource[publication_frequency])</f>
        <v>Biennial</v>
      </c>
      <c r="AE525" s="15">
        <f>_xlfn.XLOOKUP(tblMeasure[[#This Row],[id_src]],tblSource[id_src],tblSource[publication_lag_months])</f>
        <v>10</v>
      </c>
      <c r="AF525" s="25" t="str">
        <f>_xlfn.XLOOKUP(tblMeasure[[#This Row],[id_src]],tblSource[id_src],tblSource[data_providers])</f>
        <v>UCL, IFS, Manchester University, NatCen, UEA</v>
      </c>
      <c r="AG525" s="25" t="str">
        <f>_xlfn.XLOOKUP(tblMeasure[[#This Row],[id_src]],tblSource[id_src],tblSource[statistic_class])</f>
        <v>TBD</v>
      </c>
      <c r="AH525" s="25" t="str">
        <f>_xlfn.XLOOKUP(tblMeasure[[#This Row],[id_src]],tblSource[id_src],tblSource[methodology_link])</f>
        <v>https://www.ifs.org.uk/uploads/ELSA_Wave_8_report.pdf</v>
      </c>
      <c r="AI525" s="25" t="str">
        <f>_xlfn.XLOOKUP(tblMeasure[[#This Row],[id_src]],tblSource[id_src],tblSource[quality_issues])</f>
        <v>TBD</v>
      </c>
      <c r="AJ525" s="25">
        <f>VLOOKUP(tblMeasure[[#This Row],[msr_population_or_survey]],strlu_msr_population_or_survey,2,FALSE)</f>
        <v>0</v>
      </c>
      <c r="AK525" s="25">
        <f>VLOOKUP(tblMeasure[[#This Row],[msr_min_geo_resolution]],strlu_msr_min_geo_resolution,2,FALSE)</f>
        <v>0</v>
      </c>
      <c r="AL525" s="25">
        <f>(MAX(tblMeasure[[#This Row],[src_year_last_published]]-2010+1,0)+MIN(2010-tblMeasure[[#This Row],[src_year_first_published]],0)-MAX(tblMeasure[[#This Row],[src_year_last_published]]-2019,0))/10</f>
        <v>0.9</v>
      </c>
      <c r="AM525" s="25">
        <f>IF(OR(tblMeasure[[#This Row],[src_discontinuity]]="None",tblMeasure[[#This Row],[src_discontinuity]]=0),1,0)</f>
        <v>1</v>
      </c>
      <c r="AN525" s="25">
        <f>VLOOKUP(tblMeasure[[#This Row],[src_pub_frequency]],strlu_src_pub_frequency,2,FALSE)</f>
        <v>0.5</v>
      </c>
      <c r="AO525" s="25">
        <f>VLOOKUP(tblMeasure[[#This Row],[src_pub_lag_months]],strlu_src_pub_lag_months,2,FALSE)</f>
        <v>0.1</v>
      </c>
      <c r="AP525" s="25">
        <f>VLOOKUP(tblMeasure[[#This Row],[src_statistic_class]],strlu_src_statistic_class,2,FALSE)</f>
        <v>0</v>
      </c>
      <c r="AQ525" s="25">
        <f>IF(tblMeasure[[#This Row],[src_methodology_url]]="TBD",0,1)</f>
        <v>1</v>
      </c>
      <c r="AR525" s="25">
        <f>IF(tblMeasure[[#This Row],[src_quality_url]]="TBD",0,1)</f>
        <v>0</v>
      </c>
      <c r="AS525" s="85" cm="1">
        <f t="array" ref="AS525">SUMPRODUCT(TRANSPOSE(tblMeasure[[#This Row],[str_msr_population_or_survey]:[str_src_quality_url]]),str_weights)/str_weights_total</f>
        <v>0.33846153846153848</v>
      </c>
    </row>
    <row r="526" spans="1:45" hidden="1" x14ac:dyDescent="0.15">
      <c r="A526" s="30">
        <v>524</v>
      </c>
      <c r="B526" s="32">
        <f>COUNTIF(requirement_measure_map!$D$3:$D$1514,measure!A526)</f>
        <v>3</v>
      </c>
      <c r="C526" s="30" t="s">
        <v>1395</v>
      </c>
      <c r="D526" s="15" t="s">
        <v>1551</v>
      </c>
      <c r="E526" s="15" t="s">
        <v>1625</v>
      </c>
      <c r="F526" s="15" t="s">
        <v>1626</v>
      </c>
      <c r="G526" s="13" t="s">
        <v>1359</v>
      </c>
      <c r="H526" s="15"/>
      <c r="I526" s="15" t="s">
        <v>429</v>
      </c>
      <c r="J526" s="15" t="s">
        <v>1360</v>
      </c>
      <c r="K526" s="15" t="s">
        <v>1583</v>
      </c>
      <c r="L526" s="15" t="s">
        <v>233</v>
      </c>
      <c r="M526" s="15" t="s">
        <v>1362</v>
      </c>
      <c r="N526" s="15" t="s">
        <v>218</v>
      </c>
      <c r="O526" s="15" t="s">
        <v>243</v>
      </c>
      <c r="P526" s="15" t="s">
        <v>219</v>
      </c>
      <c r="Q526" s="15" t="s">
        <v>219</v>
      </c>
      <c r="R526" s="15" t="s">
        <v>219</v>
      </c>
      <c r="S526" s="15" t="s">
        <v>219</v>
      </c>
      <c r="T526" s="15" t="s">
        <v>219</v>
      </c>
      <c r="U526" s="15" t="s">
        <v>219</v>
      </c>
      <c r="V526" s="15" t="s">
        <v>219</v>
      </c>
      <c r="W526" s="15">
        <v>32</v>
      </c>
      <c r="X526" s="15" t="str">
        <f>_xlfn.XLOOKUP(tblMeasure[[#This Row],[id_src]],tblSource[id_src],tblSource[org])</f>
        <v xml:space="preserve">NIH National Institute of Ageing </v>
      </c>
      <c r="Y526" s="25" t="str">
        <f>_xlfn.XLOOKUP(tblMeasure[[#This Row],[id_src]],tblSource[id_src],tblSource[source])</f>
        <v>English Longitudinal Study of Ageing</v>
      </c>
      <c r="Z526" s="25" t="str">
        <f>_xlfn.XLOOKUP(tblMeasure[[#This Row],[id_src]],tblSource[id_src],tblSource[url_source])</f>
        <v>https://www.ifs.org.uk/uploads/ELSA_Wave_8_report.pdf</v>
      </c>
      <c r="AA526" s="25">
        <f>_xlfn.XLOOKUP(tblMeasure[[#This Row],[id_src]],tblSource[id_src],tblSource[year_first_published])</f>
        <v>2002</v>
      </c>
      <c r="AB526" s="25">
        <f>_xlfn.XLOOKUP(tblMeasure[[#This Row],[id_src]],tblSource[id_src],tblSource[year_last_published])</f>
        <v>2018</v>
      </c>
      <c r="AC526" s="25">
        <f>_xlfn.XLOOKUP(tblMeasure[[#This Row],[id_src]],tblSource[id_src],tblSource[discontinuity])</f>
        <v>0</v>
      </c>
      <c r="AD526" s="25" t="str">
        <f>_xlfn.XLOOKUP(tblMeasure[[#This Row],[id_src]],tblSource[id_src],tblSource[publication_frequency])</f>
        <v>Biennial</v>
      </c>
      <c r="AE526" s="15">
        <f>_xlfn.XLOOKUP(tblMeasure[[#This Row],[id_src]],tblSource[id_src],tblSource[publication_lag_months])</f>
        <v>10</v>
      </c>
      <c r="AF526" s="25" t="str">
        <f>_xlfn.XLOOKUP(tblMeasure[[#This Row],[id_src]],tblSource[id_src],tblSource[data_providers])</f>
        <v>UCL, IFS, Manchester University, NatCen, UEA</v>
      </c>
      <c r="AG526" s="25" t="str">
        <f>_xlfn.XLOOKUP(tblMeasure[[#This Row],[id_src]],tblSource[id_src],tblSource[statistic_class])</f>
        <v>TBD</v>
      </c>
      <c r="AH526" s="25" t="str">
        <f>_xlfn.XLOOKUP(tblMeasure[[#This Row],[id_src]],tblSource[id_src],tblSource[methodology_link])</f>
        <v>https://www.ifs.org.uk/uploads/ELSA_Wave_8_report.pdf</v>
      </c>
      <c r="AI526" s="25" t="str">
        <f>_xlfn.XLOOKUP(tblMeasure[[#This Row],[id_src]],tblSource[id_src],tblSource[quality_issues])</f>
        <v>TBD</v>
      </c>
      <c r="AJ526" s="25">
        <f>VLOOKUP(tblMeasure[[#This Row],[msr_population_or_survey]],strlu_msr_population_or_survey,2,FALSE)</f>
        <v>0</v>
      </c>
      <c r="AK526" s="25">
        <f>VLOOKUP(tblMeasure[[#This Row],[msr_min_geo_resolution]],strlu_msr_min_geo_resolution,2,FALSE)</f>
        <v>0</v>
      </c>
      <c r="AL526" s="25">
        <f>(MAX(tblMeasure[[#This Row],[src_year_last_published]]-2010+1,0)+MIN(2010-tblMeasure[[#This Row],[src_year_first_published]],0)-MAX(tblMeasure[[#This Row],[src_year_last_published]]-2019,0))/10</f>
        <v>0.9</v>
      </c>
      <c r="AM526" s="25">
        <f>IF(OR(tblMeasure[[#This Row],[src_discontinuity]]="None",tblMeasure[[#This Row],[src_discontinuity]]=0),1,0)</f>
        <v>1</v>
      </c>
      <c r="AN526" s="25">
        <f>VLOOKUP(tblMeasure[[#This Row],[src_pub_frequency]],strlu_src_pub_frequency,2,FALSE)</f>
        <v>0.5</v>
      </c>
      <c r="AO526" s="25">
        <f>VLOOKUP(tblMeasure[[#This Row],[src_pub_lag_months]],strlu_src_pub_lag_months,2,FALSE)</f>
        <v>0.1</v>
      </c>
      <c r="AP526" s="25">
        <f>VLOOKUP(tblMeasure[[#This Row],[src_statistic_class]],strlu_src_statistic_class,2,FALSE)</f>
        <v>0</v>
      </c>
      <c r="AQ526" s="25">
        <f>IF(tblMeasure[[#This Row],[src_methodology_url]]="TBD",0,1)</f>
        <v>1</v>
      </c>
      <c r="AR526" s="25">
        <f>IF(tblMeasure[[#This Row],[src_quality_url]]="TBD",0,1)</f>
        <v>0</v>
      </c>
      <c r="AS526" s="85" cm="1">
        <f t="array" ref="AS526">SUMPRODUCT(TRANSPOSE(tblMeasure[[#This Row],[str_msr_population_or_survey]:[str_src_quality_url]]),str_weights)/str_weights_total</f>
        <v>0.33846153846153848</v>
      </c>
    </row>
    <row r="527" spans="1:45" hidden="1" x14ac:dyDescent="0.15">
      <c r="A527" s="30">
        <v>525</v>
      </c>
      <c r="B527" s="32">
        <f>COUNTIF(requirement_measure_map!$D$3:$D$1514,measure!A527)</f>
        <v>0</v>
      </c>
      <c r="C527" s="30" t="s">
        <v>800</v>
      </c>
      <c r="D527" s="15" t="s">
        <v>1551</v>
      </c>
      <c r="E527" s="15" t="s">
        <v>1627</v>
      </c>
      <c r="F527" s="15" t="s">
        <v>1628</v>
      </c>
      <c r="G527" s="13" t="s">
        <v>1359</v>
      </c>
      <c r="H527" s="15"/>
      <c r="I527" s="15" t="s">
        <v>429</v>
      </c>
      <c r="J527" s="15" t="s">
        <v>1360</v>
      </c>
      <c r="K527" s="15" t="s">
        <v>1629</v>
      </c>
      <c r="L527" s="15" t="s">
        <v>233</v>
      </c>
      <c r="M527" s="15" t="s">
        <v>349</v>
      </c>
      <c r="N527" s="15" t="s">
        <v>218</v>
      </c>
      <c r="O527" s="15" t="s">
        <v>1362</v>
      </c>
      <c r="P527" s="15" t="s">
        <v>219</v>
      </c>
      <c r="Q527" s="15" t="s">
        <v>219</v>
      </c>
      <c r="R527" s="15" t="s">
        <v>219</v>
      </c>
      <c r="S527" s="15" t="s">
        <v>219</v>
      </c>
      <c r="T527" s="15" t="s">
        <v>219</v>
      </c>
      <c r="U527" s="15" t="s">
        <v>219</v>
      </c>
      <c r="V527" s="15" t="s">
        <v>219</v>
      </c>
      <c r="W527" s="15">
        <v>32</v>
      </c>
      <c r="X527" s="15" t="str">
        <f>_xlfn.XLOOKUP(tblMeasure[[#This Row],[id_src]],tblSource[id_src],tblSource[org])</f>
        <v xml:space="preserve">NIH National Institute of Ageing </v>
      </c>
      <c r="Y527" s="25" t="str">
        <f>_xlfn.XLOOKUP(tblMeasure[[#This Row],[id_src]],tblSource[id_src],tblSource[source])</f>
        <v>English Longitudinal Study of Ageing</v>
      </c>
      <c r="Z527" s="25" t="str">
        <f>_xlfn.XLOOKUP(tblMeasure[[#This Row],[id_src]],tblSource[id_src],tblSource[url_source])</f>
        <v>https://www.ifs.org.uk/uploads/ELSA_Wave_8_report.pdf</v>
      </c>
      <c r="AA527" s="25">
        <f>_xlfn.XLOOKUP(tblMeasure[[#This Row],[id_src]],tblSource[id_src],tblSource[year_first_published])</f>
        <v>2002</v>
      </c>
      <c r="AB527" s="25">
        <f>_xlfn.XLOOKUP(tblMeasure[[#This Row],[id_src]],tblSource[id_src],tblSource[year_last_published])</f>
        <v>2018</v>
      </c>
      <c r="AC527" s="25">
        <f>_xlfn.XLOOKUP(tblMeasure[[#This Row],[id_src]],tblSource[id_src],tblSource[discontinuity])</f>
        <v>0</v>
      </c>
      <c r="AD527" s="25" t="str">
        <f>_xlfn.XLOOKUP(tblMeasure[[#This Row],[id_src]],tblSource[id_src],tblSource[publication_frequency])</f>
        <v>Biennial</v>
      </c>
      <c r="AE527" s="15">
        <f>_xlfn.XLOOKUP(tblMeasure[[#This Row],[id_src]],tblSource[id_src],tblSource[publication_lag_months])</f>
        <v>10</v>
      </c>
      <c r="AF527" s="25" t="str">
        <f>_xlfn.XLOOKUP(tblMeasure[[#This Row],[id_src]],tblSource[id_src],tblSource[data_providers])</f>
        <v>UCL, IFS, Manchester University, NatCen, UEA</v>
      </c>
      <c r="AG527" s="25" t="str">
        <f>_xlfn.XLOOKUP(tblMeasure[[#This Row],[id_src]],tblSource[id_src],tblSource[statistic_class])</f>
        <v>TBD</v>
      </c>
      <c r="AH527" s="25" t="str">
        <f>_xlfn.XLOOKUP(tblMeasure[[#This Row],[id_src]],tblSource[id_src],tblSource[methodology_link])</f>
        <v>https://www.ifs.org.uk/uploads/ELSA_Wave_8_report.pdf</v>
      </c>
      <c r="AI527" s="25" t="str">
        <f>_xlfn.XLOOKUP(tblMeasure[[#This Row],[id_src]],tblSource[id_src],tblSource[quality_issues])</f>
        <v>TBD</v>
      </c>
      <c r="AJ527" s="25">
        <f>VLOOKUP(tblMeasure[[#This Row],[msr_population_or_survey]],strlu_msr_population_or_survey,2,FALSE)</f>
        <v>0</v>
      </c>
      <c r="AK527" s="25">
        <f>VLOOKUP(tblMeasure[[#This Row],[msr_min_geo_resolution]],strlu_msr_min_geo_resolution,2,FALSE)</f>
        <v>0</v>
      </c>
      <c r="AL527" s="25">
        <f>(MAX(tblMeasure[[#This Row],[src_year_last_published]]-2010+1,0)+MIN(2010-tblMeasure[[#This Row],[src_year_first_published]],0)-MAX(tblMeasure[[#This Row],[src_year_last_published]]-2019,0))/10</f>
        <v>0.9</v>
      </c>
      <c r="AM527" s="25">
        <f>IF(OR(tblMeasure[[#This Row],[src_discontinuity]]="None",tblMeasure[[#This Row],[src_discontinuity]]=0),1,0)</f>
        <v>1</v>
      </c>
      <c r="AN527" s="25">
        <f>VLOOKUP(tblMeasure[[#This Row],[src_pub_frequency]],strlu_src_pub_frequency,2,FALSE)</f>
        <v>0.5</v>
      </c>
      <c r="AO527" s="25">
        <f>VLOOKUP(tblMeasure[[#This Row],[src_pub_lag_months]],strlu_src_pub_lag_months,2,FALSE)</f>
        <v>0.1</v>
      </c>
      <c r="AP527" s="25">
        <f>VLOOKUP(tblMeasure[[#This Row],[src_statistic_class]],strlu_src_statistic_class,2,FALSE)</f>
        <v>0</v>
      </c>
      <c r="AQ527" s="25">
        <f>IF(tblMeasure[[#This Row],[src_methodology_url]]="TBD",0,1)</f>
        <v>1</v>
      </c>
      <c r="AR527" s="25">
        <f>IF(tblMeasure[[#This Row],[src_quality_url]]="TBD",0,1)</f>
        <v>0</v>
      </c>
      <c r="AS527" s="85" cm="1">
        <f t="array" ref="AS527">SUMPRODUCT(TRANSPOSE(tblMeasure[[#This Row],[str_msr_population_or_survey]:[str_src_quality_url]]),str_weights)/str_weights_total</f>
        <v>0.33846153846153848</v>
      </c>
    </row>
    <row r="528" spans="1:45" hidden="1" x14ac:dyDescent="0.15">
      <c r="A528" s="30">
        <v>526</v>
      </c>
      <c r="B528" s="32">
        <f>COUNTIF(requirement_measure_map!$D$3:$D$1514,measure!A528)</f>
        <v>0</v>
      </c>
      <c r="C528" s="30" t="s">
        <v>800</v>
      </c>
      <c r="D528" s="15" t="s">
        <v>1551</v>
      </c>
      <c r="E528" s="15" t="s">
        <v>1630</v>
      </c>
      <c r="F528" s="15" t="s">
        <v>1631</v>
      </c>
      <c r="G528" s="13" t="s">
        <v>1359</v>
      </c>
      <c r="H528" s="15"/>
      <c r="I528" s="15" t="s">
        <v>429</v>
      </c>
      <c r="J528" s="15" t="s">
        <v>1360</v>
      </c>
      <c r="K528" s="15" t="s">
        <v>1629</v>
      </c>
      <c r="L528" s="15" t="s">
        <v>233</v>
      </c>
      <c r="M528" s="15" t="s">
        <v>1362</v>
      </c>
      <c r="N528" s="15" t="s">
        <v>218</v>
      </c>
      <c r="O528" s="15" t="s">
        <v>243</v>
      </c>
      <c r="P528" s="15" t="s">
        <v>219</v>
      </c>
      <c r="Q528" s="15" t="s">
        <v>219</v>
      </c>
      <c r="R528" s="15" t="s">
        <v>219</v>
      </c>
      <c r="S528" s="15" t="s">
        <v>219</v>
      </c>
      <c r="T528" s="15" t="s">
        <v>219</v>
      </c>
      <c r="U528" s="15" t="s">
        <v>219</v>
      </c>
      <c r="V528" s="15" t="s">
        <v>219</v>
      </c>
      <c r="W528" s="15">
        <v>32</v>
      </c>
      <c r="X528" s="15" t="str">
        <f>_xlfn.XLOOKUP(tblMeasure[[#This Row],[id_src]],tblSource[id_src],tblSource[org])</f>
        <v xml:space="preserve">NIH National Institute of Ageing </v>
      </c>
      <c r="Y528" s="25" t="str">
        <f>_xlfn.XLOOKUP(tblMeasure[[#This Row],[id_src]],tblSource[id_src],tblSource[source])</f>
        <v>English Longitudinal Study of Ageing</v>
      </c>
      <c r="Z528" s="25" t="str">
        <f>_xlfn.XLOOKUP(tblMeasure[[#This Row],[id_src]],tblSource[id_src],tblSource[url_source])</f>
        <v>https://www.ifs.org.uk/uploads/ELSA_Wave_8_report.pdf</v>
      </c>
      <c r="AA528" s="25">
        <f>_xlfn.XLOOKUP(tblMeasure[[#This Row],[id_src]],tblSource[id_src],tblSource[year_first_published])</f>
        <v>2002</v>
      </c>
      <c r="AB528" s="25">
        <f>_xlfn.XLOOKUP(tblMeasure[[#This Row],[id_src]],tblSource[id_src],tblSource[year_last_published])</f>
        <v>2018</v>
      </c>
      <c r="AC528" s="25">
        <f>_xlfn.XLOOKUP(tblMeasure[[#This Row],[id_src]],tblSource[id_src],tblSource[discontinuity])</f>
        <v>0</v>
      </c>
      <c r="AD528" s="25" t="str">
        <f>_xlfn.XLOOKUP(tblMeasure[[#This Row],[id_src]],tblSource[id_src],tblSource[publication_frequency])</f>
        <v>Biennial</v>
      </c>
      <c r="AE528" s="15">
        <f>_xlfn.XLOOKUP(tblMeasure[[#This Row],[id_src]],tblSource[id_src],tblSource[publication_lag_months])</f>
        <v>10</v>
      </c>
      <c r="AF528" s="25" t="str">
        <f>_xlfn.XLOOKUP(tblMeasure[[#This Row],[id_src]],tblSource[id_src],tblSource[data_providers])</f>
        <v>UCL, IFS, Manchester University, NatCen, UEA</v>
      </c>
      <c r="AG528" s="25" t="str">
        <f>_xlfn.XLOOKUP(tblMeasure[[#This Row],[id_src]],tblSource[id_src],tblSource[statistic_class])</f>
        <v>TBD</v>
      </c>
      <c r="AH528" s="25" t="str">
        <f>_xlfn.XLOOKUP(tblMeasure[[#This Row],[id_src]],tblSource[id_src],tblSource[methodology_link])</f>
        <v>https://www.ifs.org.uk/uploads/ELSA_Wave_8_report.pdf</v>
      </c>
      <c r="AI528" s="25" t="str">
        <f>_xlfn.XLOOKUP(tblMeasure[[#This Row],[id_src]],tblSource[id_src],tblSource[quality_issues])</f>
        <v>TBD</v>
      </c>
      <c r="AJ528" s="25">
        <f>VLOOKUP(tblMeasure[[#This Row],[msr_population_or_survey]],strlu_msr_population_or_survey,2,FALSE)</f>
        <v>0</v>
      </c>
      <c r="AK528" s="25">
        <f>VLOOKUP(tblMeasure[[#This Row],[msr_min_geo_resolution]],strlu_msr_min_geo_resolution,2,FALSE)</f>
        <v>0</v>
      </c>
      <c r="AL528" s="25">
        <f>(MAX(tblMeasure[[#This Row],[src_year_last_published]]-2010+1,0)+MIN(2010-tblMeasure[[#This Row],[src_year_first_published]],0)-MAX(tblMeasure[[#This Row],[src_year_last_published]]-2019,0))/10</f>
        <v>0.9</v>
      </c>
      <c r="AM528" s="25">
        <f>IF(OR(tblMeasure[[#This Row],[src_discontinuity]]="None",tblMeasure[[#This Row],[src_discontinuity]]=0),1,0)</f>
        <v>1</v>
      </c>
      <c r="AN528" s="25">
        <f>VLOOKUP(tblMeasure[[#This Row],[src_pub_frequency]],strlu_src_pub_frequency,2,FALSE)</f>
        <v>0.5</v>
      </c>
      <c r="AO528" s="25">
        <f>VLOOKUP(tblMeasure[[#This Row],[src_pub_lag_months]],strlu_src_pub_lag_months,2,FALSE)</f>
        <v>0.1</v>
      </c>
      <c r="AP528" s="25">
        <f>VLOOKUP(tblMeasure[[#This Row],[src_statistic_class]],strlu_src_statistic_class,2,FALSE)</f>
        <v>0</v>
      </c>
      <c r="AQ528" s="25">
        <f>IF(tblMeasure[[#This Row],[src_methodology_url]]="TBD",0,1)</f>
        <v>1</v>
      </c>
      <c r="AR528" s="25">
        <f>IF(tblMeasure[[#This Row],[src_quality_url]]="TBD",0,1)</f>
        <v>0</v>
      </c>
      <c r="AS528" s="85" cm="1">
        <f t="array" ref="AS528">SUMPRODUCT(TRANSPOSE(tblMeasure[[#This Row],[str_msr_population_or_survey]:[str_src_quality_url]]),str_weights)/str_weights_total</f>
        <v>0.33846153846153848</v>
      </c>
    </row>
    <row r="529" spans="1:45" hidden="1" x14ac:dyDescent="0.15">
      <c r="A529" s="30">
        <v>527</v>
      </c>
      <c r="B529" s="32">
        <f>COUNTIF(requirement_measure_map!$D$3:$D$1514,measure!A529)</f>
        <v>0</v>
      </c>
      <c r="C529" s="30" t="s">
        <v>800</v>
      </c>
      <c r="D529" s="15" t="s">
        <v>1551</v>
      </c>
      <c r="E529" s="15" t="s">
        <v>1632</v>
      </c>
      <c r="F529" s="15" t="s">
        <v>1633</v>
      </c>
      <c r="G529" s="13" t="s">
        <v>1359</v>
      </c>
      <c r="H529" s="15"/>
      <c r="I529" s="15" t="s">
        <v>429</v>
      </c>
      <c r="J529" s="15" t="s">
        <v>1360</v>
      </c>
      <c r="K529" s="15" t="s">
        <v>1634</v>
      </c>
      <c r="L529" s="15" t="s">
        <v>233</v>
      </c>
      <c r="M529" s="15" t="s">
        <v>349</v>
      </c>
      <c r="N529" s="15" t="s">
        <v>218</v>
      </c>
      <c r="O529" s="15" t="s">
        <v>1362</v>
      </c>
      <c r="P529" s="15" t="s">
        <v>219</v>
      </c>
      <c r="Q529" s="15" t="s">
        <v>219</v>
      </c>
      <c r="R529" s="15" t="s">
        <v>219</v>
      </c>
      <c r="S529" s="15" t="s">
        <v>219</v>
      </c>
      <c r="T529" s="15" t="s">
        <v>219</v>
      </c>
      <c r="U529" s="15" t="s">
        <v>219</v>
      </c>
      <c r="V529" s="15" t="s">
        <v>219</v>
      </c>
      <c r="W529" s="15">
        <v>32</v>
      </c>
      <c r="X529" s="15" t="str">
        <f>_xlfn.XLOOKUP(tblMeasure[[#This Row],[id_src]],tblSource[id_src],tblSource[org])</f>
        <v xml:space="preserve">NIH National Institute of Ageing </v>
      </c>
      <c r="Y529" s="25" t="str">
        <f>_xlfn.XLOOKUP(tblMeasure[[#This Row],[id_src]],tblSource[id_src],tblSource[source])</f>
        <v>English Longitudinal Study of Ageing</v>
      </c>
      <c r="Z529" s="25" t="str">
        <f>_xlfn.XLOOKUP(tblMeasure[[#This Row],[id_src]],tblSource[id_src],tblSource[url_source])</f>
        <v>https://www.ifs.org.uk/uploads/ELSA_Wave_8_report.pdf</v>
      </c>
      <c r="AA529" s="25">
        <f>_xlfn.XLOOKUP(tblMeasure[[#This Row],[id_src]],tblSource[id_src],tblSource[year_first_published])</f>
        <v>2002</v>
      </c>
      <c r="AB529" s="25">
        <f>_xlfn.XLOOKUP(tblMeasure[[#This Row],[id_src]],tblSource[id_src],tblSource[year_last_published])</f>
        <v>2018</v>
      </c>
      <c r="AC529" s="25">
        <f>_xlfn.XLOOKUP(tblMeasure[[#This Row],[id_src]],tblSource[id_src],tblSource[discontinuity])</f>
        <v>0</v>
      </c>
      <c r="AD529" s="25" t="str">
        <f>_xlfn.XLOOKUP(tblMeasure[[#This Row],[id_src]],tblSource[id_src],tblSource[publication_frequency])</f>
        <v>Biennial</v>
      </c>
      <c r="AE529" s="15">
        <f>_xlfn.XLOOKUP(tblMeasure[[#This Row],[id_src]],tblSource[id_src],tblSource[publication_lag_months])</f>
        <v>10</v>
      </c>
      <c r="AF529" s="25" t="str">
        <f>_xlfn.XLOOKUP(tblMeasure[[#This Row],[id_src]],tblSource[id_src],tblSource[data_providers])</f>
        <v>UCL, IFS, Manchester University, NatCen, UEA</v>
      </c>
      <c r="AG529" s="25" t="str">
        <f>_xlfn.XLOOKUP(tblMeasure[[#This Row],[id_src]],tblSource[id_src],tblSource[statistic_class])</f>
        <v>TBD</v>
      </c>
      <c r="AH529" s="25" t="str">
        <f>_xlfn.XLOOKUP(tblMeasure[[#This Row],[id_src]],tblSource[id_src],tblSource[methodology_link])</f>
        <v>https://www.ifs.org.uk/uploads/ELSA_Wave_8_report.pdf</v>
      </c>
      <c r="AI529" s="25" t="str">
        <f>_xlfn.XLOOKUP(tblMeasure[[#This Row],[id_src]],tblSource[id_src],tblSource[quality_issues])</f>
        <v>TBD</v>
      </c>
      <c r="AJ529" s="25">
        <f>VLOOKUP(tblMeasure[[#This Row],[msr_population_or_survey]],strlu_msr_population_or_survey,2,FALSE)</f>
        <v>0</v>
      </c>
      <c r="AK529" s="25">
        <f>VLOOKUP(tblMeasure[[#This Row],[msr_min_geo_resolution]],strlu_msr_min_geo_resolution,2,FALSE)</f>
        <v>0</v>
      </c>
      <c r="AL529" s="25">
        <f>(MAX(tblMeasure[[#This Row],[src_year_last_published]]-2010+1,0)+MIN(2010-tblMeasure[[#This Row],[src_year_first_published]],0)-MAX(tblMeasure[[#This Row],[src_year_last_published]]-2019,0))/10</f>
        <v>0.9</v>
      </c>
      <c r="AM529" s="25">
        <f>IF(OR(tblMeasure[[#This Row],[src_discontinuity]]="None",tblMeasure[[#This Row],[src_discontinuity]]=0),1,0)</f>
        <v>1</v>
      </c>
      <c r="AN529" s="25">
        <f>VLOOKUP(tblMeasure[[#This Row],[src_pub_frequency]],strlu_src_pub_frequency,2,FALSE)</f>
        <v>0.5</v>
      </c>
      <c r="AO529" s="25">
        <f>VLOOKUP(tblMeasure[[#This Row],[src_pub_lag_months]],strlu_src_pub_lag_months,2,FALSE)</f>
        <v>0.1</v>
      </c>
      <c r="AP529" s="25">
        <f>VLOOKUP(tblMeasure[[#This Row],[src_statistic_class]],strlu_src_statistic_class,2,FALSE)</f>
        <v>0</v>
      </c>
      <c r="AQ529" s="25">
        <f>IF(tblMeasure[[#This Row],[src_methodology_url]]="TBD",0,1)</f>
        <v>1</v>
      </c>
      <c r="AR529" s="25">
        <f>IF(tblMeasure[[#This Row],[src_quality_url]]="TBD",0,1)</f>
        <v>0</v>
      </c>
      <c r="AS529" s="85" cm="1">
        <f t="array" ref="AS529">SUMPRODUCT(TRANSPOSE(tblMeasure[[#This Row],[str_msr_population_or_survey]:[str_src_quality_url]]),str_weights)/str_weights_total</f>
        <v>0.33846153846153848</v>
      </c>
    </row>
    <row r="530" spans="1:45" hidden="1" x14ac:dyDescent="0.15">
      <c r="A530" s="30">
        <v>528</v>
      </c>
      <c r="B530" s="32">
        <f>COUNTIF(requirement_measure_map!$D$3:$D$1514,measure!A530)</f>
        <v>0</v>
      </c>
      <c r="C530" s="30" t="s">
        <v>800</v>
      </c>
      <c r="D530" s="15" t="s">
        <v>1551</v>
      </c>
      <c r="E530" s="15" t="s">
        <v>1635</v>
      </c>
      <c r="F530" s="15" t="s">
        <v>1636</v>
      </c>
      <c r="G530" s="13" t="s">
        <v>1359</v>
      </c>
      <c r="H530" s="15"/>
      <c r="I530" s="15" t="s">
        <v>429</v>
      </c>
      <c r="J530" s="15" t="s">
        <v>1360</v>
      </c>
      <c r="K530" s="15" t="s">
        <v>1634</v>
      </c>
      <c r="L530" s="15" t="s">
        <v>233</v>
      </c>
      <c r="M530" s="15" t="s">
        <v>1362</v>
      </c>
      <c r="N530" s="15" t="s">
        <v>218</v>
      </c>
      <c r="O530" s="15" t="s">
        <v>243</v>
      </c>
      <c r="P530" s="15" t="s">
        <v>219</v>
      </c>
      <c r="Q530" s="15" t="s">
        <v>219</v>
      </c>
      <c r="R530" s="15" t="s">
        <v>219</v>
      </c>
      <c r="S530" s="15" t="s">
        <v>219</v>
      </c>
      <c r="T530" s="15" t="s">
        <v>219</v>
      </c>
      <c r="U530" s="15" t="s">
        <v>219</v>
      </c>
      <c r="V530" s="15" t="s">
        <v>219</v>
      </c>
      <c r="W530" s="15">
        <v>32</v>
      </c>
      <c r="X530" s="15" t="str">
        <f>_xlfn.XLOOKUP(tblMeasure[[#This Row],[id_src]],tblSource[id_src],tblSource[org])</f>
        <v xml:space="preserve">NIH National Institute of Ageing </v>
      </c>
      <c r="Y530" s="25" t="str">
        <f>_xlfn.XLOOKUP(tblMeasure[[#This Row],[id_src]],tblSource[id_src],tblSource[source])</f>
        <v>English Longitudinal Study of Ageing</v>
      </c>
      <c r="Z530" s="25" t="str">
        <f>_xlfn.XLOOKUP(tblMeasure[[#This Row],[id_src]],tblSource[id_src],tblSource[url_source])</f>
        <v>https://www.ifs.org.uk/uploads/ELSA_Wave_8_report.pdf</v>
      </c>
      <c r="AA530" s="25">
        <f>_xlfn.XLOOKUP(tblMeasure[[#This Row],[id_src]],tblSource[id_src],tblSource[year_first_published])</f>
        <v>2002</v>
      </c>
      <c r="AB530" s="25">
        <f>_xlfn.XLOOKUP(tblMeasure[[#This Row],[id_src]],tblSource[id_src],tblSource[year_last_published])</f>
        <v>2018</v>
      </c>
      <c r="AC530" s="25">
        <f>_xlfn.XLOOKUP(tblMeasure[[#This Row],[id_src]],tblSource[id_src],tblSource[discontinuity])</f>
        <v>0</v>
      </c>
      <c r="AD530" s="25" t="str">
        <f>_xlfn.XLOOKUP(tblMeasure[[#This Row],[id_src]],tblSource[id_src],tblSource[publication_frequency])</f>
        <v>Biennial</v>
      </c>
      <c r="AE530" s="15">
        <f>_xlfn.XLOOKUP(tblMeasure[[#This Row],[id_src]],tblSource[id_src],tblSource[publication_lag_months])</f>
        <v>10</v>
      </c>
      <c r="AF530" s="25" t="str">
        <f>_xlfn.XLOOKUP(tblMeasure[[#This Row],[id_src]],tblSource[id_src],tblSource[data_providers])</f>
        <v>UCL, IFS, Manchester University, NatCen, UEA</v>
      </c>
      <c r="AG530" s="25" t="str">
        <f>_xlfn.XLOOKUP(tblMeasure[[#This Row],[id_src]],tblSource[id_src],tblSource[statistic_class])</f>
        <v>TBD</v>
      </c>
      <c r="AH530" s="25" t="str">
        <f>_xlfn.XLOOKUP(tblMeasure[[#This Row],[id_src]],tblSource[id_src],tblSource[methodology_link])</f>
        <v>https://www.ifs.org.uk/uploads/ELSA_Wave_8_report.pdf</v>
      </c>
      <c r="AI530" s="25" t="str">
        <f>_xlfn.XLOOKUP(tblMeasure[[#This Row],[id_src]],tblSource[id_src],tblSource[quality_issues])</f>
        <v>TBD</v>
      </c>
      <c r="AJ530" s="25">
        <f>VLOOKUP(tblMeasure[[#This Row],[msr_population_or_survey]],strlu_msr_population_or_survey,2,FALSE)</f>
        <v>0</v>
      </c>
      <c r="AK530" s="25">
        <f>VLOOKUP(tblMeasure[[#This Row],[msr_min_geo_resolution]],strlu_msr_min_geo_resolution,2,FALSE)</f>
        <v>0</v>
      </c>
      <c r="AL530" s="25">
        <f>(MAX(tblMeasure[[#This Row],[src_year_last_published]]-2010+1,0)+MIN(2010-tblMeasure[[#This Row],[src_year_first_published]],0)-MAX(tblMeasure[[#This Row],[src_year_last_published]]-2019,0))/10</f>
        <v>0.9</v>
      </c>
      <c r="AM530" s="25">
        <f>IF(OR(tblMeasure[[#This Row],[src_discontinuity]]="None",tblMeasure[[#This Row],[src_discontinuity]]=0),1,0)</f>
        <v>1</v>
      </c>
      <c r="AN530" s="25">
        <f>VLOOKUP(tblMeasure[[#This Row],[src_pub_frequency]],strlu_src_pub_frequency,2,FALSE)</f>
        <v>0.5</v>
      </c>
      <c r="AO530" s="25">
        <f>VLOOKUP(tblMeasure[[#This Row],[src_pub_lag_months]],strlu_src_pub_lag_months,2,FALSE)</f>
        <v>0.1</v>
      </c>
      <c r="AP530" s="25">
        <f>VLOOKUP(tblMeasure[[#This Row],[src_statistic_class]],strlu_src_statistic_class,2,FALSE)</f>
        <v>0</v>
      </c>
      <c r="AQ530" s="25">
        <f>IF(tblMeasure[[#This Row],[src_methodology_url]]="TBD",0,1)</f>
        <v>1</v>
      </c>
      <c r="AR530" s="25">
        <f>IF(tblMeasure[[#This Row],[src_quality_url]]="TBD",0,1)</f>
        <v>0</v>
      </c>
      <c r="AS530" s="85" cm="1">
        <f t="array" ref="AS530">SUMPRODUCT(TRANSPOSE(tblMeasure[[#This Row],[str_msr_population_or_survey]:[str_src_quality_url]]),str_weights)/str_weights_total</f>
        <v>0.33846153846153848</v>
      </c>
    </row>
    <row r="531" spans="1:45" hidden="1" x14ac:dyDescent="0.15">
      <c r="A531" s="30">
        <v>529</v>
      </c>
      <c r="B531" s="32">
        <f>COUNTIF(requirement_measure_map!$D$3:$D$1514,measure!A531)</f>
        <v>0</v>
      </c>
      <c r="C531" s="30" t="s">
        <v>800</v>
      </c>
      <c r="D531" s="15" t="s">
        <v>1551</v>
      </c>
      <c r="E531" s="15" t="s">
        <v>1637</v>
      </c>
      <c r="F531" s="15" t="s">
        <v>1638</v>
      </c>
      <c r="G531" s="13" t="s">
        <v>1359</v>
      </c>
      <c r="H531" s="15"/>
      <c r="I531" s="15" t="s">
        <v>429</v>
      </c>
      <c r="J531" s="15" t="s">
        <v>1360</v>
      </c>
      <c r="K531" s="15" t="s">
        <v>1639</v>
      </c>
      <c r="L531" s="15" t="s">
        <v>233</v>
      </c>
      <c r="M531" s="15" t="s">
        <v>349</v>
      </c>
      <c r="N531" s="15" t="s">
        <v>218</v>
      </c>
      <c r="O531" s="15" t="s">
        <v>1362</v>
      </c>
      <c r="P531" s="15" t="s">
        <v>219</v>
      </c>
      <c r="Q531" s="15" t="s">
        <v>219</v>
      </c>
      <c r="R531" s="15" t="s">
        <v>219</v>
      </c>
      <c r="S531" s="15" t="s">
        <v>219</v>
      </c>
      <c r="T531" s="15" t="s">
        <v>219</v>
      </c>
      <c r="U531" s="15" t="s">
        <v>219</v>
      </c>
      <c r="V531" s="15" t="s">
        <v>219</v>
      </c>
      <c r="W531" s="15">
        <v>32</v>
      </c>
      <c r="X531" s="15" t="str">
        <f>_xlfn.XLOOKUP(tblMeasure[[#This Row],[id_src]],tblSource[id_src],tblSource[org])</f>
        <v xml:space="preserve">NIH National Institute of Ageing </v>
      </c>
      <c r="Y531" s="25" t="str">
        <f>_xlfn.XLOOKUP(tblMeasure[[#This Row],[id_src]],tblSource[id_src],tblSource[source])</f>
        <v>English Longitudinal Study of Ageing</v>
      </c>
      <c r="Z531" s="25" t="str">
        <f>_xlfn.XLOOKUP(tblMeasure[[#This Row],[id_src]],tblSource[id_src],tblSource[url_source])</f>
        <v>https://www.ifs.org.uk/uploads/ELSA_Wave_8_report.pdf</v>
      </c>
      <c r="AA531" s="25">
        <f>_xlfn.XLOOKUP(tblMeasure[[#This Row],[id_src]],tblSource[id_src],tblSource[year_first_published])</f>
        <v>2002</v>
      </c>
      <c r="AB531" s="25">
        <f>_xlfn.XLOOKUP(tblMeasure[[#This Row],[id_src]],tblSource[id_src],tblSource[year_last_published])</f>
        <v>2018</v>
      </c>
      <c r="AC531" s="25">
        <f>_xlfn.XLOOKUP(tblMeasure[[#This Row],[id_src]],tblSource[id_src],tblSource[discontinuity])</f>
        <v>0</v>
      </c>
      <c r="AD531" s="25" t="str">
        <f>_xlfn.XLOOKUP(tblMeasure[[#This Row],[id_src]],tblSource[id_src],tblSource[publication_frequency])</f>
        <v>Biennial</v>
      </c>
      <c r="AE531" s="15">
        <f>_xlfn.XLOOKUP(tblMeasure[[#This Row],[id_src]],tblSource[id_src],tblSource[publication_lag_months])</f>
        <v>10</v>
      </c>
      <c r="AF531" s="25" t="str">
        <f>_xlfn.XLOOKUP(tblMeasure[[#This Row],[id_src]],tblSource[id_src],tblSource[data_providers])</f>
        <v>UCL, IFS, Manchester University, NatCen, UEA</v>
      </c>
      <c r="AG531" s="25" t="str">
        <f>_xlfn.XLOOKUP(tblMeasure[[#This Row],[id_src]],tblSource[id_src],tblSource[statistic_class])</f>
        <v>TBD</v>
      </c>
      <c r="AH531" s="25" t="str">
        <f>_xlfn.XLOOKUP(tblMeasure[[#This Row],[id_src]],tblSource[id_src],tblSource[methodology_link])</f>
        <v>https://www.ifs.org.uk/uploads/ELSA_Wave_8_report.pdf</v>
      </c>
      <c r="AI531" s="25" t="str">
        <f>_xlfn.XLOOKUP(tblMeasure[[#This Row],[id_src]],tblSource[id_src],tblSource[quality_issues])</f>
        <v>TBD</v>
      </c>
      <c r="AJ531" s="25">
        <f>VLOOKUP(tblMeasure[[#This Row],[msr_population_or_survey]],strlu_msr_population_or_survey,2,FALSE)</f>
        <v>0</v>
      </c>
      <c r="AK531" s="25">
        <f>VLOOKUP(tblMeasure[[#This Row],[msr_min_geo_resolution]],strlu_msr_min_geo_resolution,2,FALSE)</f>
        <v>0</v>
      </c>
      <c r="AL531" s="25">
        <f>(MAX(tblMeasure[[#This Row],[src_year_last_published]]-2010+1,0)+MIN(2010-tblMeasure[[#This Row],[src_year_first_published]],0)-MAX(tblMeasure[[#This Row],[src_year_last_published]]-2019,0))/10</f>
        <v>0.9</v>
      </c>
      <c r="AM531" s="25">
        <f>IF(OR(tblMeasure[[#This Row],[src_discontinuity]]="None",tblMeasure[[#This Row],[src_discontinuity]]=0),1,0)</f>
        <v>1</v>
      </c>
      <c r="AN531" s="25">
        <f>VLOOKUP(tblMeasure[[#This Row],[src_pub_frequency]],strlu_src_pub_frequency,2,FALSE)</f>
        <v>0.5</v>
      </c>
      <c r="AO531" s="25">
        <f>VLOOKUP(tblMeasure[[#This Row],[src_pub_lag_months]],strlu_src_pub_lag_months,2,FALSE)</f>
        <v>0.1</v>
      </c>
      <c r="AP531" s="25">
        <f>VLOOKUP(tblMeasure[[#This Row],[src_statistic_class]],strlu_src_statistic_class,2,FALSE)</f>
        <v>0</v>
      </c>
      <c r="AQ531" s="25">
        <f>IF(tblMeasure[[#This Row],[src_methodology_url]]="TBD",0,1)</f>
        <v>1</v>
      </c>
      <c r="AR531" s="25">
        <f>IF(tblMeasure[[#This Row],[src_quality_url]]="TBD",0,1)</f>
        <v>0</v>
      </c>
      <c r="AS531" s="85" cm="1">
        <f t="array" ref="AS531">SUMPRODUCT(TRANSPOSE(tblMeasure[[#This Row],[str_msr_population_or_survey]:[str_src_quality_url]]),str_weights)/str_weights_total</f>
        <v>0.33846153846153848</v>
      </c>
    </row>
    <row r="532" spans="1:45" hidden="1" x14ac:dyDescent="0.15">
      <c r="A532" s="30">
        <v>530</v>
      </c>
      <c r="B532" s="32">
        <f>COUNTIF(requirement_measure_map!$D$3:$D$1514,measure!A532)</f>
        <v>0</v>
      </c>
      <c r="C532" s="30" t="s">
        <v>800</v>
      </c>
      <c r="D532" s="15" t="s">
        <v>1551</v>
      </c>
      <c r="E532" s="15" t="s">
        <v>1640</v>
      </c>
      <c r="F532" s="15" t="s">
        <v>1641</v>
      </c>
      <c r="G532" s="13" t="s">
        <v>1359</v>
      </c>
      <c r="H532" s="15"/>
      <c r="I532" s="15" t="s">
        <v>429</v>
      </c>
      <c r="J532" s="15" t="s">
        <v>1360</v>
      </c>
      <c r="K532" s="15" t="s">
        <v>1639</v>
      </c>
      <c r="L532" s="15" t="s">
        <v>233</v>
      </c>
      <c r="M532" s="15" t="s">
        <v>1362</v>
      </c>
      <c r="N532" s="15" t="s">
        <v>218</v>
      </c>
      <c r="O532" s="15" t="s">
        <v>243</v>
      </c>
      <c r="P532" s="15" t="s">
        <v>219</v>
      </c>
      <c r="Q532" s="15" t="s">
        <v>219</v>
      </c>
      <c r="R532" s="15" t="s">
        <v>219</v>
      </c>
      <c r="S532" s="15" t="s">
        <v>219</v>
      </c>
      <c r="T532" s="15" t="s">
        <v>219</v>
      </c>
      <c r="U532" s="15" t="s">
        <v>219</v>
      </c>
      <c r="V532" s="15" t="s">
        <v>219</v>
      </c>
      <c r="W532" s="15">
        <v>32</v>
      </c>
      <c r="X532" s="15" t="str">
        <f>_xlfn.XLOOKUP(tblMeasure[[#This Row],[id_src]],tblSource[id_src],tblSource[org])</f>
        <v xml:space="preserve">NIH National Institute of Ageing </v>
      </c>
      <c r="Y532" s="25" t="str">
        <f>_xlfn.XLOOKUP(tblMeasure[[#This Row],[id_src]],tblSource[id_src],tblSource[source])</f>
        <v>English Longitudinal Study of Ageing</v>
      </c>
      <c r="Z532" s="25" t="str">
        <f>_xlfn.XLOOKUP(tblMeasure[[#This Row],[id_src]],tblSource[id_src],tblSource[url_source])</f>
        <v>https://www.ifs.org.uk/uploads/ELSA_Wave_8_report.pdf</v>
      </c>
      <c r="AA532" s="25">
        <f>_xlfn.XLOOKUP(tblMeasure[[#This Row],[id_src]],tblSource[id_src],tblSource[year_first_published])</f>
        <v>2002</v>
      </c>
      <c r="AB532" s="25">
        <f>_xlfn.XLOOKUP(tblMeasure[[#This Row],[id_src]],tblSource[id_src],tblSource[year_last_published])</f>
        <v>2018</v>
      </c>
      <c r="AC532" s="25">
        <f>_xlfn.XLOOKUP(tblMeasure[[#This Row],[id_src]],tblSource[id_src],tblSource[discontinuity])</f>
        <v>0</v>
      </c>
      <c r="AD532" s="25" t="str">
        <f>_xlfn.XLOOKUP(tblMeasure[[#This Row],[id_src]],tblSource[id_src],tblSource[publication_frequency])</f>
        <v>Biennial</v>
      </c>
      <c r="AE532" s="15">
        <f>_xlfn.XLOOKUP(tblMeasure[[#This Row],[id_src]],tblSource[id_src],tblSource[publication_lag_months])</f>
        <v>10</v>
      </c>
      <c r="AF532" s="25" t="str">
        <f>_xlfn.XLOOKUP(tblMeasure[[#This Row],[id_src]],tblSource[id_src],tblSource[data_providers])</f>
        <v>UCL, IFS, Manchester University, NatCen, UEA</v>
      </c>
      <c r="AG532" s="25" t="str">
        <f>_xlfn.XLOOKUP(tblMeasure[[#This Row],[id_src]],tblSource[id_src],tblSource[statistic_class])</f>
        <v>TBD</v>
      </c>
      <c r="AH532" s="25" t="str">
        <f>_xlfn.XLOOKUP(tblMeasure[[#This Row],[id_src]],tblSource[id_src],tblSource[methodology_link])</f>
        <v>https://www.ifs.org.uk/uploads/ELSA_Wave_8_report.pdf</v>
      </c>
      <c r="AI532" s="25" t="str">
        <f>_xlfn.XLOOKUP(tblMeasure[[#This Row],[id_src]],tblSource[id_src],tblSource[quality_issues])</f>
        <v>TBD</v>
      </c>
      <c r="AJ532" s="25">
        <f>VLOOKUP(tblMeasure[[#This Row],[msr_population_or_survey]],strlu_msr_population_or_survey,2,FALSE)</f>
        <v>0</v>
      </c>
      <c r="AK532" s="25">
        <f>VLOOKUP(tblMeasure[[#This Row],[msr_min_geo_resolution]],strlu_msr_min_geo_resolution,2,FALSE)</f>
        <v>0</v>
      </c>
      <c r="AL532" s="25">
        <f>(MAX(tblMeasure[[#This Row],[src_year_last_published]]-2010+1,0)+MIN(2010-tblMeasure[[#This Row],[src_year_first_published]],0)-MAX(tblMeasure[[#This Row],[src_year_last_published]]-2019,0))/10</f>
        <v>0.9</v>
      </c>
      <c r="AM532" s="25">
        <f>IF(OR(tblMeasure[[#This Row],[src_discontinuity]]="None",tblMeasure[[#This Row],[src_discontinuity]]=0),1,0)</f>
        <v>1</v>
      </c>
      <c r="AN532" s="25">
        <f>VLOOKUP(tblMeasure[[#This Row],[src_pub_frequency]],strlu_src_pub_frequency,2,FALSE)</f>
        <v>0.5</v>
      </c>
      <c r="AO532" s="25">
        <f>VLOOKUP(tblMeasure[[#This Row],[src_pub_lag_months]],strlu_src_pub_lag_months,2,FALSE)</f>
        <v>0.1</v>
      </c>
      <c r="AP532" s="25">
        <f>VLOOKUP(tblMeasure[[#This Row],[src_statistic_class]],strlu_src_statistic_class,2,FALSE)</f>
        <v>0</v>
      </c>
      <c r="AQ532" s="25">
        <f>IF(tblMeasure[[#This Row],[src_methodology_url]]="TBD",0,1)</f>
        <v>1</v>
      </c>
      <c r="AR532" s="25">
        <f>IF(tblMeasure[[#This Row],[src_quality_url]]="TBD",0,1)</f>
        <v>0</v>
      </c>
      <c r="AS532" s="85" cm="1">
        <f t="array" ref="AS532">SUMPRODUCT(TRANSPOSE(tblMeasure[[#This Row],[str_msr_population_or_survey]:[str_src_quality_url]]),str_weights)/str_weights_total</f>
        <v>0.33846153846153848</v>
      </c>
    </row>
    <row r="533" spans="1:45" hidden="1" x14ac:dyDescent="0.15">
      <c r="A533" s="30">
        <v>531</v>
      </c>
      <c r="B533" s="32">
        <f>COUNTIF(requirement_measure_map!$D$3:$D$1514,measure!A533)</f>
        <v>0</v>
      </c>
      <c r="C533" s="30" t="s">
        <v>800</v>
      </c>
      <c r="D533" s="15" t="s">
        <v>1551</v>
      </c>
      <c r="E533" s="15" t="s">
        <v>1642</v>
      </c>
      <c r="F533" s="15" t="s">
        <v>1643</v>
      </c>
      <c r="G533" s="13" t="s">
        <v>1359</v>
      </c>
      <c r="H533" s="15"/>
      <c r="I533" s="15" t="s">
        <v>429</v>
      </c>
      <c r="J533" s="15" t="s">
        <v>1360</v>
      </c>
      <c r="K533" s="15" t="s">
        <v>1644</v>
      </c>
      <c r="L533" s="15" t="s">
        <v>233</v>
      </c>
      <c r="M533" s="15" t="s">
        <v>349</v>
      </c>
      <c r="N533" s="15" t="s">
        <v>218</v>
      </c>
      <c r="O533" s="15" t="s">
        <v>1362</v>
      </c>
      <c r="P533" s="15" t="s">
        <v>219</v>
      </c>
      <c r="Q533" s="15" t="s">
        <v>219</v>
      </c>
      <c r="R533" s="15" t="s">
        <v>219</v>
      </c>
      <c r="S533" s="15" t="s">
        <v>219</v>
      </c>
      <c r="T533" s="15" t="s">
        <v>219</v>
      </c>
      <c r="U533" s="15" t="s">
        <v>219</v>
      </c>
      <c r="V533" s="15" t="s">
        <v>219</v>
      </c>
      <c r="W533" s="15">
        <v>32</v>
      </c>
      <c r="X533" s="15" t="str">
        <f>_xlfn.XLOOKUP(tblMeasure[[#This Row],[id_src]],tblSource[id_src],tblSource[org])</f>
        <v xml:space="preserve">NIH National Institute of Ageing </v>
      </c>
      <c r="Y533" s="25" t="str">
        <f>_xlfn.XLOOKUP(tblMeasure[[#This Row],[id_src]],tblSource[id_src],tblSource[source])</f>
        <v>English Longitudinal Study of Ageing</v>
      </c>
      <c r="Z533" s="25" t="str">
        <f>_xlfn.XLOOKUP(tblMeasure[[#This Row],[id_src]],tblSource[id_src],tblSource[url_source])</f>
        <v>https://www.ifs.org.uk/uploads/ELSA_Wave_8_report.pdf</v>
      </c>
      <c r="AA533" s="25">
        <f>_xlfn.XLOOKUP(tblMeasure[[#This Row],[id_src]],tblSource[id_src],tblSource[year_first_published])</f>
        <v>2002</v>
      </c>
      <c r="AB533" s="25">
        <f>_xlfn.XLOOKUP(tblMeasure[[#This Row],[id_src]],tblSource[id_src],tblSource[year_last_published])</f>
        <v>2018</v>
      </c>
      <c r="AC533" s="25">
        <f>_xlfn.XLOOKUP(tblMeasure[[#This Row],[id_src]],tblSource[id_src],tblSource[discontinuity])</f>
        <v>0</v>
      </c>
      <c r="AD533" s="25" t="str">
        <f>_xlfn.XLOOKUP(tblMeasure[[#This Row],[id_src]],tblSource[id_src],tblSource[publication_frequency])</f>
        <v>Biennial</v>
      </c>
      <c r="AE533" s="15">
        <f>_xlfn.XLOOKUP(tblMeasure[[#This Row],[id_src]],tblSource[id_src],tblSource[publication_lag_months])</f>
        <v>10</v>
      </c>
      <c r="AF533" s="25" t="str">
        <f>_xlfn.XLOOKUP(tblMeasure[[#This Row],[id_src]],tblSource[id_src],tblSource[data_providers])</f>
        <v>UCL, IFS, Manchester University, NatCen, UEA</v>
      </c>
      <c r="AG533" s="25" t="str">
        <f>_xlfn.XLOOKUP(tblMeasure[[#This Row],[id_src]],tblSource[id_src],tblSource[statistic_class])</f>
        <v>TBD</v>
      </c>
      <c r="AH533" s="25" t="str">
        <f>_xlfn.XLOOKUP(tblMeasure[[#This Row],[id_src]],tblSource[id_src],tblSource[methodology_link])</f>
        <v>https://www.ifs.org.uk/uploads/ELSA_Wave_8_report.pdf</v>
      </c>
      <c r="AI533" s="25" t="str">
        <f>_xlfn.XLOOKUP(tblMeasure[[#This Row],[id_src]],tblSource[id_src],tblSource[quality_issues])</f>
        <v>TBD</v>
      </c>
      <c r="AJ533" s="25">
        <f>VLOOKUP(tblMeasure[[#This Row],[msr_population_or_survey]],strlu_msr_population_or_survey,2,FALSE)</f>
        <v>0</v>
      </c>
      <c r="AK533" s="25">
        <f>VLOOKUP(tblMeasure[[#This Row],[msr_min_geo_resolution]],strlu_msr_min_geo_resolution,2,FALSE)</f>
        <v>0</v>
      </c>
      <c r="AL533" s="25">
        <f>(MAX(tblMeasure[[#This Row],[src_year_last_published]]-2010+1,0)+MIN(2010-tblMeasure[[#This Row],[src_year_first_published]],0)-MAX(tblMeasure[[#This Row],[src_year_last_published]]-2019,0))/10</f>
        <v>0.9</v>
      </c>
      <c r="AM533" s="25">
        <f>IF(OR(tblMeasure[[#This Row],[src_discontinuity]]="None",tblMeasure[[#This Row],[src_discontinuity]]=0),1,0)</f>
        <v>1</v>
      </c>
      <c r="AN533" s="25">
        <f>VLOOKUP(tblMeasure[[#This Row],[src_pub_frequency]],strlu_src_pub_frequency,2,FALSE)</f>
        <v>0.5</v>
      </c>
      <c r="AO533" s="25">
        <f>VLOOKUP(tblMeasure[[#This Row],[src_pub_lag_months]],strlu_src_pub_lag_months,2,FALSE)</f>
        <v>0.1</v>
      </c>
      <c r="AP533" s="25">
        <f>VLOOKUP(tblMeasure[[#This Row],[src_statistic_class]],strlu_src_statistic_class,2,FALSE)</f>
        <v>0</v>
      </c>
      <c r="AQ533" s="25">
        <f>IF(tblMeasure[[#This Row],[src_methodology_url]]="TBD",0,1)</f>
        <v>1</v>
      </c>
      <c r="AR533" s="25">
        <f>IF(tblMeasure[[#This Row],[src_quality_url]]="TBD",0,1)</f>
        <v>0</v>
      </c>
      <c r="AS533" s="85" cm="1">
        <f t="array" ref="AS533">SUMPRODUCT(TRANSPOSE(tblMeasure[[#This Row],[str_msr_population_or_survey]:[str_src_quality_url]]),str_weights)/str_weights_total</f>
        <v>0.33846153846153848</v>
      </c>
    </row>
    <row r="534" spans="1:45" hidden="1" x14ac:dyDescent="0.15">
      <c r="A534" s="30">
        <v>532</v>
      </c>
      <c r="B534" s="32">
        <f>COUNTIF(requirement_measure_map!$D$3:$D$1514,measure!A534)</f>
        <v>0</v>
      </c>
      <c r="C534" s="30" t="s">
        <v>800</v>
      </c>
      <c r="D534" s="15" t="s">
        <v>1551</v>
      </c>
      <c r="E534" s="15" t="s">
        <v>1645</v>
      </c>
      <c r="F534" s="15" t="s">
        <v>1646</v>
      </c>
      <c r="G534" s="13" t="s">
        <v>1359</v>
      </c>
      <c r="H534" s="15"/>
      <c r="I534" s="15" t="s">
        <v>429</v>
      </c>
      <c r="J534" s="15" t="s">
        <v>1360</v>
      </c>
      <c r="K534" s="15" t="s">
        <v>1644</v>
      </c>
      <c r="L534" s="15" t="s">
        <v>233</v>
      </c>
      <c r="M534" s="15" t="s">
        <v>349</v>
      </c>
      <c r="N534" s="15" t="s">
        <v>218</v>
      </c>
      <c r="O534" s="15" t="s">
        <v>1362</v>
      </c>
      <c r="P534" s="15" t="s">
        <v>219</v>
      </c>
      <c r="Q534" s="15" t="s">
        <v>219</v>
      </c>
      <c r="R534" s="15" t="s">
        <v>219</v>
      </c>
      <c r="S534" s="15" t="s">
        <v>219</v>
      </c>
      <c r="T534" s="15" t="s">
        <v>219</v>
      </c>
      <c r="U534" s="15" t="s">
        <v>219</v>
      </c>
      <c r="V534" s="15" t="s">
        <v>219</v>
      </c>
      <c r="W534" s="15">
        <v>32</v>
      </c>
      <c r="X534" s="15" t="str">
        <f>_xlfn.XLOOKUP(tblMeasure[[#This Row],[id_src]],tblSource[id_src],tblSource[org])</f>
        <v xml:space="preserve">NIH National Institute of Ageing </v>
      </c>
      <c r="Y534" s="25" t="str">
        <f>_xlfn.XLOOKUP(tblMeasure[[#This Row],[id_src]],tblSource[id_src],tblSource[source])</f>
        <v>English Longitudinal Study of Ageing</v>
      </c>
      <c r="Z534" s="25" t="str">
        <f>_xlfn.XLOOKUP(tblMeasure[[#This Row],[id_src]],tblSource[id_src],tblSource[url_source])</f>
        <v>https://www.ifs.org.uk/uploads/ELSA_Wave_8_report.pdf</v>
      </c>
      <c r="AA534" s="25">
        <f>_xlfn.XLOOKUP(tblMeasure[[#This Row],[id_src]],tblSource[id_src],tblSource[year_first_published])</f>
        <v>2002</v>
      </c>
      <c r="AB534" s="25">
        <f>_xlfn.XLOOKUP(tblMeasure[[#This Row],[id_src]],tblSource[id_src],tblSource[year_last_published])</f>
        <v>2018</v>
      </c>
      <c r="AC534" s="25">
        <f>_xlfn.XLOOKUP(tblMeasure[[#This Row],[id_src]],tblSource[id_src],tblSource[discontinuity])</f>
        <v>0</v>
      </c>
      <c r="AD534" s="25" t="str">
        <f>_xlfn.XLOOKUP(tblMeasure[[#This Row],[id_src]],tblSource[id_src],tblSource[publication_frequency])</f>
        <v>Biennial</v>
      </c>
      <c r="AE534" s="15">
        <f>_xlfn.XLOOKUP(tblMeasure[[#This Row],[id_src]],tblSource[id_src],tblSource[publication_lag_months])</f>
        <v>10</v>
      </c>
      <c r="AF534" s="25" t="str">
        <f>_xlfn.XLOOKUP(tblMeasure[[#This Row],[id_src]],tblSource[id_src],tblSource[data_providers])</f>
        <v>UCL, IFS, Manchester University, NatCen, UEA</v>
      </c>
      <c r="AG534" s="25" t="str">
        <f>_xlfn.XLOOKUP(tblMeasure[[#This Row],[id_src]],tblSource[id_src],tblSource[statistic_class])</f>
        <v>TBD</v>
      </c>
      <c r="AH534" s="25" t="str">
        <f>_xlfn.XLOOKUP(tblMeasure[[#This Row],[id_src]],tblSource[id_src],tblSource[methodology_link])</f>
        <v>https://www.ifs.org.uk/uploads/ELSA_Wave_8_report.pdf</v>
      </c>
      <c r="AI534" s="25" t="str">
        <f>_xlfn.XLOOKUP(tblMeasure[[#This Row],[id_src]],tblSource[id_src],tblSource[quality_issues])</f>
        <v>TBD</v>
      </c>
      <c r="AJ534" s="25">
        <f>VLOOKUP(tblMeasure[[#This Row],[msr_population_or_survey]],strlu_msr_population_or_survey,2,FALSE)</f>
        <v>0</v>
      </c>
      <c r="AK534" s="25">
        <f>VLOOKUP(tblMeasure[[#This Row],[msr_min_geo_resolution]],strlu_msr_min_geo_resolution,2,FALSE)</f>
        <v>0</v>
      </c>
      <c r="AL534" s="25">
        <f>(MAX(tblMeasure[[#This Row],[src_year_last_published]]-2010+1,0)+MIN(2010-tblMeasure[[#This Row],[src_year_first_published]],0)-MAX(tblMeasure[[#This Row],[src_year_last_published]]-2019,0))/10</f>
        <v>0.9</v>
      </c>
      <c r="AM534" s="25">
        <f>IF(OR(tblMeasure[[#This Row],[src_discontinuity]]="None",tblMeasure[[#This Row],[src_discontinuity]]=0),1,0)</f>
        <v>1</v>
      </c>
      <c r="AN534" s="25">
        <f>VLOOKUP(tblMeasure[[#This Row],[src_pub_frequency]],strlu_src_pub_frequency,2,FALSE)</f>
        <v>0.5</v>
      </c>
      <c r="AO534" s="25">
        <f>VLOOKUP(tblMeasure[[#This Row],[src_pub_lag_months]],strlu_src_pub_lag_months,2,FALSE)</f>
        <v>0.1</v>
      </c>
      <c r="AP534" s="25">
        <f>VLOOKUP(tblMeasure[[#This Row],[src_statistic_class]],strlu_src_statistic_class,2,FALSE)</f>
        <v>0</v>
      </c>
      <c r="AQ534" s="25">
        <f>IF(tblMeasure[[#This Row],[src_methodology_url]]="TBD",0,1)</f>
        <v>1</v>
      </c>
      <c r="AR534" s="25">
        <f>IF(tblMeasure[[#This Row],[src_quality_url]]="TBD",0,1)</f>
        <v>0</v>
      </c>
      <c r="AS534" s="85" cm="1">
        <f t="array" ref="AS534">SUMPRODUCT(TRANSPOSE(tblMeasure[[#This Row],[str_msr_population_or_survey]:[str_src_quality_url]]),str_weights)/str_weights_total</f>
        <v>0.33846153846153848</v>
      </c>
    </row>
    <row r="535" spans="1:45" hidden="1" x14ac:dyDescent="0.15">
      <c r="A535" s="30">
        <v>533</v>
      </c>
      <c r="B535" s="32">
        <f>COUNTIF(requirement_measure_map!$D$3:$D$1514,measure!A535)</f>
        <v>0</v>
      </c>
      <c r="C535" s="30" t="s">
        <v>800</v>
      </c>
      <c r="D535" s="15" t="s">
        <v>1551</v>
      </c>
      <c r="E535" s="15" t="s">
        <v>1647</v>
      </c>
      <c r="F535" s="15" t="s">
        <v>1648</v>
      </c>
      <c r="G535" s="13" t="s">
        <v>1359</v>
      </c>
      <c r="H535" s="15"/>
      <c r="I535" s="15" t="s">
        <v>429</v>
      </c>
      <c r="J535" s="15" t="s">
        <v>1360</v>
      </c>
      <c r="K535" s="15" t="s">
        <v>1644</v>
      </c>
      <c r="L535" s="15" t="s">
        <v>233</v>
      </c>
      <c r="M535" s="15" t="s">
        <v>1362</v>
      </c>
      <c r="N535" s="15" t="s">
        <v>218</v>
      </c>
      <c r="O535" s="15" t="s">
        <v>243</v>
      </c>
      <c r="P535" s="15" t="s">
        <v>219</v>
      </c>
      <c r="Q535" s="15" t="s">
        <v>219</v>
      </c>
      <c r="R535" s="15" t="s">
        <v>219</v>
      </c>
      <c r="S535" s="15" t="s">
        <v>219</v>
      </c>
      <c r="T535" s="15" t="s">
        <v>219</v>
      </c>
      <c r="U535" s="15" t="s">
        <v>219</v>
      </c>
      <c r="V535" s="15" t="s">
        <v>219</v>
      </c>
      <c r="W535" s="15">
        <v>32</v>
      </c>
      <c r="X535" s="15" t="str">
        <f>_xlfn.XLOOKUP(tblMeasure[[#This Row],[id_src]],tblSource[id_src],tblSource[org])</f>
        <v xml:space="preserve">NIH National Institute of Ageing </v>
      </c>
      <c r="Y535" s="25" t="str">
        <f>_xlfn.XLOOKUP(tblMeasure[[#This Row],[id_src]],tblSource[id_src],tblSource[source])</f>
        <v>English Longitudinal Study of Ageing</v>
      </c>
      <c r="Z535" s="25" t="str">
        <f>_xlfn.XLOOKUP(tblMeasure[[#This Row],[id_src]],tblSource[id_src],tblSource[url_source])</f>
        <v>https://www.ifs.org.uk/uploads/ELSA_Wave_8_report.pdf</v>
      </c>
      <c r="AA535" s="25">
        <f>_xlfn.XLOOKUP(tblMeasure[[#This Row],[id_src]],tblSource[id_src],tblSource[year_first_published])</f>
        <v>2002</v>
      </c>
      <c r="AB535" s="25">
        <f>_xlfn.XLOOKUP(tblMeasure[[#This Row],[id_src]],tblSource[id_src],tblSource[year_last_published])</f>
        <v>2018</v>
      </c>
      <c r="AC535" s="25">
        <f>_xlfn.XLOOKUP(tblMeasure[[#This Row],[id_src]],tblSource[id_src],tblSource[discontinuity])</f>
        <v>0</v>
      </c>
      <c r="AD535" s="25" t="str">
        <f>_xlfn.XLOOKUP(tblMeasure[[#This Row],[id_src]],tblSource[id_src],tblSource[publication_frequency])</f>
        <v>Biennial</v>
      </c>
      <c r="AE535" s="15">
        <f>_xlfn.XLOOKUP(tblMeasure[[#This Row],[id_src]],tblSource[id_src],tblSource[publication_lag_months])</f>
        <v>10</v>
      </c>
      <c r="AF535" s="25" t="str">
        <f>_xlfn.XLOOKUP(tblMeasure[[#This Row],[id_src]],tblSource[id_src],tblSource[data_providers])</f>
        <v>UCL, IFS, Manchester University, NatCen, UEA</v>
      </c>
      <c r="AG535" s="25" t="str">
        <f>_xlfn.XLOOKUP(tblMeasure[[#This Row],[id_src]],tblSource[id_src],tblSource[statistic_class])</f>
        <v>TBD</v>
      </c>
      <c r="AH535" s="25" t="str">
        <f>_xlfn.XLOOKUP(tblMeasure[[#This Row],[id_src]],tblSource[id_src],tblSource[methodology_link])</f>
        <v>https://www.ifs.org.uk/uploads/ELSA_Wave_8_report.pdf</v>
      </c>
      <c r="AI535" s="25" t="str">
        <f>_xlfn.XLOOKUP(tblMeasure[[#This Row],[id_src]],tblSource[id_src],tblSource[quality_issues])</f>
        <v>TBD</v>
      </c>
      <c r="AJ535" s="25">
        <f>VLOOKUP(tblMeasure[[#This Row],[msr_population_or_survey]],strlu_msr_population_or_survey,2,FALSE)</f>
        <v>0</v>
      </c>
      <c r="AK535" s="25">
        <f>VLOOKUP(tblMeasure[[#This Row],[msr_min_geo_resolution]],strlu_msr_min_geo_resolution,2,FALSE)</f>
        <v>0</v>
      </c>
      <c r="AL535" s="25">
        <f>(MAX(tblMeasure[[#This Row],[src_year_last_published]]-2010+1,0)+MIN(2010-tblMeasure[[#This Row],[src_year_first_published]],0)-MAX(tblMeasure[[#This Row],[src_year_last_published]]-2019,0))/10</f>
        <v>0.9</v>
      </c>
      <c r="AM535" s="25">
        <f>IF(OR(tblMeasure[[#This Row],[src_discontinuity]]="None",tblMeasure[[#This Row],[src_discontinuity]]=0),1,0)</f>
        <v>1</v>
      </c>
      <c r="AN535" s="25">
        <f>VLOOKUP(tblMeasure[[#This Row],[src_pub_frequency]],strlu_src_pub_frequency,2,FALSE)</f>
        <v>0.5</v>
      </c>
      <c r="AO535" s="25">
        <f>VLOOKUP(tblMeasure[[#This Row],[src_pub_lag_months]],strlu_src_pub_lag_months,2,FALSE)</f>
        <v>0.1</v>
      </c>
      <c r="AP535" s="25">
        <f>VLOOKUP(tblMeasure[[#This Row],[src_statistic_class]],strlu_src_statistic_class,2,FALSE)</f>
        <v>0</v>
      </c>
      <c r="AQ535" s="25">
        <f>IF(tblMeasure[[#This Row],[src_methodology_url]]="TBD",0,1)</f>
        <v>1</v>
      </c>
      <c r="AR535" s="25">
        <f>IF(tblMeasure[[#This Row],[src_quality_url]]="TBD",0,1)</f>
        <v>0</v>
      </c>
      <c r="AS535" s="85" cm="1">
        <f t="array" ref="AS535">SUMPRODUCT(TRANSPOSE(tblMeasure[[#This Row],[str_msr_population_or_survey]:[str_src_quality_url]]),str_weights)/str_weights_total</f>
        <v>0.33846153846153848</v>
      </c>
    </row>
    <row r="536" spans="1:45" hidden="1" x14ac:dyDescent="0.15">
      <c r="A536" s="30">
        <v>534</v>
      </c>
      <c r="B536" s="32">
        <f>COUNTIF(requirement_measure_map!$D$3:$D$1514,measure!A536)</f>
        <v>0</v>
      </c>
      <c r="C536" s="30" t="s">
        <v>800</v>
      </c>
      <c r="D536" s="15" t="s">
        <v>1551</v>
      </c>
      <c r="E536" s="15" t="s">
        <v>1649</v>
      </c>
      <c r="F536" s="15" t="s">
        <v>1650</v>
      </c>
      <c r="G536" s="13" t="s">
        <v>1359</v>
      </c>
      <c r="H536" s="15"/>
      <c r="I536" s="15" t="s">
        <v>429</v>
      </c>
      <c r="J536" s="15" t="s">
        <v>1360</v>
      </c>
      <c r="K536" s="15" t="s">
        <v>1644</v>
      </c>
      <c r="L536" s="15" t="s">
        <v>233</v>
      </c>
      <c r="M536" s="15" t="s">
        <v>1362</v>
      </c>
      <c r="N536" s="15" t="s">
        <v>218</v>
      </c>
      <c r="O536" s="15" t="s">
        <v>243</v>
      </c>
      <c r="P536" s="15" t="s">
        <v>219</v>
      </c>
      <c r="Q536" s="15" t="s">
        <v>219</v>
      </c>
      <c r="R536" s="15" t="s">
        <v>219</v>
      </c>
      <c r="S536" s="15" t="s">
        <v>219</v>
      </c>
      <c r="T536" s="15" t="s">
        <v>219</v>
      </c>
      <c r="U536" s="15" t="s">
        <v>219</v>
      </c>
      <c r="V536" s="15" t="s">
        <v>219</v>
      </c>
      <c r="W536" s="15">
        <v>32</v>
      </c>
      <c r="X536" s="15" t="str">
        <f>_xlfn.XLOOKUP(tblMeasure[[#This Row],[id_src]],tblSource[id_src],tblSource[org])</f>
        <v xml:space="preserve">NIH National Institute of Ageing </v>
      </c>
      <c r="Y536" s="25" t="str">
        <f>_xlfn.XLOOKUP(tblMeasure[[#This Row],[id_src]],tblSource[id_src],tblSource[source])</f>
        <v>English Longitudinal Study of Ageing</v>
      </c>
      <c r="Z536" s="25" t="str">
        <f>_xlfn.XLOOKUP(tblMeasure[[#This Row],[id_src]],tblSource[id_src],tblSource[url_source])</f>
        <v>https://www.ifs.org.uk/uploads/ELSA_Wave_8_report.pdf</v>
      </c>
      <c r="AA536" s="25">
        <f>_xlfn.XLOOKUP(tblMeasure[[#This Row],[id_src]],tblSource[id_src],tblSource[year_first_published])</f>
        <v>2002</v>
      </c>
      <c r="AB536" s="25">
        <f>_xlfn.XLOOKUP(tblMeasure[[#This Row],[id_src]],tblSource[id_src],tblSource[year_last_published])</f>
        <v>2018</v>
      </c>
      <c r="AC536" s="25">
        <f>_xlfn.XLOOKUP(tblMeasure[[#This Row],[id_src]],tblSource[id_src],tblSource[discontinuity])</f>
        <v>0</v>
      </c>
      <c r="AD536" s="25" t="str">
        <f>_xlfn.XLOOKUP(tblMeasure[[#This Row],[id_src]],tblSource[id_src],tblSource[publication_frequency])</f>
        <v>Biennial</v>
      </c>
      <c r="AE536" s="15">
        <f>_xlfn.XLOOKUP(tblMeasure[[#This Row],[id_src]],tblSource[id_src],tblSource[publication_lag_months])</f>
        <v>10</v>
      </c>
      <c r="AF536" s="25" t="str">
        <f>_xlfn.XLOOKUP(tblMeasure[[#This Row],[id_src]],tblSource[id_src],tblSource[data_providers])</f>
        <v>UCL, IFS, Manchester University, NatCen, UEA</v>
      </c>
      <c r="AG536" s="25" t="str">
        <f>_xlfn.XLOOKUP(tblMeasure[[#This Row],[id_src]],tblSource[id_src],tblSource[statistic_class])</f>
        <v>TBD</v>
      </c>
      <c r="AH536" s="25" t="str">
        <f>_xlfn.XLOOKUP(tblMeasure[[#This Row],[id_src]],tblSource[id_src],tblSource[methodology_link])</f>
        <v>https://www.ifs.org.uk/uploads/ELSA_Wave_8_report.pdf</v>
      </c>
      <c r="AI536" s="25" t="str">
        <f>_xlfn.XLOOKUP(tblMeasure[[#This Row],[id_src]],tblSource[id_src],tblSource[quality_issues])</f>
        <v>TBD</v>
      </c>
      <c r="AJ536" s="25">
        <f>VLOOKUP(tblMeasure[[#This Row],[msr_population_or_survey]],strlu_msr_population_or_survey,2,FALSE)</f>
        <v>0</v>
      </c>
      <c r="AK536" s="25">
        <f>VLOOKUP(tblMeasure[[#This Row],[msr_min_geo_resolution]],strlu_msr_min_geo_resolution,2,FALSE)</f>
        <v>0</v>
      </c>
      <c r="AL536" s="25">
        <f>(MAX(tblMeasure[[#This Row],[src_year_last_published]]-2010+1,0)+MIN(2010-tblMeasure[[#This Row],[src_year_first_published]],0)-MAX(tblMeasure[[#This Row],[src_year_last_published]]-2019,0))/10</f>
        <v>0.9</v>
      </c>
      <c r="AM536" s="25">
        <f>IF(OR(tblMeasure[[#This Row],[src_discontinuity]]="None",tblMeasure[[#This Row],[src_discontinuity]]=0),1,0)</f>
        <v>1</v>
      </c>
      <c r="AN536" s="25">
        <f>VLOOKUP(tblMeasure[[#This Row],[src_pub_frequency]],strlu_src_pub_frequency,2,FALSE)</f>
        <v>0.5</v>
      </c>
      <c r="AO536" s="25">
        <f>VLOOKUP(tblMeasure[[#This Row],[src_pub_lag_months]],strlu_src_pub_lag_months,2,FALSE)</f>
        <v>0.1</v>
      </c>
      <c r="AP536" s="25">
        <f>VLOOKUP(tblMeasure[[#This Row],[src_statistic_class]],strlu_src_statistic_class,2,FALSE)</f>
        <v>0</v>
      </c>
      <c r="AQ536" s="25">
        <f>IF(tblMeasure[[#This Row],[src_methodology_url]]="TBD",0,1)</f>
        <v>1</v>
      </c>
      <c r="AR536" s="25">
        <f>IF(tblMeasure[[#This Row],[src_quality_url]]="TBD",0,1)</f>
        <v>0</v>
      </c>
      <c r="AS536" s="85" cm="1">
        <f t="array" ref="AS536">SUMPRODUCT(TRANSPOSE(tblMeasure[[#This Row],[str_msr_population_or_survey]:[str_src_quality_url]]),str_weights)/str_weights_total</f>
        <v>0.33846153846153848</v>
      </c>
    </row>
    <row r="537" spans="1:45" hidden="1" x14ac:dyDescent="0.15">
      <c r="A537" s="30">
        <v>535</v>
      </c>
      <c r="B537" s="32">
        <f>COUNTIF(requirement_measure_map!$D$3:$D$1514,measure!A537)</f>
        <v>0</v>
      </c>
      <c r="C537" s="30" t="s">
        <v>800</v>
      </c>
      <c r="D537" s="15" t="s">
        <v>1551</v>
      </c>
      <c r="E537" s="15" t="s">
        <v>1651</v>
      </c>
      <c r="F537" s="15" t="s">
        <v>1652</v>
      </c>
      <c r="G537" s="13" t="s">
        <v>1359</v>
      </c>
      <c r="H537" s="15"/>
      <c r="I537" s="15" t="s">
        <v>429</v>
      </c>
      <c r="J537" s="15" t="s">
        <v>1360</v>
      </c>
      <c r="K537" s="15" t="s">
        <v>1653</v>
      </c>
      <c r="L537" s="15" t="s">
        <v>233</v>
      </c>
      <c r="M537" s="15" t="s">
        <v>349</v>
      </c>
      <c r="N537" s="15" t="s">
        <v>218</v>
      </c>
      <c r="O537" s="15" t="s">
        <v>1362</v>
      </c>
      <c r="P537" s="15" t="s">
        <v>219</v>
      </c>
      <c r="Q537" s="15" t="s">
        <v>219</v>
      </c>
      <c r="R537" s="15" t="s">
        <v>219</v>
      </c>
      <c r="S537" s="15" t="s">
        <v>219</v>
      </c>
      <c r="T537" s="15" t="s">
        <v>219</v>
      </c>
      <c r="U537" s="15" t="s">
        <v>219</v>
      </c>
      <c r="V537" s="15" t="s">
        <v>219</v>
      </c>
      <c r="W537" s="15">
        <v>32</v>
      </c>
      <c r="X537" s="15" t="str">
        <f>_xlfn.XLOOKUP(tblMeasure[[#This Row],[id_src]],tblSource[id_src],tblSource[org])</f>
        <v xml:space="preserve">NIH National Institute of Ageing </v>
      </c>
      <c r="Y537" s="25" t="str">
        <f>_xlfn.XLOOKUP(tblMeasure[[#This Row],[id_src]],tblSource[id_src],tblSource[source])</f>
        <v>English Longitudinal Study of Ageing</v>
      </c>
      <c r="Z537" s="25" t="str">
        <f>_xlfn.XLOOKUP(tblMeasure[[#This Row],[id_src]],tblSource[id_src],tblSource[url_source])</f>
        <v>https://www.ifs.org.uk/uploads/ELSA_Wave_8_report.pdf</v>
      </c>
      <c r="AA537" s="25">
        <f>_xlfn.XLOOKUP(tblMeasure[[#This Row],[id_src]],tblSource[id_src],tblSource[year_first_published])</f>
        <v>2002</v>
      </c>
      <c r="AB537" s="25">
        <f>_xlfn.XLOOKUP(tblMeasure[[#This Row],[id_src]],tblSource[id_src],tblSource[year_last_published])</f>
        <v>2018</v>
      </c>
      <c r="AC537" s="25">
        <f>_xlfn.XLOOKUP(tblMeasure[[#This Row],[id_src]],tblSource[id_src],tblSource[discontinuity])</f>
        <v>0</v>
      </c>
      <c r="AD537" s="25" t="str">
        <f>_xlfn.XLOOKUP(tblMeasure[[#This Row],[id_src]],tblSource[id_src],tblSource[publication_frequency])</f>
        <v>Biennial</v>
      </c>
      <c r="AE537" s="15">
        <f>_xlfn.XLOOKUP(tblMeasure[[#This Row],[id_src]],tblSource[id_src],tblSource[publication_lag_months])</f>
        <v>10</v>
      </c>
      <c r="AF537" s="25" t="str">
        <f>_xlfn.XLOOKUP(tblMeasure[[#This Row],[id_src]],tblSource[id_src],tblSource[data_providers])</f>
        <v>UCL, IFS, Manchester University, NatCen, UEA</v>
      </c>
      <c r="AG537" s="25" t="str">
        <f>_xlfn.XLOOKUP(tblMeasure[[#This Row],[id_src]],tblSource[id_src],tblSource[statistic_class])</f>
        <v>TBD</v>
      </c>
      <c r="AH537" s="25" t="str">
        <f>_xlfn.XLOOKUP(tblMeasure[[#This Row],[id_src]],tblSource[id_src],tblSource[methodology_link])</f>
        <v>https://www.ifs.org.uk/uploads/ELSA_Wave_8_report.pdf</v>
      </c>
      <c r="AI537" s="25" t="str">
        <f>_xlfn.XLOOKUP(tblMeasure[[#This Row],[id_src]],tblSource[id_src],tblSource[quality_issues])</f>
        <v>TBD</v>
      </c>
      <c r="AJ537" s="25">
        <f>VLOOKUP(tblMeasure[[#This Row],[msr_population_or_survey]],strlu_msr_population_or_survey,2,FALSE)</f>
        <v>0</v>
      </c>
      <c r="AK537" s="25">
        <f>VLOOKUP(tblMeasure[[#This Row],[msr_min_geo_resolution]],strlu_msr_min_geo_resolution,2,FALSE)</f>
        <v>0</v>
      </c>
      <c r="AL537" s="25">
        <f>(MAX(tblMeasure[[#This Row],[src_year_last_published]]-2010+1,0)+MIN(2010-tblMeasure[[#This Row],[src_year_first_published]],0)-MAX(tblMeasure[[#This Row],[src_year_last_published]]-2019,0))/10</f>
        <v>0.9</v>
      </c>
      <c r="AM537" s="25">
        <f>IF(OR(tblMeasure[[#This Row],[src_discontinuity]]="None",tblMeasure[[#This Row],[src_discontinuity]]=0),1,0)</f>
        <v>1</v>
      </c>
      <c r="AN537" s="25">
        <f>VLOOKUP(tblMeasure[[#This Row],[src_pub_frequency]],strlu_src_pub_frequency,2,FALSE)</f>
        <v>0.5</v>
      </c>
      <c r="AO537" s="25">
        <f>VLOOKUP(tblMeasure[[#This Row],[src_pub_lag_months]],strlu_src_pub_lag_months,2,FALSE)</f>
        <v>0.1</v>
      </c>
      <c r="AP537" s="25">
        <f>VLOOKUP(tblMeasure[[#This Row],[src_statistic_class]],strlu_src_statistic_class,2,FALSE)</f>
        <v>0</v>
      </c>
      <c r="AQ537" s="25">
        <f>IF(tblMeasure[[#This Row],[src_methodology_url]]="TBD",0,1)</f>
        <v>1</v>
      </c>
      <c r="AR537" s="25">
        <f>IF(tblMeasure[[#This Row],[src_quality_url]]="TBD",0,1)</f>
        <v>0</v>
      </c>
      <c r="AS537" s="85" cm="1">
        <f t="array" ref="AS537">SUMPRODUCT(TRANSPOSE(tblMeasure[[#This Row],[str_msr_population_or_survey]:[str_src_quality_url]]),str_weights)/str_weights_total</f>
        <v>0.33846153846153848</v>
      </c>
    </row>
    <row r="538" spans="1:45" hidden="1" x14ac:dyDescent="0.15">
      <c r="A538" s="30">
        <v>536</v>
      </c>
      <c r="B538" s="32">
        <f>COUNTIF(requirement_measure_map!$D$3:$D$1514,measure!A538)</f>
        <v>0</v>
      </c>
      <c r="C538" s="30" t="s">
        <v>800</v>
      </c>
      <c r="D538" s="15" t="s">
        <v>1551</v>
      </c>
      <c r="E538" s="15" t="s">
        <v>1654</v>
      </c>
      <c r="F538" s="15" t="s">
        <v>1655</v>
      </c>
      <c r="G538" s="13" t="s">
        <v>1359</v>
      </c>
      <c r="H538" s="15"/>
      <c r="I538" s="15" t="s">
        <v>429</v>
      </c>
      <c r="J538" s="15" t="s">
        <v>1360</v>
      </c>
      <c r="K538" s="15" t="s">
        <v>1653</v>
      </c>
      <c r="L538" s="15" t="s">
        <v>233</v>
      </c>
      <c r="M538" s="15" t="s">
        <v>1362</v>
      </c>
      <c r="N538" s="15" t="s">
        <v>218</v>
      </c>
      <c r="O538" s="15" t="s">
        <v>243</v>
      </c>
      <c r="P538" s="15" t="s">
        <v>219</v>
      </c>
      <c r="Q538" s="15" t="s">
        <v>219</v>
      </c>
      <c r="R538" s="15" t="s">
        <v>219</v>
      </c>
      <c r="S538" s="15" t="s">
        <v>219</v>
      </c>
      <c r="T538" s="15" t="s">
        <v>219</v>
      </c>
      <c r="U538" s="15" t="s">
        <v>219</v>
      </c>
      <c r="V538" s="15" t="s">
        <v>219</v>
      </c>
      <c r="W538" s="15">
        <v>32</v>
      </c>
      <c r="X538" s="15" t="str">
        <f>_xlfn.XLOOKUP(tblMeasure[[#This Row],[id_src]],tblSource[id_src],tblSource[org])</f>
        <v xml:space="preserve">NIH National Institute of Ageing </v>
      </c>
      <c r="Y538" s="25" t="str">
        <f>_xlfn.XLOOKUP(tblMeasure[[#This Row],[id_src]],tblSource[id_src],tblSource[source])</f>
        <v>English Longitudinal Study of Ageing</v>
      </c>
      <c r="Z538" s="25" t="str">
        <f>_xlfn.XLOOKUP(tblMeasure[[#This Row],[id_src]],tblSource[id_src],tblSource[url_source])</f>
        <v>https://www.ifs.org.uk/uploads/ELSA_Wave_8_report.pdf</v>
      </c>
      <c r="AA538" s="25">
        <f>_xlfn.XLOOKUP(tblMeasure[[#This Row],[id_src]],tblSource[id_src],tblSource[year_first_published])</f>
        <v>2002</v>
      </c>
      <c r="AB538" s="25">
        <f>_xlfn.XLOOKUP(tblMeasure[[#This Row],[id_src]],tblSource[id_src],tblSource[year_last_published])</f>
        <v>2018</v>
      </c>
      <c r="AC538" s="25">
        <f>_xlfn.XLOOKUP(tblMeasure[[#This Row],[id_src]],tblSource[id_src],tblSource[discontinuity])</f>
        <v>0</v>
      </c>
      <c r="AD538" s="25" t="str">
        <f>_xlfn.XLOOKUP(tblMeasure[[#This Row],[id_src]],tblSource[id_src],tblSource[publication_frequency])</f>
        <v>Biennial</v>
      </c>
      <c r="AE538" s="15">
        <f>_xlfn.XLOOKUP(tblMeasure[[#This Row],[id_src]],tblSource[id_src],tblSource[publication_lag_months])</f>
        <v>10</v>
      </c>
      <c r="AF538" s="25" t="str">
        <f>_xlfn.XLOOKUP(tblMeasure[[#This Row],[id_src]],tblSource[id_src],tblSource[data_providers])</f>
        <v>UCL, IFS, Manchester University, NatCen, UEA</v>
      </c>
      <c r="AG538" s="25" t="str">
        <f>_xlfn.XLOOKUP(tblMeasure[[#This Row],[id_src]],tblSource[id_src],tblSource[statistic_class])</f>
        <v>TBD</v>
      </c>
      <c r="AH538" s="25" t="str">
        <f>_xlfn.XLOOKUP(tblMeasure[[#This Row],[id_src]],tblSource[id_src],tblSource[methodology_link])</f>
        <v>https://www.ifs.org.uk/uploads/ELSA_Wave_8_report.pdf</v>
      </c>
      <c r="AI538" s="25" t="str">
        <f>_xlfn.XLOOKUP(tblMeasure[[#This Row],[id_src]],tblSource[id_src],tblSource[quality_issues])</f>
        <v>TBD</v>
      </c>
      <c r="AJ538" s="25">
        <f>VLOOKUP(tblMeasure[[#This Row],[msr_population_or_survey]],strlu_msr_population_or_survey,2,FALSE)</f>
        <v>0</v>
      </c>
      <c r="AK538" s="25">
        <f>VLOOKUP(tblMeasure[[#This Row],[msr_min_geo_resolution]],strlu_msr_min_geo_resolution,2,FALSE)</f>
        <v>0</v>
      </c>
      <c r="AL538" s="25">
        <f>(MAX(tblMeasure[[#This Row],[src_year_last_published]]-2010+1,0)+MIN(2010-tblMeasure[[#This Row],[src_year_first_published]],0)-MAX(tblMeasure[[#This Row],[src_year_last_published]]-2019,0))/10</f>
        <v>0.9</v>
      </c>
      <c r="AM538" s="25">
        <f>IF(OR(tblMeasure[[#This Row],[src_discontinuity]]="None",tblMeasure[[#This Row],[src_discontinuity]]=0),1,0)</f>
        <v>1</v>
      </c>
      <c r="AN538" s="25">
        <f>VLOOKUP(tblMeasure[[#This Row],[src_pub_frequency]],strlu_src_pub_frequency,2,FALSE)</f>
        <v>0.5</v>
      </c>
      <c r="AO538" s="25">
        <f>VLOOKUP(tblMeasure[[#This Row],[src_pub_lag_months]],strlu_src_pub_lag_months,2,FALSE)</f>
        <v>0.1</v>
      </c>
      <c r="AP538" s="25">
        <f>VLOOKUP(tblMeasure[[#This Row],[src_statistic_class]],strlu_src_statistic_class,2,FALSE)</f>
        <v>0</v>
      </c>
      <c r="AQ538" s="25">
        <f>IF(tblMeasure[[#This Row],[src_methodology_url]]="TBD",0,1)</f>
        <v>1</v>
      </c>
      <c r="AR538" s="25">
        <f>IF(tblMeasure[[#This Row],[src_quality_url]]="TBD",0,1)</f>
        <v>0</v>
      </c>
      <c r="AS538" s="85" cm="1">
        <f t="array" ref="AS538">SUMPRODUCT(TRANSPOSE(tblMeasure[[#This Row],[str_msr_population_or_survey]:[str_src_quality_url]]),str_weights)/str_weights_total</f>
        <v>0.33846153846153848</v>
      </c>
    </row>
    <row r="539" spans="1:45" hidden="1" x14ac:dyDescent="0.15">
      <c r="A539" s="30">
        <v>537</v>
      </c>
      <c r="B539" s="32">
        <f>COUNTIF(requirement_measure_map!$D$3:$D$1514,measure!A539)</f>
        <v>0</v>
      </c>
      <c r="C539" s="30" t="s">
        <v>800</v>
      </c>
      <c r="D539" s="15" t="s">
        <v>1551</v>
      </c>
      <c r="E539" s="15" t="s">
        <v>1656</v>
      </c>
      <c r="F539" s="15" t="s">
        <v>1657</v>
      </c>
      <c r="G539" s="13" t="s">
        <v>1359</v>
      </c>
      <c r="H539" s="15"/>
      <c r="I539" s="15" t="s">
        <v>429</v>
      </c>
      <c r="J539" s="15" t="s">
        <v>1360</v>
      </c>
      <c r="K539" s="15" t="s">
        <v>1658</v>
      </c>
      <c r="L539" s="15" t="s">
        <v>233</v>
      </c>
      <c r="M539" s="15" t="s">
        <v>349</v>
      </c>
      <c r="N539" s="15" t="s">
        <v>218</v>
      </c>
      <c r="O539" s="15" t="s">
        <v>1362</v>
      </c>
      <c r="P539" s="15" t="s">
        <v>219</v>
      </c>
      <c r="Q539" s="15" t="s">
        <v>219</v>
      </c>
      <c r="R539" s="15" t="s">
        <v>219</v>
      </c>
      <c r="S539" s="15" t="s">
        <v>219</v>
      </c>
      <c r="T539" s="15" t="s">
        <v>219</v>
      </c>
      <c r="U539" s="15" t="s">
        <v>219</v>
      </c>
      <c r="V539" s="15" t="s">
        <v>219</v>
      </c>
      <c r="W539" s="15">
        <v>32</v>
      </c>
      <c r="X539" s="15" t="str">
        <f>_xlfn.XLOOKUP(tblMeasure[[#This Row],[id_src]],tblSource[id_src],tblSource[org])</f>
        <v xml:space="preserve">NIH National Institute of Ageing </v>
      </c>
      <c r="Y539" s="25" t="str">
        <f>_xlfn.XLOOKUP(tblMeasure[[#This Row],[id_src]],tblSource[id_src],tblSource[source])</f>
        <v>English Longitudinal Study of Ageing</v>
      </c>
      <c r="Z539" s="25" t="str">
        <f>_xlfn.XLOOKUP(tblMeasure[[#This Row],[id_src]],tblSource[id_src],tblSource[url_source])</f>
        <v>https://www.ifs.org.uk/uploads/ELSA_Wave_8_report.pdf</v>
      </c>
      <c r="AA539" s="25">
        <f>_xlfn.XLOOKUP(tblMeasure[[#This Row],[id_src]],tblSource[id_src],tblSource[year_first_published])</f>
        <v>2002</v>
      </c>
      <c r="AB539" s="25">
        <f>_xlfn.XLOOKUP(tblMeasure[[#This Row],[id_src]],tblSource[id_src],tblSource[year_last_published])</f>
        <v>2018</v>
      </c>
      <c r="AC539" s="25">
        <f>_xlfn.XLOOKUP(tblMeasure[[#This Row],[id_src]],tblSource[id_src],tblSource[discontinuity])</f>
        <v>0</v>
      </c>
      <c r="AD539" s="25" t="str">
        <f>_xlfn.XLOOKUP(tblMeasure[[#This Row],[id_src]],tblSource[id_src],tblSource[publication_frequency])</f>
        <v>Biennial</v>
      </c>
      <c r="AE539" s="15">
        <f>_xlfn.XLOOKUP(tblMeasure[[#This Row],[id_src]],tblSource[id_src],tblSource[publication_lag_months])</f>
        <v>10</v>
      </c>
      <c r="AF539" s="25" t="str">
        <f>_xlfn.XLOOKUP(tblMeasure[[#This Row],[id_src]],tblSource[id_src],tblSource[data_providers])</f>
        <v>UCL, IFS, Manchester University, NatCen, UEA</v>
      </c>
      <c r="AG539" s="25" t="str">
        <f>_xlfn.XLOOKUP(tblMeasure[[#This Row],[id_src]],tblSource[id_src],tblSource[statistic_class])</f>
        <v>TBD</v>
      </c>
      <c r="AH539" s="25" t="str">
        <f>_xlfn.XLOOKUP(tblMeasure[[#This Row],[id_src]],tblSource[id_src],tblSource[methodology_link])</f>
        <v>https://www.ifs.org.uk/uploads/ELSA_Wave_8_report.pdf</v>
      </c>
      <c r="AI539" s="25" t="str">
        <f>_xlfn.XLOOKUP(tblMeasure[[#This Row],[id_src]],tblSource[id_src],tblSource[quality_issues])</f>
        <v>TBD</v>
      </c>
      <c r="AJ539" s="25">
        <f>VLOOKUP(tblMeasure[[#This Row],[msr_population_or_survey]],strlu_msr_population_or_survey,2,FALSE)</f>
        <v>0</v>
      </c>
      <c r="AK539" s="25">
        <f>VLOOKUP(tblMeasure[[#This Row],[msr_min_geo_resolution]],strlu_msr_min_geo_resolution,2,FALSE)</f>
        <v>0</v>
      </c>
      <c r="AL539" s="25">
        <f>(MAX(tblMeasure[[#This Row],[src_year_last_published]]-2010+1,0)+MIN(2010-tblMeasure[[#This Row],[src_year_first_published]],0)-MAX(tblMeasure[[#This Row],[src_year_last_published]]-2019,0))/10</f>
        <v>0.9</v>
      </c>
      <c r="AM539" s="25">
        <f>IF(OR(tblMeasure[[#This Row],[src_discontinuity]]="None",tblMeasure[[#This Row],[src_discontinuity]]=0),1,0)</f>
        <v>1</v>
      </c>
      <c r="AN539" s="25">
        <f>VLOOKUP(tblMeasure[[#This Row],[src_pub_frequency]],strlu_src_pub_frequency,2,FALSE)</f>
        <v>0.5</v>
      </c>
      <c r="AO539" s="25">
        <f>VLOOKUP(tblMeasure[[#This Row],[src_pub_lag_months]],strlu_src_pub_lag_months,2,FALSE)</f>
        <v>0.1</v>
      </c>
      <c r="AP539" s="25">
        <f>VLOOKUP(tblMeasure[[#This Row],[src_statistic_class]],strlu_src_statistic_class,2,FALSE)</f>
        <v>0</v>
      </c>
      <c r="AQ539" s="25">
        <f>IF(tblMeasure[[#This Row],[src_methodology_url]]="TBD",0,1)</f>
        <v>1</v>
      </c>
      <c r="AR539" s="25">
        <f>IF(tblMeasure[[#This Row],[src_quality_url]]="TBD",0,1)</f>
        <v>0</v>
      </c>
      <c r="AS539" s="85" cm="1">
        <f t="array" ref="AS539">SUMPRODUCT(TRANSPOSE(tblMeasure[[#This Row],[str_msr_population_or_survey]:[str_src_quality_url]]),str_weights)/str_weights_total</f>
        <v>0.33846153846153848</v>
      </c>
    </row>
    <row r="540" spans="1:45" hidden="1" x14ac:dyDescent="0.15">
      <c r="A540" s="30">
        <v>538</v>
      </c>
      <c r="B540" s="32">
        <f>COUNTIF(requirement_measure_map!$D$3:$D$1514,measure!A540)</f>
        <v>0</v>
      </c>
      <c r="C540" s="30" t="s">
        <v>800</v>
      </c>
      <c r="D540" s="15" t="s">
        <v>1551</v>
      </c>
      <c r="E540" s="15" t="s">
        <v>1659</v>
      </c>
      <c r="F540" s="15" t="s">
        <v>1660</v>
      </c>
      <c r="G540" s="13" t="s">
        <v>1359</v>
      </c>
      <c r="H540" s="15"/>
      <c r="I540" s="15" t="s">
        <v>429</v>
      </c>
      <c r="J540" s="15" t="s">
        <v>1360</v>
      </c>
      <c r="K540" s="15" t="s">
        <v>1658</v>
      </c>
      <c r="L540" s="15" t="s">
        <v>233</v>
      </c>
      <c r="M540" s="15" t="s">
        <v>1362</v>
      </c>
      <c r="N540" s="15" t="s">
        <v>218</v>
      </c>
      <c r="O540" s="15" t="s">
        <v>243</v>
      </c>
      <c r="P540" s="15" t="s">
        <v>219</v>
      </c>
      <c r="Q540" s="15" t="s">
        <v>219</v>
      </c>
      <c r="R540" s="15" t="s">
        <v>219</v>
      </c>
      <c r="S540" s="15" t="s">
        <v>219</v>
      </c>
      <c r="T540" s="15" t="s">
        <v>219</v>
      </c>
      <c r="U540" s="15" t="s">
        <v>219</v>
      </c>
      <c r="V540" s="15" t="s">
        <v>219</v>
      </c>
      <c r="W540" s="15">
        <v>32</v>
      </c>
      <c r="X540" s="15" t="str">
        <f>_xlfn.XLOOKUP(tblMeasure[[#This Row],[id_src]],tblSource[id_src],tblSource[org])</f>
        <v xml:space="preserve">NIH National Institute of Ageing </v>
      </c>
      <c r="Y540" s="25" t="str">
        <f>_xlfn.XLOOKUP(tblMeasure[[#This Row],[id_src]],tblSource[id_src],tblSource[source])</f>
        <v>English Longitudinal Study of Ageing</v>
      </c>
      <c r="Z540" s="25" t="str">
        <f>_xlfn.XLOOKUP(tblMeasure[[#This Row],[id_src]],tblSource[id_src],tblSource[url_source])</f>
        <v>https://www.ifs.org.uk/uploads/ELSA_Wave_8_report.pdf</v>
      </c>
      <c r="AA540" s="25">
        <f>_xlfn.XLOOKUP(tblMeasure[[#This Row],[id_src]],tblSource[id_src],tblSource[year_first_published])</f>
        <v>2002</v>
      </c>
      <c r="AB540" s="25">
        <f>_xlfn.XLOOKUP(tblMeasure[[#This Row],[id_src]],tblSource[id_src],tblSource[year_last_published])</f>
        <v>2018</v>
      </c>
      <c r="AC540" s="25">
        <f>_xlfn.XLOOKUP(tblMeasure[[#This Row],[id_src]],tblSource[id_src],tblSource[discontinuity])</f>
        <v>0</v>
      </c>
      <c r="AD540" s="25" t="str">
        <f>_xlfn.XLOOKUP(tblMeasure[[#This Row],[id_src]],tblSource[id_src],tblSource[publication_frequency])</f>
        <v>Biennial</v>
      </c>
      <c r="AE540" s="15">
        <f>_xlfn.XLOOKUP(tblMeasure[[#This Row],[id_src]],tblSource[id_src],tblSource[publication_lag_months])</f>
        <v>10</v>
      </c>
      <c r="AF540" s="25" t="str">
        <f>_xlfn.XLOOKUP(tblMeasure[[#This Row],[id_src]],tblSource[id_src],tblSource[data_providers])</f>
        <v>UCL, IFS, Manchester University, NatCen, UEA</v>
      </c>
      <c r="AG540" s="25" t="str">
        <f>_xlfn.XLOOKUP(tblMeasure[[#This Row],[id_src]],tblSource[id_src],tblSource[statistic_class])</f>
        <v>TBD</v>
      </c>
      <c r="AH540" s="25" t="str">
        <f>_xlfn.XLOOKUP(tblMeasure[[#This Row],[id_src]],tblSource[id_src],tblSource[methodology_link])</f>
        <v>https://www.ifs.org.uk/uploads/ELSA_Wave_8_report.pdf</v>
      </c>
      <c r="AI540" s="25" t="str">
        <f>_xlfn.XLOOKUP(tblMeasure[[#This Row],[id_src]],tblSource[id_src],tblSource[quality_issues])</f>
        <v>TBD</v>
      </c>
      <c r="AJ540" s="25">
        <f>VLOOKUP(tblMeasure[[#This Row],[msr_population_or_survey]],strlu_msr_population_or_survey,2,FALSE)</f>
        <v>0</v>
      </c>
      <c r="AK540" s="25">
        <f>VLOOKUP(tblMeasure[[#This Row],[msr_min_geo_resolution]],strlu_msr_min_geo_resolution,2,FALSE)</f>
        <v>0</v>
      </c>
      <c r="AL540" s="25">
        <f>(MAX(tblMeasure[[#This Row],[src_year_last_published]]-2010+1,0)+MIN(2010-tblMeasure[[#This Row],[src_year_first_published]],0)-MAX(tblMeasure[[#This Row],[src_year_last_published]]-2019,0))/10</f>
        <v>0.9</v>
      </c>
      <c r="AM540" s="25">
        <f>IF(OR(tblMeasure[[#This Row],[src_discontinuity]]="None",tblMeasure[[#This Row],[src_discontinuity]]=0),1,0)</f>
        <v>1</v>
      </c>
      <c r="AN540" s="25">
        <f>VLOOKUP(tblMeasure[[#This Row],[src_pub_frequency]],strlu_src_pub_frequency,2,FALSE)</f>
        <v>0.5</v>
      </c>
      <c r="AO540" s="25">
        <f>VLOOKUP(tblMeasure[[#This Row],[src_pub_lag_months]],strlu_src_pub_lag_months,2,FALSE)</f>
        <v>0.1</v>
      </c>
      <c r="AP540" s="25">
        <f>VLOOKUP(tblMeasure[[#This Row],[src_statistic_class]],strlu_src_statistic_class,2,FALSE)</f>
        <v>0</v>
      </c>
      <c r="AQ540" s="25">
        <f>IF(tblMeasure[[#This Row],[src_methodology_url]]="TBD",0,1)</f>
        <v>1</v>
      </c>
      <c r="AR540" s="25">
        <f>IF(tblMeasure[[#This Row],[src_quality_url]]="TBD",0,1)</f>
        <v>0</v>
      </c>
      <c r="AS540" s="85" cm="1">
        <f t="array" ref="AS540">SUMPRODUCT(TRANSPOSE(tblMeasure[[#This Row],[str_msr_population_or_survey]:[str_src_quality_url]]),str_weights)/str_weights_total</f>
        <v>0.33846153846153848</v>
      </c>
    </row>
    <row r="541" spans="1:45" hidden="1" x14ac:dyDescent="0.15">
      <c r="A541" s="30">
        <v>539</v>
      </c>
      <c r="B541" s="32">
        <f>COUNTIF(requirement_measure_map!$D$3:$D$1514,measure!A541)</f>
        <v>0</v>
      </c>
      <c r="C541" s="30" t="s">
        <v>800</v>
      </c>
      <c r="D541" s="15" t="s">
        <v>1551</v>
      </c>
      <c r="E541" s="15" t="s">
        <v>1661</v>
      </c>
      <c r="F541" s="15" t="s">
        <v>1662</v>
      </c>
      <c r="G541" s="13" t="s">
        <v>1359</v>
      </c>
      <c r="H541" s="15"/>
      <c r="I541" s="15" t="s">
        <v>429</v>
      </c>
      <c r="J541" s="15" t="s">
        <v>1360</v>
      </c>
      <c r="K541" s="15" t="s">
        <v>1663</v>
      </c>
      <c r="L541" s="15" t="s">
        <v>233</v>
      </c>
      <c r="M541" s="15" t="s">
        <v>349</v>
      </c>
      <c r="N541" s="15" t="s">
        <v>218</v>
      </c>
      <c r="O541" s="15" t="s">
        <v>1362</v>
      </c>
      <c r="P541" s="15" t="s">
        <v>219</v>
      </c>
      <c r="Q541" s="15" t="s">
        <v>219</v>
      </c>
      <c r="R541" s="15" t="s">
        <v>219</v>
      </c>
      <c r="S541" s="15" t="s">
        <v>219</v>
      </c>
      <c r="T541" s="15" t="s">
        <v>219</v>
      </c>
      <c r="U541" s="15" t="s">
        <v>219</v>
      </c>
      <c r="V541" s="15" t="s">
        <v>219</v>
      </c>
      <c r="W541" s="15">
        <v>32</v>
      </c>
      <c r="X541" s="15" t="str">
        <f>_xlfn.XLOOKUP(tblMeasure[[#This Row],[id_src]],tblSource[id_src],tblSource[org])</f>
        <v xml:space="preserve">NIH National Institute of Ageing </v>
      </c>
      <c r="Y541" s="25" t="str">
        <f>_xlfn.XLOOKUP(tblMeasure[[#This Row],[id_src]],tblSource[id_src],tblSource[source])</f>
        <v>English Longitudinal Study of Ageing</v>
      </c>
      <c r="Z541" s="25" t="str">
        <f>_xlfn.XLOOKUP(tblMeasure[[#This Row],[id_src]],tblSource[id_src],tblSource[url_source])</f>
        <v>https://www.ifs.org.uk/uploads/ELSA_Wave_8_report.pdf</v>
      </c>
      <c r="AA541" s="25">
        <f>_xlfn.XLOOKUP(tblMeasure[[#This Row],[id_src]],tblSource[id_src],tblSource[year_first_published])</f>
        <v>2002</v>
      </c>
      <c r="AB541" s="25">
        <f>_xlfn.XLOOKUP(tblMeasure[[#This Row],[id_src]],tblSource[id_src],tblSource[year_last_published])</f>
        <v>2018</v>
      </c>
      <c r="AC541" s="25">
        <f>_xlfn.XLOOKUP(tblMeasure[[#This Row],[id_src]],tblSource[id_src],tblSource[discontinuity])</f>
        <v>0</v>
      </c>
      <c r="AD541" s="25" t="str">
        <f>_xlfn.XLOOKUP(tblMeasure[[#This Row],[id_src]],tblSource[id_src],tblSource[publication_frequency])</f>
        <v>Biennial</v>
      </c>
      <c r="AE541" s="15">
        <f>_xlfn.XLOOKUP(tblMeasure[[#This Row],[id_src]],tblSource[id_src],tblSource[publication_lag_months])</f>
        <v>10</v>
      </c>
      <c r="AF541" s="25" t="str">
        <f>_xlfn.XLOOKUP(tblMeasure[[#This Row],[id_src]],tblSource[id_src],tblSource[data_providers])</f>
        <v>UCL, IFS, Manchester University, NatCen, UEA</v>
      </c>
      <c r="AG541" s="25" t="str">
        <f>_xlfn.XLOOKUP(tblMeasure[[#This Row],[id_src]],tblSource[id_src],tblSource[statistic_class])</f>
        <v>TBD</v>
      </c>
      <c r="AH541" s="25" t="str">
        <f>_xlfn.XLOOKUP(tblMeasure[[#This Row],[id_src]],tblSource[id_src],tblSource[methodology_link])</f>
        <v>https://www.ifs.org.uk/uploads/ELSA_Wave_8_report.pdf</v>
      </c>
      <c r="AI541" s="25" t="str">
        <f>_xlfn.XLOOKUP(tblMeasure[[#This Row],[id_src]],tblSource[id_src],tblSource[quality_issues])</f>
        <v>TBD</v>
      </c>
      <c r="AJ541" s="25">
        <f>VLOOKUP(tblMeasure[[#This Row],[msr_population_or_survey]],strlu_msr_population_or_survey,2,FALSE)</f>
        <v>0</v>
      </c>
      <c r="AK541" s="25">
        <f>VLOOKUP(tblMeasure[[#This Row],[msr_min_geo_resolution]],strlu_msr_min_geo_resolution,2,FALSE)</f>
        <v>0</v>
      </c>
      <c r="AL541" s="25">
        <f>(MAX(tblMeasure[[#This Row],[src_year_last_published]]-2010+1,0)+MIN(2010-tblMeasure[[#This Row],[src_year_first_published]],0)-MAX(tblMeasure[[#This Row],[src_year_last_published]]-2019,0))/10</f>
        <v>0.9</v>
      </c>
      <c r="AM541" s="25">
        <f>IF(OR(tblMeasure[[#This Row],[src_discontinuity]]="None",tblMeasure[[#This Row],[src_discontinuity]]=0),1,0)</f>
        <v>1</v>
      </c>
      <c r="AN541" s="25">
        <f>VLOOKUP(tblMeasure[[#This Row],[src_pub_frequency]],strlu_src_pub_frequency,2,FALSE)</f>
        <v>0.5</v>
      </c>
      <c r="AO541" s="25">
        <f>VLOOKUP(tblMeasure[[#This Row],[src_pub_lag_months]],strlu_src_pub_lag_months,2,FALSE)</f>
        <v>0.1</v>
      </c>
      <c r="AP541" s="25">
        <f>VLOOKUP(tblMeasure[[#This Row],[src_statistic_class]],strlu_src_statistic_class,2,FALSE)</f>
        <v>0</v>
      </c>
      <c r="AQ541" s="25">
        <f>IF(tblMeasure[[#This Row],[src_methodology_url]]="TBD",0,1)</f>
        <v>1</v>
      </c>
      <c r="AR541" s="25">
        <f>IF(tblMeasure[[#This Row],[src_quality_url]]="TBD",0,1)</f>
        <v>0</v>
      </c>
      <c r="AS541" s="85" cm="1">
        <f t="array" ref="AS541">SUMPRODUCT(TRANSPOSE(tblMeasure[[#This Row],[str_msr_population_or_survey]:[str_src_quality_url]]),str_weights)/str_weights_total</f>
        <v>0.33846153846153848</v>
      </c>
    </row>
    <row r="542" spans="1:45" hidden="1" x14ac:dyDescent="0.15">
      <c r="A542" s="30">
        <v>540</v>
      </c>
      <c r="B542" s="32">
        <f>COUNTIF(requirement_measure_map!$D$3:$D$1514,measure!A542)</f>
        <v>0</v>
      </c>
      <c r="C542" s="30" t="s">
        <v>800</v>
      </c>
      <c r="D542" s="15" t="s">
        <v>1551</v>
      </c>
      <c r="E542" s="15" t="s">
        <v>1664</v>
      </c>
      <c r="F542" s="15" t="s">
        <v>1665</v>
      </c>
      <c r="G542" s="13" t="s">
        <v>1359</v>
      </c>
      <c r="H542" s="15"/>
      <c r="I542" s="15" t="s">
        <v>429</v>
      </c>
      <c r="J542" s="15" t="s">
        <v>1360</v>
      </c>
      <c r="K542" s="15" t="s">
        <v>1663</v>
      </c>
      <c r="L542" s="15" t="s">
        <v>233</v>
      </c>
      <c r="M542" s="15" t="s">
        <v>1362</v>
      </c>
      <c r="N542" s="15" t="s">
        <v>218</v>
      </c>
      <c r="O542" s="15" t="s">
        <v>243</v>
      </c>
      <c r="P542" s="15" t="s">
        <v>219</v>
      </c>
      <c r="Q542" s="15" t="s">
        <v>219</v>
      </c>
      <c r="R542" s="15" t="s">
        <v>219</v>
      </c>
      <c r="S542" s="15" t="s">
        <v>219</v>
      </c>
      <c r="T542" s="15" t="s">
        <v>219</v>
      </c>
      <c r="U542" s="15" t="s">
        <v>219</v>
      </c>
      <c r="V542" s="15" t="s">
        <v>219</v>
      </c>
      <c r="W542" s="15">
        <v>32</v>
      </c>
      <c r="X542" s="15" t="str">
        <f>_xlfn.XLOOKUP(tblMeasure[[#This Row],[id_src]],tblSource[id_src],tblSource[org])</f>
        <v xml:space="preserve">NIH National Institute of Ageing </v>
      </c>
      <c r="Y542" s="25" t="str">
        <f>_xlfn.XLOOKUP(tblMeasure[[#This Row],[id_src]],tblSource[id_src],tblSource[source])</f>
        <v>English Longitudinal Study of Ageing</v>
      </c>
      <c r="Z542" s="25" t="str">
        <f>_xlfn.XLOOKUP(tblMeasure[[#This Row],[id_src]],tblSource[id_src],tblSource[url_source])</f>
        <v>https://www.ifs.org.uk/uploads/ELSA_Wave_8_report.pdf</v>
      </c>
      <c r="AA542" s="25">
        <f>_xlfn.XLOOKUP(tblMeasure[[#This Row],[id_src]],tblSource[id_src],tblSource[year_first_published])</f>
        <v>2002</v>
      </c>
      <c r="AB542" s="25">
        <f>_xlfn.XLOOKUP(tblMeasure[[#This Row],[id_src]],tblSource[id_src],tblSource[year_last_published])</f>
        <v>2018</v>
      </c>
      <c r="AC542" s="25">
        <f>_xlfn.XLOOKUP(tblMeasure[[#This Row],[id_src]],tblSource[id_src],tblSource[discontinuity])</f>
        <v>0</v>
      </c>
      <c r="AD542" s="25" t="str">
        <f>_xlfn.XLOOKUP(tblMeasure[[#This Row],[id_src]],tblSource[id_src],tblSource[publication_frequency])</f>
        <v>Biennial</v>
      </c>
      <c r="AE542" s="15">
        <f>_xlfn.XLOOKUP(tblMeasure[[#This Row],[id_src]],tblSource[id_src],tblSource[publication_lag_months])</f>
        <v>10</v>
      </c>
      <c r="AF542" s="25" t="str">
        <f>_xlfn.XLOOKUP(tblMeasure[[#This Row],[id_src]],tblSource[id_src],tblSource[data_providers])</f>
        <v>UCL, IFS, Manchester University, NatCen, UEA</v>
      </c>
      <c r="AG542" s="25" t="str">
        <f>_xlfn.XLOOKUP(tblMeasure[[#This Row],[id_src]],tblSource[id_src],tblSource[statistic_class])</f>
        <v>TBD</v>
      </c>
      <c r="AH542" s="25" t="str">
        <f>_xlfn.XLOOKUP(tblMeasure[[#This Row],[id_src]],tblSource[id_src],tblSource[methodology_link])</f>
        <v>https://www.ifs.org.uk/uploads/ELSA_Wave_8_report.pdf</v>
      </c>
      <c r="AI542" s="25" t="str">
        <f>_xlfn.XLOOKUP(tblMeasure[[#This Row],[id_src]],tblSource[id_src],tblSource[quality_issues])</f>
        <v>TBD</v>
      </c>
      <c r="AJ542" s="25">
        <f>VLOOKUP(tblMeasure[[#This Row],[msr_population_or_survey]],strlu_msr_population_or_survey,2,FALSE)</f>
        <v>0</v>
      </c>
      <c r="AK542" s="25">
        <f>VLOOKUP(tblMeasure[[#This Row],[msr_min_geo_resolution]],strlu_msr_min_geo_resolution,2,FALSE)</f>
        <v>0</v>
      </c>
      <c r="AL542" s="25">
        <f>(MAX(tblMeasure[[#This Row],[src_year_last_published]]-2010+1,0)+MIN(2010-tblMeasure[[#This Row],[src_year_first_published]],0)-MAX(tblMeasure[[#This Row],[src_year_last_published]]-2019,0))/10</f>
        <v>0.9</v>
      </c>
      <c r="AM542" s="25">
        <f>IF(OR(tblMeasure[[#This Row],[src_discontinuity]]="None",tblMeasure[[#This Row],[src_discontinuity]]=0),1,0)</f>
        <v>1</v>
      </c>
      <c r="AN542" s="25">
        <f>VLOOKUP(tblMeasure[[#This Row],[src_pub_frequency]],strlu_src_pub_frequency,2,FALSE)</f>
        <v>0.5</v>
      </c>
      <c r="AO542" s="25">
        <f>VLOOKUP(tblMeasure[[#This Row],[src_pub_lag_months]],strlu_src_pub_lag_months,2,FALSE)</f>
        <v>0.1</v>
      </c>
      <c r="AP542" s="25">
        <f>VLOOKUP(tblMeasure[[#This Row],[src_statistic_class]],strlu_src_statistic_class,2,FALSE)</f>
        <v>0</v>
      </c>
      <c r="AQ542" s="25">
        <f>IF(tblMeasure[[#This Row],[src_methodology_url]]="TBD",0,1)</f>
        <v>1</v>
      </c>
      <c r="AR542" s="25">
        <f>IF(tblMeasure[[#This Row],[src_quality_url]]="TBD",0,1)</f>
        <v>0</v>
      </c>
      <c r="AS542" s="85" cm="1">
        <f t="array" ref="AS542">SUMPRODUCT(TRANSPOSE(tblMeasure[[#This Row],[str_msr_population_or_survey]:[str_src_quality_url]]),str_weights)/str_weights_total</f>
        <v>0.33846153846153848</v>
      </c>
    </row>
    <row r="543" spans="1:45" hidden="1" x14ac:dyDescent="0.15">
      <c r="A543" s="30">
        <v>541</v>
      </c>
      <c r="B543" s="32">
        <f>COUNTIF(requirement_measure_map!$D$3:$D$1514,measure!A543)</f>
        <v>0</v>
      </c>
      <c r="C543" s="30" t="s">
        <v>800</v>
      </c>
      <c r="D543" s="15" t="s">
        <v>1551</v>
      </c>
      <c r="E543" s="15" t="s">
        <v>1666</v>
      </c>
      <c r="F543" s="15" t="s">
        <v>1667</v>
      </c>
      <c r="G543" s="13" t="s">
        <v>1359</v>
      </c>
      <c r="H543" s="15"/>
      <c r="I543" s="15" t="s">
        <v>429</v>
      </c>
      <c r="J543" s="15" t="s">
        <v>1360</v>
      </c>
      <c r="K543" s="15" t="s">
        <v>1668</v>
      </c>
      <c r="L543" s="15" t="s">
        <v>233</v>
      </c>
      <c r="M543" s="15" t="s">
        <v>349</v>
      </c>
      <c r="N543" s="15" t="s">
        <v>218</v>
      </c>
      <c r="O543" s="15" t="s">
        <v>1362</v>
      </c>
      <c r="P543" s="15" t="s">
        <v>219</v>
      </c>
      <c r="Q543" s="15" t="s">
        <v>219</v>
      </c>
      <c r="R543" s="15" t="s">
        <v>219</v>
      </c>
      <c r="S543" s="15" t="s">
        <v>219</v>
      </c>
      <c r="T543" s="15" t="s">
        <v>219</v>
      </c>
      <c r="U543" s="15" t="s">
        <v>219</v>
      </c>
      <c r="V543" s="15" t="s">
        <v>219</v>
      </c>
      <c r="W543" s="15">
        <v>32</v>
      </c>
      <c r="X543" s="15" t="str">
        <f>_xlfn.XLOOKUP(tblMeasure[[#This Row],[id_src]],tblSource[id_src],tblSource[org])</f>
        <v xml:space="preserve">NIH National Institute of Ageing </v>
      </c>
      <c r="Y543" s="25" t="str">
        <f>_xlfn.XLOOKUP(tblMeasure[[#This Row],[id_src]],tblSource[id_src],tblSource[source])</f>
        <v>English Longitudinal Study of Ageing</v>
      </c>
      <c r="Z543" s="25" t="str">
        <f>_xlfn.XLOOKUP(tblMeasure[[#This Row],[id_src]],tblSource[id_src],tblSource[url_source])</f>
        <v>https://www.ifs.org.uk/uploads/ELSA_Wave_8_report.pdf</v>
      </c>
      <c r="AA543" s="25">
        <f>_xlfn.XLOOKUP(tblMeasure[[#This Row],[id_src]],tblSource[id_src],tblSource[year_first_published])</f>
        <v>2002</v>
      </c>
      <c r="AB543" s="25">
        <f>_xlfn.XLOOKUP(tblMeasure[[#This Row],[id_src]],tblSource[id_src],tblSource[year_last_published])</f>
        <v>2018</v>
      </c>
      <c r="AC543" s="25">
        <f>_xlfn.XLOOKUP(tblMeasure[[#This Row],[id_src]],tblSource[id_src],tblSource[discontinuity])</f>
        <v>0</v>
      </c>
      <c r="AD543" s="25" t="str">
        <f>_xlfn.XLOOKUP(tblMeasure[[#This Row],[id_src]],tblSource[id_src],tblSource[publication_frequency])</f>
        <v>Biennial</v>
      </c>
      <c r="AE543" s="15">
        <f>_xlfn.XLOOKUP(tblMeasure[[#This Row],[id_src]],tblSource[id_src],tblSource[publication_lag_months])</f>
        <v>10</v>
      </c>
      <c r="AF543" s="25" t="str">
        <f>_xlfn.XLOOKUP(tblMeasure[[#This Row],[id_src]],tblSource[id_src],tblSource[data_providers])</f>
        <v>UCL, IFS, Manchester University, NatCen, UEA</v>
      </c>
      <c r="AG543" s="25" t="str">
        <f>_xlfn.XLOOKUP(tblMeasure[[#This Row],[id_src]],tblSource[id_src],tblSource[statistic_class])</f>
        <v>TBD</v>
      </c>
      <c r="AH543" s="25" t="str">
        <f>_xlfn.XLOOKUP(tblMeasure[[#This Row],[id_src]],tblSource[id_src],tblSource[methodology_link])</f>
        <v>https://www.ifs.org.uk/uploads/ELSA_Wave_8_report.pdf</v>
      </c>
      <c r="AI543" s="25" t="str">
        <f>_xlfn.XLOOKUP(tblMeasure[[#This Row],[id_src]],tblSource[id_src],tblSource[quality_issues])</f>
        <v>TBD</v>
      </c>
      <c r="AJ543" s="25">
        <f>VLOOKUP(tblMeasure[[#This Row],[msr_population_or_survey]],strlu_msr_population_or_survey,2,FALSE)</f>
        <v>0</v>
      </c>
      <c r="AK543" s="25">
        <f>VLOOKUP(tblMeasure[[#This Row],[msr_min_geo_resolution]],strlu_msr_min_geo_resolution,2,FALSE)</f>
        <v>0</v>
      </c>
      <c r="AL543" s="25">
        <f>(MAX(tblMeasure[[#This Row],[src_year_last_published]]-2010+1,0)+MIN(2010-tblMeasure[[#This Row],[src_year_first_published]],0)-MAX(tblMeasure[[#This Row],[src_year_last_published]]-2019,0))/10</f>
        <v>0.9</v>
      </c>
      <c r="AM543" s="25">
        <f>IF(OR(tblMeasure[[#This Row],[src_discontinuity]]="None",tblMeasure[[#This Row],[src_discontinuity]]=0),1,0)</f>
        <v>1</v>
      </c>
      <c r="AN543" s="25">
        <f>VLOOKUP(tblMeasure[[#This Row],[src_pub_frequency]],strlu_src_pub_frequency,2,FALSE)</f>
        <v>0.5</v>
      </c>
      <c r="AO543" s="25">
        <f>VLOOKUP(tblMeasure[[#This Row],[src_pub_lag_months]],strlu_src_pub_lag_months,2,FALSE)</f>
        <v>0.1</v>
      </c>
      <c r="AP543" s="25">
        <f>VLOOKUP(tblMeasure[[#This Row],[src_statistic_class]],strlu_src_statistic_class,2,FALSE)</f>
        <v>0</v>
      </c>
      <c r="AQ543" s="25">
        <f>IF(tblMeasure[[#This Row],[src_methodology_url]]="TBD",0,1)</f>
        <v>1</v>
      </c>
      <c r="AR543" s="25">
        <f>IF(tblMeasure[[#This Row],[src_quality_url]]="TBD",0,1)</f>
        <v>0</v>
      </c>
      <c r="AS543" s="85" cm="1">
        <f t="array" ref="AS543">SUMPRODUCT(TRANSPOSE(tblMeasure[[#This Row],[str_msr_population_or_survey]:[str_src_quality_url]]),str_weights)/str_weights_total</f>
        <v>0.33846153846153848</v>
      </c>
    </row>
    <row r="544" spans="1:45" hidden="1" x14ac:dyDescent="0.15">
      <c r="A544" s="30">
        <v>542</v>
      </c>
      <c r="B544" s="32">
        <f>COUNTIF(requirement_measure_map!$D$3:$D$1514,measure!A544)</f>
        <v>0</v>
      </c>
      <c r="C544" s="30" t="s">
        <v>800</v>
      </c>
      <c r="D544" s="15" t="s">
        <v>1551</v>
      </c>
      <c r="E544" s="15" t="s">
        <v>1669</v>
      </c>
      <c r="F544" s="15" t="s">
        <v>1670</v>
      </c>
      <c r="G544" s="13" t="s">
        <v>1359</v>
      </c>
      <c r="H544" s="15"/>
      <c r="I544" s="15" t="s">
        <v>429</v>
      </c>
      <c r="J544" s="15" t="s">
        <v>1360</v>
      </c>
      <c r="K544" s="15" t="s">
        <v>1668</v>
      </c>
      <c r="L544" s="15" t="s">
        <v>233</v>
      </c>
      <c r="M544" s="15" t="s">
        <v>1362</v>
      </c>
      <c r="N544" s="15" t="s">
        <v>218</v>
      </c>
      <c r="O544" s="15" t="s">
        <v>243</v>
      </c>
      <c r="P544" s="15" t="s">
        <v>219</v>
      </c>
      <c r="Q544" s="15" t="s">
        <v>219</v>
      </c>
      <c r="R544" s="15" t="s">
        <v>219</v>
      </c>
      <c r="S544" s="15" t="s">
        <v>219</v>
      </c>
      <c r="T544" s="15" t="s">
        <v>219</v>
      </c>
      <c r="U544" s="15" t="s">
        <v>219</v>
      </c>
      <c r="V544" s="15" t="s">
        <v>219</v>
      </c>
      <c r="W544" s="15">
        <v>32</v>
      </c>
      <c r="X544" s="15" t="str">
        <f>_xlfn.XLOOKUP(tblMeasure[[#This Row],[id_src]],tblSource[id_src],tblSource[org])</f>
        <v xml:space="preserve">NIH National Institute of Ageing </v>
      </c>
      <c r="Y544" s="25" t="str">
        <f>_xlfn.XLOOKUP(tblMeasure[[#This Row],[id_src]],tblSource[id_src],tblSource[source])</f>
        <v>English Longitudinal Study of Ageing</v>
      </c>
      <c r="Z544" s="25" t="str">
        <f>_xlfn.XLOOKUP(tblMeasure[[#This Row],[id_src]],tblSource[id_src],tblSource[url_source])</f>
        <v>https://www.ifs.org.uk/uploads/ELSA_Wave_8_report.pdf</v>
      </c>
      <c r="AA544" s="25">
        <f>_xlfn.XLOOKUP(tblMeasure[[#This Row],[id_src]],tblSource[id_src],tblSource[year_first_published])</f>
        <v>2002</v>
      </c>
      <c r="AB544" s="25">
        <f>_xlfn.XLOOKUP(tblMeasure[[#This Row],[id_src]],tblSource[id_src],tblSource[year_last_published])</f>
        <v>2018</v>
      </c>
      <c r="AC544" s="25">
        <f>_xlfn.XLOOKUP(tblMeasure[[#This Row],[id_src]],tblSource[id_src],tblSource[discontinuity])</f>
        <v>0</v>
      </c>
      <c r="AD544" s="25" t="str">
        <f>_xlfn.XLOOKUP(tblMeasure[[#This Row],[id_src]],tblSource[id_src],tblSource[publication_frequency])</f>
        <v>Biennial</v>
      </c>
      <c r="AE544" s="15">
        <f>_xlfn.XLOOKUP(tblMeasure[[#This Row],[id_src]],tblSource[id_src],tblSource[publication_lag_months])</f>
        <v>10</v>
      </c>
      <c r="AF544" s="25" t="str">
        <f>_xlfn.XLOOKUP(tblMeasure[[#This Row],[id_src]],tblSource[id_src],tblSource[data_providers])</f>
        <v>UCL, IFS, Manchester University, NatCen, UEA</v>
      </c>
      <c r="AG544" s="25" t="str">
        <f>_xlfn.XLOOKUP(tblMeasure[[#This Row],[id_src]],tblSource[id_src],tblSource[statistic_class])</f>
        <v>TBD</v>
      </c>
      <c r="AH544" s="25" t="str">
        <f>_xlfn.XLOOKUP(tblMeasure[[#This Row],[id_src]],tblSource[id_src],tblSource[methodology_link])</f>
        <v>https://www.ifs.org.uk/uploads/ELSA_Wave_8_report.pdf</v>
      </c>
      <c r="AI544" s="25" t="str">
        <f>_xlfn.XLOOKUP(tblMeasure[[#This Row],[id_src]],tblSource[id_src],tblSource[quality_issues])</f>
        <v>TBD</v>
      </c>
      <c r="AJ544" s="25">
        <f>VLOOKUP(tblMeasure[[#This Row],[msr_population_or_survey]],strlu_msr_population_or_survey,2,FALSE)</f>
        <v>0</v>
      </c>
      <c r="AK544" s="25">
        <f>VLOOKUP(tblMeasure[[#This Row],[msr_min_geo_resolution]],strlu_msr_min_geo_resolution,2,FALSE)</f>
        <v>0</v>
      </c>
      <c r="AL544" s="25">
        <f>(MAX(tblMeasure[[#This Row],[src_year_last_published]]-2010+1,0)+MIN(2010-tblMeasure[[#This Row],[src_year_first_published]],0)-MAX(tblMeasure[[#This Row],[src_year_last_published]]-2019,0))/10</f>
        <v>0.9</v>
      </c>
      <c r="AM544" s="25">
        <f>IF(OR(tblMeasure[[#This Row],[src_discontinuity]]="None",tblMeasure[[#This Row],[src_discontinuity]]=0),1,0)</f>
        <v>1</v>
      </c>
      <c r="AN544" s="25">
        <f>VLOOKUP(tblMeasure[[#This Row],[src_pub_frequency]],strlu_src_pub_frequency,2,FALSE)</f>
        <v>0.5</v>
      </c>
      <c r="AO544" s="25">
        <f>VLOOKUP(tblMeasure[[#This Row],[src_pub_lag_months]],strlu_src_pub_lag_months,2,FALSE)</f>
        <v>0.1</v>
      </c>
      <c r="AP544" s="25">
        <f>VLOOKUP(tblMeasure[[#This Row],[src_statistic_class]],strlu_src_statistic_class,2,FALSE)</f>
        <v>0</v>
      </c>
      <c r="AQ544" s="25">
        <f>IF(tblMeasure[[#This Row],[src_methodology_url]]="TBD",0,1)</f>
        <v>1</v>
      </c>
      <c r="AR544" s="25">
        <f>IF(tblMeasure[[#This Row],[src_quality_url]]="TBD",0,1)</f>
        <v>0</v>
      </c>
      <c r="AS544" s="85" cm="1">
        <f t="array" ref="AS544">SUMPRODUCT(TRANSPOSE(tblMeasure[[#This Row],[str_msr_population_or_survey]:[str_src_quality_url]]),str_weights)/str_weights_total</f>
        <v>0.33846153846153848</v>
      </c>
    </row>
    <row r="545" spans="1:45" hidden="1" x14ac:dyDescent="0.15">
      <c r="A545" s="30">
        <v>543</v>
      </c>
      <c r="B545" s="32">
        <f>COUNTIF(requirement_measure_map!$D$3:$D$1514,measure!A545)</f>
        <v>0</v>
      </c>
      <c r="C545" s="30" t="s">
        <v>800</v>
      </c>
      <c r="D545" s="15" t="s">
        <v>1551</v>
      </c>
      <c r="E545" s="15" t="s">
        <v>1671</v>
      </c>
      <c r="F545" s="15" t="s">
        <v>1672</v>
      </c>
      <c r="G545" s="13" t="s">
        <v>1359</v>
      </c>
      <c r="H545" s="15"/>
      <c r="I545" s="15" t="s">
        <v>429</v>
      </c>
      <c r="J545" s="15" t="s">
        <v>1360</v>
      </c>
      <c r="K545" s="15" t="s">
        <v>1673</v>
      </c>
      <c r="L545" s="15" t="s">
        <v>233</v>
      </c>
      <c r="M545" s="15" t="s">
        <v>349</v>
      </c>
      <c r="N545" s="15" t="s">
        <v>218</v>
      </c>
      <c r="O545" s="15" t="s">
        <v>1362</v>
      </c>
      <c r="P545" s="15" t="s">
        <v>219</v>
      </c>
      <c r="Q545" s="15" t="s">
        <v>219</v>
      </c>
      <c r="R545" s="15" t="s">
        <v>219</v>
      </c>
      <c r="S545" s="15" t="s">
        <v>219</v>
      </c>
      <c r="T545" s="15" t="s">
        <v>219</v>
      </c>
      <c r="U545" s="15" t="s">
        <v>219</v>
      </c>
      <c r="V545" s="15" t="s">
        <v>219</v>
      </c>
      <c r="W545" s="15">
        <v>32</v>
      </c>
      <c r="X545" s="15" t="str">
        <f>_xlfn.XLOOKUP(tblMeasure[[#This Row],[id_src]],tblSource[id_src],tblSource[org])</f>
        <v xml:space="preserve">NIH National Institute of Ageing </v>
      </c>
      <c r="Y545" s="25" t="str">
        <f>_xlfn.XLOOKUP(tblMeasure[[#This Row],[id_src]],tblSource[id_src],tblSource[source])</f>
        <v>English Longitudinal Study of Ageing</v>
      </c>
      <c r="Z545" s="25" t="str">
        <f>_xlfn.XLOOKUP(tblMeasure[[#This Row],[id_src]],tblSource[id_src],tblSource[url_source])</f>
        <v>https://www.ifs.org.uk/uploads/ELSA_Wave_8_report.pdf</v>
      </c>
      <c r="AA545" s="25">
        <f>_xlfn.XLOOKUP(tblMeasure[[#This Row],[id_src]],tblSource[id_src],tblSource[year_first_published])</f>
        <v>2002</v>
      </c>
      <c r="AB545" s="25">
        <f>_xlfn.XLOOKUP(tblMeasure[[#This Row],[id_src]],tblSource[id_src],tblSource[year_last_published])</f>
        <v>2018</v>
      </c>
      <c r="AC545" s="25">
        <f>_xlfn.XLOOKUP(tblMeasure[[#This Row],[id_src]],tblSource[id_src],tblSource[discontinuity])</f>
        <v>0</v>
      </c>
      <c r="AD545" s="25" t="str">
        <f>_xlfn.XLOOKUP(tblMeasure[[#This Row],[id_src]],tblSource[id_src],tblSource[publication_frequency])</f>
        <v>Biennial</v>
      </c>
      <c r="AE545" s="15">
        <f>_xlfn.XLOOKUP(tblMeasure[[#This Row],[id_src]],tblSource[id_src],tblSource[publication_lag_months])</f>
        <v>10</v>
      </c>
      <c r="AF545" s="25" t="str">
        <f>_xlfn.XLOOKUP(tblMeasure[[#This Row],[id_src]],tblSource[id_src],tblSource[data_providers])</f>
        <v>UCL, IFS, Manchester University, NatCen, UEA</v>
      </c>
      <c r="AG545" s="25" t="str">
        <f>_xlfn.XLOOKUP(tblMeasure[[#This Row],[id_src]],tblSource[id_src],tblSource[statistic_class])</f>
        <v>TBD</v>
      </c>
      <c r="AH545" s="25" t="str">
        <f>_xlfn.XLOOKUP(tblMeasure[[#This Row],[id_src]],tblSource[id_src],tblSource[methodology_link])</f>
        <v>https://www.ifs.org.uk/uploads/ELSA_Wave_8_report.pdf</v>
      </c>
      <c r="AI545" s="25" t="str">
        <f>_xlfn.XLOOKUP(tblMeasure[[#This Row],[id_src]],tblSource[id_src],tblSource[quality_issues])</f>
        <v>TBD</v>
      </c>
      <c r="AJ545" s="25">
        <f>VLOOKUP(tblMeasure[[#This Row],[msr_population_or_survey]],strlu_msr_population_or_survey,2,FALSE)</f>
        <v>0</v>
      </c>
      <c r="AK545" s="25">
        <f>VLOOKUP(tblMeasure[[#This Row],[msr_min_geo_resolution]],strlu_msr_min_geo_resolution,2,FALSE)</f>
        <v>0</v>
      </c>
      <c r="AL545" s="25">
        <f>(MAX(tblMeasure[[#This Row],[src_year_last_published]]-2010+1,0)+MIN(2010-tblMeasure[[#This Row],[src_year_first_published]],0)-MAX(tblMeasure[[#This Row],[src_year_last_published]]-2019,0))/10</f>
        <v>0.9</v>
      </c>
      <c r="AM545" s="25">
        <f>IF(OR(tblMeasure[[#This Row],[src_discontinuity]]="None",tblMeasure[[#This Row],[src_discontinuity]]=0),1,0)</f>
        <v>1</v>
      </c>
      <c r="AN545" s="25">
        <f>VLOOKUP(tblMeasure[[#This Row],[src_pub_frequency]],strlu_src_pub_frequency,2,FALSE)</f>
        <v>0.5</v>
      </c>
      <c r="AO545" s="25">
        <f>VLOOKUP(tblMeasure[[#This Row],[src_pub_lag_months]],strlu_src_pub_lag_months,2,FALSE)</f>
        <v>0.1</v>
      </c>
      <c r="AP545" s="25">
        <f>VLOOKUP(tblMeasure[[#This Row],[src_statistic_class]],strlu_src_statistic_class,2,FALSE)</f>
        <v>0</v>
      </c>
      <c r="AQ545" s="25">
        <f>IF(tblMeasure[[#This Row],[src_methodology_url]]="TBD",0,1)</f>
        <v>1</v>
      </c>
      <c r="AR545" s="25">
        <f>IF(tblMeasure[[#This Row],[src_quality_url]]="TBD",0,1)</f>
        <v>0</v>
      </c>
      <c r="AS545" s="85" cm="1">
        <f t="array" ref="AS545">SUMPRODUCT(TRANSPOSE(tblMeasure[[#This Row],[str_msr_population_or_survey]:[str_src_quality_url]]),str_weights)/str_weights_total</f>
        <v>0.33846153846153848</v>
      </c>
    </row>
    <row r="546" spans="1:45" hidden="1" x14ac:dyDescent="0.15">
      <c r="A546" s="30">
        <v>544</v>
      </c>
      <c r="B546" s="32">
        <f>COUNTIF(requirement_measure_map!$D$3:$D$1514,measure!A546)</f>
        <v>0</v>
      </c>
      <c r="C546" s="30" t="s">
        <v>800</v>
      </c>
      <c r="D546" s="15" t="s">
        <v>1551</v>
      </c>
      <c r="E546" s="15" t="s">
        <v>1674</v>
      </c>
      <c r="F546" s="15" t="s">
        <v>1675</v>
      </c>
      <c r="G546" s="13" t="s">
        <v>1359</v>
      </c>
      <c r="H546" s="15"/>
      <c r="I546" s="15" t="s">
        <v>429</v>
      </c>
      <c r="J546" s="15" t="s">
        <v>1360</v>
      </c>
      <c r="K546" s="15" t="s">
        <v>1673</v>
      </c>
      <c r="L546" s="15" t="s">
        <v>233</v>
      </c>
      <c r="M546" s="15" t="s">
        <v>1362</v>
      </c>
      <c r="N546" s="15" t="s">
        <v>218</v>
      </c>
      <c r="O546" s="15" t="s">
        <v>243</v>
      </c>
      <c r="P546" s="15" t="s">
        <v>219</v>
      </c>
      <c r="Q546" s="15" t="s">
        <v>219</v>
      </c>
      <c r="R546" s="15" t="s">
        <v>219</v>
      </c>
      <c r="S546" s="15" t="s">
        <v>219</v>
      </c>
      <c r="T546" s="15" t="s">
        <v>219</v>
      </c>
      <c r="U546" s="15" t="s">
        <v>219</v>
      </c>
      <c r="V546" s="15" t="s">
        <v>219</v>
      </c>
      <c r="W546" s="15">
        <v>32</v>
      </c>
      <c r="X546" s="15" t="str">
        <f>_xlfn.XLOOKUP(tblMeasure[[#This Row],[id_src]],tblSource[id_src],tblSource[org])</f>
        <v xml:space="preserve">NIH National Institute of Ageing </v>
      </c>
      <c r="Y546" s="25" t="str">
        <f>_xlfn.XLOOKUP(tblMeasure[[#This Row],[id_src]],tblSource[id_src],tblSource[source])</f>
        <v>English Longitudinal Study of Ageing</v>
      </c>
      <c r="Z546" s="25" t="str">
        <f>_xlfn.XLOOKUP(tblMeasure[[#This Row],[id_src]],tblSource[id_src],tblSource[url_source])</f>
        <v>https://www.ifs.org.uk/uploads/ELSA_Wave_8_report.pdf</v>
      </c>
      <c r="AA546" s="25">
        <f>_xlfn.XLOOKUP(tblMeasure[[#This Row],[id_src]],tblSource[id_src],tblSource[year_first_published])</f>
        <v>2002</v>
      </c>
      <c r="AB546" s="25">
        <f>_xlfn.XLOOKUP(tblMeasure[[#This Row],[id_src]],tblSource[id_src],tblSource[year_last_published])</f>
        <v>2018</v>
      </c>
      <c r="AC546" s="25">
        <f>_xlfn.XLOOKUP(tblMeasure[[#This Row],[id_src]],tblSource[id_src],tblSource[discontinuity])</f>
        <v>0</v>
      </c>
      <c r="AD546" s="25" t="str">
        <f>_xlfn.XLOOKUP(tblMeasure[[#This Row],[id_src]],tblSource[id_src],tblSource[publication_frequency])</f>
        <v>Biennial</v>
      </c>
      <c r="AE546" s="15">
        <f>_xlfn.XLOOKUP(tblMeasure[[#This Row],[id_src]],tblSource[id_src],tblSource[publication_lag_months])</f>
        <v>10</v>
      </c>
      <c r="AF546" s="25" t="str">
        <f>_xlfn.XLOOKUP(tblMeasure[[#This Row],[id_src]],tblSource[id_src],tblSource[data_providers])</f>
        <v>UCL, IFS, Manchester University, NatCen, UEA</v>
      </c>
      <c r="AG546" s="25" t="str">
        <f>_xlfn.XLOOKUP(tblMeasure[[#This Row],[id_src]],tblSource[id_src],tblSource[statistic_class])</f>
        <v>TBD</v>
      </c>
      <c r="AH546" s="25" t="str">
        <f>_xlfn.XLOOKUP(tblMeasure[[#This Row],[id_src]],tblSource[id_src],tblSource[methodology_link])</f>
        <v>https://www.ifs.org.uk/uploads/ELSA_Wave_8_report.pdf</v>
      </c>
      <c r="AI546" s="25" t="str">
        <f>_xlfn.XLOOKUP(tblMeasure[[#This Row],[id_src]],tblSource[id_src],tblSource[quality_issues])</f>
        <v>TBD</v>
      </c>
      <c r="AJ546" s="25">
        <f>VLOOKUP(tblMeasure[[#This Row],[msr_population_or_survey]],strlu_msr_population_or_survey,2,FALSE)</f>
        <v>0</v>
      </c>
      <c r="AK546" s="25">
        <f>VLOOKUP(tblMeasure[[#This Row],[msr_min_geo_resolution]],strlu_msr_min_geo_resolution,2,FALSE)</f>
        <v>0</v>
      </c>
      <c r="AL546" s="25">
        <f>(MAX(tblMeasure[[#This Row],[src_year_last_published]]-2010+1,0)+MIN(2010-tblMeasure[[#This Row],[src_year_first_published]],0)-MAX(tblMeasure[[#This Row],[src_year_last_published]]-2019,0))/10</f>
        <v>0.9</v>
      </c>
      <c r="AM546" s="25">
        <f>IF(OR(tblMeasure[[#This Row],[src_discontinuity]]="None",tblMeasure[[#This Row],[src_discontinuity]]=0),1,0)</f>
        <v>1</v>
      </c>
      <c r="AN546" s="25">
        <f>VLOOKUP(tblMeasure[[#This Row],[src_pub_frequency]],strlu_src_pub_frequency,2,FALSE)</f>
        <v>0.5</v>
      </c>
      <c r="AO546" s="25">
        <f>VLOOKUP(tblMeasure[[#This Row],[src_pub_lag_months]],strlu_src_pub_lag_months,2,FALSE)</f>
        <v>0.1</v>
      </c>
      <c r="AP546" s="25">
        <f>VLOOKUP(tblMeasure[[#This Row],[src_statistic_class]],strlu_src_statistic_class,2,FALSE)</f>
        <v>0</v>
      </c>
      <c r="AQ546" s="25">
        <f>IF(tblMeasure[[#This Row],[src_methodology_url]]="TBD",0,1)</f>
        <v>1</v>
      </c>
      <c r="AR546" s="25">
        <f>IF(tblMeasure[[#This Row],[src_quality_url]]="TBD",0,1)</f>
        <v>0</v>
      </c>
      <c r="AS546" s="85" cm="1">
        <f t="array" ref="AS546">SUMPRODUCT(TRANSPOSE(tblMeasure[[#This Row],[str_msr_population_or_survey]:[str_src_quality_url]]),str_weights)/str_weights_total</f>
        <v>0.33846153846153848</v>
      </c>
    </row>
    <row r="547" spans="1:45" hidden="1" x14ac:dyDescent="0.15">
      <c r="A547" s="30">
        <v>545</v>
      </c>
      <c r="B547" s="32">
        <f>COUNTIF(requirement_measure_map!$D$3:$D$1514,measure!A547)</f>
        <v>0</v>
      </c>
      <c r="C547" s="30" t="s">
        <v>800</v>
      </c>
      <c r="D547" s="15" t="s">
        <v>1551</v>
      </c>
      <c r="E547" s="15" t="s">
        <v>1676</v>
      </c>
      <c r="F547" s="15" t="s">
        <v>1677</v>
      </c>
      <c r="G547" s="13" t="s">
        <v>1359</v>
      </c>
      <c r="H547" s="15"/>
      <c r="I547" s="15" t="s">
        <v>429</v>
      </c>
      <c r="J547" s="15" t="s">
        <v>1360</v>
      </c>
      <c r="K547" s="15" t="s">
        <v>1678</v>
      </c>
      <c r="L547" s="15" t="s">
        <v>233</v>
      </c>
      <c r="M547" s="15" t="s">
        <v>349</v>
      </c>
      <c r="N547" s="15" t="s">
        <v>218</v>
      </c>
      <c r="O547" s="15" t="s">
        <v>1362</v>
      </c>
      <c r="P547" s="15" t="s">
        <v>219</v>
      </c>
      <c r="Q547" s="15" t="s">
        <v>219</v>
      </c>
      <c r="R547" s="15" t="s">
        <v>219</v>
      </c>
      <c r="S547" s="15" t="s">
        <v>219</v>
      </c>
      <c r="T547" s="15" t="s">
        <v>219</v>
      </c>
      <c r="U547" s="15" t="s">
        <v>219</v>
      </c>
      <c r="V547" s="15" t="s">
        <v>219</v>
      </c>
      <c r="W547" s="15">
        <v>32</v>
      </c>
      <c r="X547" s="15" t="str">
        <f>_xlfn.XLOOKUP(tblMeasure[[#This Row],[id_src]],tblSource[id_src],tblSource[org])</f>
        <v xml:space="preserve">NIH National Institute of Ageing </v>
      </c>
      <c r="Y547" s="25" t="str">
        <f>_xlfn.XLOOKUP(tblMeasure[[#This Row],[id_src]],tblSource[id_src],tblSource[source])</f>
        <v>English Longitudinal Study of Ageing</v>
      </c>
      <c r="Z547" s="25" t="str">
        <f>_xlfn.XLOOKUP(tblMeasure[[#This Row],[id_src]],tblSource[id_src],tblSource[url_source])</f>
        <v>https://www.ifs.org.uk/uploads/ELSA_Wave_8_report.pdf</v>
      </c>
      <c r="AA547" s="25">
        <f>_xlfn.XLOOKUP(tblMeasure[[#This Row],[id_src]],tblSource[id_src],tblSource[year_first_published])</f>
        <v>2002</v>
      </c>
      <c r="AB547" s="25">
        <f>_xlfn.XLOOKUP(tblMeasure[[#This Row],[id_src]],tblSource[id_src],tblSource[year_last_published])</f>
        <v>2018</v>
      </c>
      <c r="AC547" s="25">
        <f>_xlfn.XLOOKUP(tblMeasure[[#This Row],[id_src]],tblSource[id_src],tblSource[discontinuity])</f>
        <v>0</v>
      </c>
      <c r="AD547" s="25" t="str">
        <f>_xlfn.XLOOKUP(tblMeasure[[#This Row],[id_src]],tblSource[id_src],tblSource[publication_frequency])</f>
        <v>Biennial</v>
      </c>
      <c r="AE547" s="15">
        <f>_xlfn.XLOOKUP(tblMeasure[[#This Row],[id_src]],tblSource[id_src],tblSource[publication_lag_months])</f>
        <v>10</v>
      </c>
      <c r="AF547" s="25" t="str">
        <f>_xlfn.XLOOKUP(tblMeasure[[#This Row],[id_src]],tblSource[id_src],tblSource[data_providers])</f>
        <v>UCL, IFS, Manchester University, NatCen, UEA</v>
      </c>
      <c r="AG547" s="25" t="str">
        <f>_xlfn.XLOOKUP(tblMeasure[[#This Row],[id_src]],tblSource[id_src],tblSource[statistic_class])</f>
        <v>TBD</v>
      </c>
      <c r="AH547" s="25" t="str">
        <f>_xlfn.XLOOKUP(tblMeasure[[#This Row],[id_src]],tblSource[id_src],tblSource[methodology_link])</f>
        <v>https://www.ifs.org.uk/uploads/ELSA_Wave_8_report.pdf</v>
      </c>
      <c r="AI547" s="25" t="str">
        <f>_xlfn.XLOOKUP(tblMeasure[[#This Row],[id_src]],tblSource[id_src],tblSource[quality_issues])</f>
        <v>TBD</v>
      </c>
      <c r="AJ547" s="25">
        <f>VLOOKUP(tblMeasure[[#This Row],[msr_population_or_survey]],strlu_msr_population_or_survey,2,FALSE)</f>
        <v>0</v>
      </c>
      <c r="AK547" s="25">
        <f>VLOOKUP(tblMeasure[[#This Row],[msr_min_geo_resolution]],strlu_msr_min_geo_resolution,2,FALSE)</f>
        <v>0</v>
      </c>
      <c r="AL547" s="25">
        <f>(MAX(tblMeasure[[#This Row],[src_year_last_published]]-2010+1,0)+MIN(2010-tblMeasure[[#This Row],[src_year_first_published]],0)-MAX(tblMeasure[[#This Row],[src_year_last_published]]-2019,0))/10</f>
        <v>0.9</v>
      </c>
      <c r="AM547" s="25">
        <f>IF(OR(tblMeasure[[#This Row],[src_discontinuity]]="None",tblMeasure[[#This Row],[src_discontinuity]]=0),1,0)</f>
        <v>1</v>
      </c>
      <c r="AN547" s="25">
        <f>VLOOKUP(tblMeasure[[#This Row],[src_pub_frequency]],strlu_src_pub_frequency,2,FALSE)</f>
        <v>0.5</v>
      </c>
      <c r="AO547" s="25">
        <f>VLOOKUP(tblMeasure[[#This Row],[src_pub_lag_months]],strlu_src_pub_lag_months,2,FALSE)</f>
        <v>0.1</v>
      </c>
      <c r="AP547" s="25">
        <f>VLOOKUP(tblMeasure[[#This Row],[src_statistic_class]],strlu_src_statistic_class,2,FALSE)</f>
        <v>0</v>
      </c>
      <c r="AQ547" s="25">
        <f>IF(tblMeasure[[#This Row],[src_methodology_url]]="TBD",0,1)</f>
        <v>1</v>
      </c>
      <c r="AR547" s="25">
        <f>IF(tblMeasure[[#This Row],[src_quality_url]]="TBD",0,1)</f>
        <v>0</v>
      </c>
      <c r="AS547" s="85" cm="1">
        <f t="array" ref="AS547">SUMPRODUCT(TRANSPOSE(tblMeasure[[#This Row],[str_msr_population_or_survey]:[str_src_quality_url]]),str_weights)/str_weights_total</f>
        <v>0.33846153846153848</v>
      </c>
    </row>
    <row r="548" spans="1:45" hidden="1" x14ac:dyDescent="0.15">
      <c r="A548" s="30">
        <v>546</v>
      </c>
      <c r="B548" s="32">
        <f>COUNTIF(requirement_measure_map!$D$3:$D$1514,measure!A548)</f>
        <v>0</v>
      </c>
      <c r="C548" s="30" t="s">
        <v>800</v>
      </c>
      <c r="D548" s="15" t="s">
        <v>1551</v>
      </c>
      <c r="E548" s="15" t="s">
        <v>1679</v>
      </c>
      <c r="F548" s="15" t="s">
        <v>1680</v>
      </c>
      <c r="G548" s="13" t="s">
        <v>1359</v>
      </c>
      <c r="H548" s="15"/>
      <c r="I548" s="15" t="s">
        <v>429</v>
      </c>
      <c r="J548" s="15" t="s">
        <v>1360</v>
      </c>
      <c r="K548" s="15" t="s">
        <v>1678</v>
      </c>
      <c r="L548" s="15" t="s">
        <v>233</v>
      </c>
      <c r="M548" s="15" t="s">
        <v>1362</v>
      </c>
      <c r="N548" s="15" t="s">
        <v>218</v>
      </c>
      <c r="O548" s="15" t="s">
        <v>243</v>
      </c>
      <c r="P548" s="15" t="s">
        <v>219</v>
      </c>
      <c r="Q548" s="15" t="s">
        <v>219</v>
      </c>
      <c r="R548" s="15" t="s">
        <v>219</v>
      </c>
      <c r="S548" s="15" t="s">
        <v>219</v>
      </c>
      <c r="T548" s="15" t="s">
        <v>219</v>
      </c>
      <c r="U548" s="15" t="s">
        <v>219</v>
      </c>
      <c r="V548" s="15" t="s">
        <v>219</v>
      </c>
      <c r="W548" s="15">
        <v>32</v>
      </c>
      <c r="X548" s="15" t="str">
        <f>_xlfn.XLOOKUP(tblMeasure[[#This Row],[id_src]],tblSource[id_src],tblSource[org])</f>
        <v xml:space="preserve">NIH National Institute of Ageing </v>
      </c>
      <c r="Y548" s="25" t="str">
        <f>_xlfn.XLOOKUP(tblMeasure[[#This Row],[id_src]],tblSource[id_src],tblSource[source])</f>
        <v>English Longitudinal Study of Ageing</v>
      </c>
      <c r="Z548" s="25" t="str">
        <f>_xlfn.XLOOKUP(tblMeasure[[#This Row],[id_src]],tblSource[id_src],tblSource[url_source])</f>
        <v>https://www.ifs.org.uk/uploads/ELSA_Wave_8_report.pdf</v>
      </c>
      <c r="AA548" s="25">
        <f>_xlfn.XLOOKUP(tblMeasure[[#This Row],[id_src]],tblSource[id_src],tblSource[year_first_published])</f>
        <v>2002</v>
      </c>
      <c r="AB548" s="25">
        <f>_xlfn.XLOOKUP(tblMeasure[[#This Row],[id_src]],tblSource[id_src],tblSource[year_last_published])</f>
        <v>2018</v>
      </c>
      <c r="AC548" s="25">
        <f>_xlfn.XLOOKUP(tblMeasure[[#This Row],[id_src]],tblSource[id_src],tblSource[discontinuity])</f>
        <v>0</v>
      </c>
      <c r="AD548" s="25" t="str">
        <f>_xlfn.XLOOKUP(tblMeasure[[#This Row],[id_src]],tblSource[id_src],tblSource[publication_frequency])</f>
        <v>Biennial</v>
      </c>
      <c r="AE548" s="15">
        <f>_xlfn.XLOOKUP(tblMeasure[[#This Row],[id_src]],tblSource[id_src],tblSource[publication_lag_months])</f>
        <v>10</v>
      </c>
      <c r="AF548" s="25" t="str">
        <f>_xlfn.XLOOKUP(tblMeasure[[#This Row],[id_src]],tblSource[id_src],tblSource[data_providers])</f>
        <v>UCL, IFS, Manchester University, NatCen, UEA</v>
      </c>
      <c r="AG548" s="25" t="str">
        <f>_xlfn.XLOOKUP(tblMeasure[[#This Row],[id_src]],tblSource[id_src],tblSource[statistic_class])</f>
        <v>TBD</v>
      </c>
      <c r="AH548" s="25" t="str">
        <f>_xlfn.XLOOKUP(tblMeasure[[#This Row],[id_src]],tblSource[id_src],tblSource[methodology_link])</f>
        <v>https://www.ifs.org.uk/uploads/ELSA_Wave_8_report.pdf</v>
      </c>
      <c r="AI548" s="25" t="str">
        <f>_xlfn.XLOOKUP(tblMeasure[[#This Row],[id_src]],tblSource[id_src],tblSource[quality_issues])</f>
        <v>TBD</v>
      </c>
      <c r="AJ548" s="25">
        <f>VLOOKUP(tblMeasure[[#This Row],[msr_population_or_survey]],strlu_msr_population_or_survey,2,FALSE)</f>
        <v>0</v>
      </c>
      <c r="AK548" s="25">
        <f>VLOOKUP(tblMeasure[[#This Row],[msr_min_geo_resolution]],strlu_msr_min_geo_resolution,2,FALSE)</f>
        <v>0</v>
      </c>
      <c r="AL548" s="25">
        <f>(MAX(tblMeasure[[#This Row],[src_year_last_published]]-2010+1,0)+MIN(2010-tblMeasure[[#This Row],[src_year_first_published]],0)-MAX(tblMeasure[[#This Row],[src_year_last_published]]-2019,0))/10</f>
        <v>0.9</v>
      </c>
      <c r="AM548" s="25">
        <f>IF(OR(tblMeasure[[#This Row],[src_discontinuity]]="None",tblMeasure[[#This Row],[src_discontinuity]]=0),1,0)</f>
        <v>1</v>
      </c>
      <c r="AN548" s="25">
        <f>VLOOKUP(tblMeasure[[#This Row],[src_pub_frequency]],strlu_src_pub_frequency,2,FALSE)</f>
        <v>0.5</v>
      </c>
      <c r="AO548" s="25">
        <f>VLOOKUP(tblMeasure[[#This Row],[src_pub_lag_months]],strlu_src_pub_lag_months,2,FALSE)</f>
        <v>0.1</v>
      </c>
      <c r="AP548" s="25">
        <f>VLOOKUP(tblMeasure[[#This Row],[src_statistic_class]],strlu_src_statistic_class,2,FALSE)</f>
        <v>0</v>
      </c>
      <c r="AQ548" s="25">
        <f>IF(tblMeasure[[#This Row],[src_methodology_url]]="TBD",0,1)</f>
        <v>1</v>
      </c>
      <c r="AR548" s="25">
        <f>IF(tblMeasure[[#This Row],[src_quality_url]]="TBD",0,1)</f>
        <v>0</v>
      </c>
      <c r="AS548" s="85" cm="1">
        <f t="array" ref="AS548">SUMPRODUCT(TRANSPOSE(tblMeasure[[#This Row],[str_msr_population_or_survey]:[str_src_quality_url]]),str_weights)/str_weights_total</f>
        <v>0.33846153846153848</v>
      </c>
    </row>
    <row r="549" spans="1:45" hidden="1" x14ac:dyDescent="0.15">
      <c r="A549" s="30">
        <v>547</v>
      </c>
      <c r="B549" s="32">
        <f>COUNTIF(requirement_measure_map!$D$3:$D$1514,measure!A549)</f>
        <v>0</v>
      </c>
      <c r="C549" s="30" t="s">
        <v>800</v>
      </c>
      <c r="D549" s="15" t="s">
        <v>1551</v>
      </c>
      <c r="E549" s="15" t="s">
        <v>1681</v>
      </c>
      <c r="F549" s="15" t="s">
        <v>1682</v>
      </c>
      <c r="G549" s="13" t="s">
        <v>1359</v>
      </c>
      <c r="H549" s="15"/>
      <c r="I549" s="15" t="s">
        <v>429</v>
      </c>
      <c r="J549" s="15" t="s">
        <v>1360</v>
      </c>
      <c r="K549" s="15" t="s">
        <v>1683</v>
      </c>
      <c r="L549" s="15" t="s">
        <v>233</v>
      </c>
      <c r="M549" s="15" t="s">
        <v>349</v>
      </c>
      <c r="N549" s="15" t="s">
        <v>218</v>
      </c>
      <c r="O549" s="15" t="s">
        <v>1362</v>
      </c>
      <c r="P549" s="15" t="s">
        <v>219</v>
      </c>
      <c r="Q549" s="15" t="s">
        <v>219</v>
      </c>
      <c r="R549" s="15" t="s">
        <v>219</v>
      </c>
      <c r="S549" s="15" t="s">
        <v>219</v>
      </c>
      <c r="T549" s="15" t="s">
        <v>219</v>
      </c>
      <c r="U549" s="15" t="s">
        <v>219</v>
      </c>
      <c r="V549" s="15" t="s">
        <v>219</v>
      </c>
      <c r="W549" s="15">
        <v>32</v>
      </c>
      <c r="X549" s="15" t="str">
        <f>_xlfn.XLOOKUP(tblMeasure[[#This Row],[id_src]],tblSource[id_src],tblSource[org])</f>
        <v xml:space="preserve">NIH National Institute of Ageing </v>
      </c>
      <c r="Y549" s="25" t="str">
        <f>_xlfn.XLOOKUP(tblMeasure[[#This Row],[id_src]],tblSource[id_src],tblSource[source])</f>
        <v>English Longitudinal Study of Ageing</v>
      </c>
      <c r="Z549" s="25" t="str">
        <f>_xlfn.XLOOKUP(tblMeasure[[#This Row],[id_src]],tblSource[id_src],tblSource[url_source])</f>
        <v>https://www.ifs.org.uk/uploads/ELSA_Wave_8_report.pdf</v>
      </c>
      <c r="AA549" s="25">
        <f>_xlfn.XLOOKUP(tblMeasure[[#This Row],[id_src]],tblSource[id_src],tblSource[year_first_published])</f>
        <v>2002</v>
      </c>
      <c r="AB549" s="25">
        <f>_xlfn.XLOOKUP(tblMeasure[[#This Row],[id_src]],tblSource[id_src],tblSource[year_last_published])</f>
        <v>2018</v>
      </c>
      <c r="AC549" s="25">
        <f>_xlfn.XLOOKUP(tblMeasure[[#This Row],[id_src]],tblSource[id_src],tblSource[discontinuity])</f>
        <v>0</v>
      </c>
      <c r="AD549" s="25" t="str">
        <f>_xlfn.XLOOKUP(tblMeasure[[#This Row],[id_src]],tblSource[id_src],tblSource[publication_frequency])</f>
        <v>Biennial</v>
      </c>
      <c r="AE549" s="15">
        <f>_xlfn.XLOOKUP(tblMeasure[[#This Row],[id_src]],tblSource[id_src],tblSource[publication_lag_months])</f>
        <v>10</v>
      </c>
      <c r="AF549" s="25" t="str">
        <f>_xlfn.XLOOKUP(tblMeasure[[#This Row],[id_src]],tblSource[id_src],tblSource[data_providers])</f>
        <v>UCL, IFS, Manchester University, NatCen, UEA</v>
      </c>
      <c r="AG549" s="25" t="str">
        <f>_xlfn.XLOOKUP(tblMeasure[[#This Row],[id_src]],tblSource[id_src],tblSource[statistic_class])</f>
        <v>TBD</v>
      </c>
      <c r="AH549" s="25" t="str">
        <f>_xlfn.XLOOKUP(tblMeasure[[#This Row],[id_src]],tblSource[id_src],tblSource[methodology_link])</f>
        <v>https://www.ifs.org.uk/uploads/ELSA_Wave_8_report.pdf</v>
      </c>
      <c r="AI549" s="25" t="str">
        <f>_xlfn.XLOOKUP(tblMeasure[[#This Row],[id_src]],tblSource[id_src],tblSource[quality_issues])</f>
        <v>TBD</v>
      </c>
      <c r="AJ549" s="25">
        <f>VLOOKUP(tblMeasure[[#This Row],[msr_population_or_survey]],strlu_msr_population_or_survey,2,FALSE)</f>
        <v>0</v>
      </c>
      <c r="AK549" s="25">
        <f>VLOOKUP(tblMeasure[[#This Row],[msr_min_geo_resolution]],strlu_msr_min_geo_resolution,2,FALSE)</f>
        <v>0</v>
      </c>
      <c r="AL549" s="25">
        <f>(MAX(tblMeasure[[#This Row],[src_year_last_published]]-2010+1,0)+MIN(2010-tblMeasure[[#This Row],[src_year_first_published]],0)-MAX(tblMeasure[[#This Row],[src_year_last_published]]-2019,0))/10</f>
        <v>0.9</v>
      </c>
      <c r="AM549" s="25">
        <f>IF(OR(tblMeasure[[#This Row],[src_discontinuity]]="None",tblMeasure[[#This Row],[src_discontinuity]]=0),1,0)</f>
        <v>1</v>
      </c>
      <c r="AN549" s="25">
        <f>VLOOKUP(tblMeasure[[#This Row],[src_pub_frequency]],strlu_src_pub_frequency,2,FALSE)</f>
        <v>0.5</v>
      </c>
      <c r="AO549" s="25">
        <f>VLOOKUP(tblMeasure[[#This Row],[src_pub_lag_months]],strlu_src_pub_lag_months,2,FALSE)</f>
        <v>0.1</v>
      </c>
      <c r="AP549" s="25">
        <f>VLOOKUP(tblMeasure[[#This Row],[src_statistic_class]],strlu_src_statistic_class,2,FALSE)</f>
        <v>0</v>
      </c>
      <c r="AQ549" s="25">
        <f>IF(tblMeasure[[#This Row],[src_methodology_url]]="TBD",0,1)</f>
        <v>1</v>
      </c>
      <c r="AR549" s="25">
        <f>IF(tblMeasure[[#This Row],[src_quality_url]]="TBD",0,1)</f>
        <v>0</v>
      </c>
      <c r="AS549" s="85" cm="1">
        <f t="array" ref="AS549">SUMPRODUCT(TRANSPOSE(tblMeasure[[#This Row],[str_msr_population_or_survey]:[str_src_quality_url]]),str_weights)/str_weights_total</f>
        <v>0.33846153846153848</v>
      </c>
    </row>
    <row r="550" spans="1:45" hidden="1" x14ac:dyDescent="0.15">
      <c r="A550" s="30">
        <v>548</v>
      </c>
      <c r="B550" s="32">
        <f>COUNTIF(requirement_measure_map!$D$3:$D$1514,measure!A550)</f>
        <v>0</v>
      </c>
      <c r="C550" s="30" t="s">
        <v>800</v>
      </c>
      <c r="D550" s="15" t="s">
        <v>1551</v>
      </c>
      <c r="E550" s="15" t="s">
        <v>1684</v>
      </c>
      <c r="F550" s="15" t="s">
        <v>1685</v>
      </c>
      <c r="G550" s="13" t="s">
        <v>1359</v>
      </c>
      <c r="H550" s="15"/>
      <c r="I550" s="15" t="s">
        <v>429</v>
      </c>
      <c r="J550" s="15" t="s">
        <v>1360</v>
      </c>
      <c r="K550" s="15" t="s">
        <v>1683</v>
      </c>
      <c r="L550" s="15" t="s">
        <v>233</v>
      </c>
      <c r="M550" s="15" t="s">
        <v>1362</v>
      </c>
      <c r="N550" s="15" t="s">
        <v>218</v>
      </c>
      <c r="O550" s="15" t="s">
        <v>243</v>
      </c>
      <c r="P550" s="15" t="s">
        <v>219</v>
      </c>
      <c r="Q550" s="15" t="s">
        <v>219</v>
      </c>
      <c r="R550" s="15" t="s">
        <v>219</v>
      </c>
      <c r="S550" s="15" t="s">
        <v>219</v>
      </c>
      <c r="T550" s="15" t="s">
        <v>219</v>
      </c>
      <c r="U550" s="15" t="s">
        <v>219</v>
      </c>
      <c r="V550" s="15" t="s">
        <v>219</v>
      </c>
      <c r="W550" s="15">
        <v>32</v>
      </c>
      <c r="X550" s="15" t="str">
        <f>_xlfn.XLOOKUP(tblMeasure[[#This Row],[id_src]],tblSource[id_src],tblSource[org])</f>
        <v xml:space="preserve">NIH National Institute of Ageing </v>
      </c>
      <c r="Y550" s="25" t="str">
        <f>_xlfn.XLOOKUP(tblMeasure[[#This Row],[id_src]],tblSource[id_src],tblSource[source])</f>
        <v>English Longitudinal Study of Ageing</v>
      </c>
      <c r="Z550" s="25" t="str">
        <f>_xlfn.XLOOKUP(tblMeasure[[#This Row],[id_src]],tblSource[id_src],tblSource[url_source])</f>
        <v>https://www.ifs.org.uk/uploads/ELSA_Wave_8_report.pdf</v>
      </c>
      <c r="AA550" s="25">
        <f>_xlfn.XLOOKUP(tblMeasure[[#This Row],[id_src]],tblSource[id_src],tblSource[year_first_published])</f>
        <v>2002</v>
      </c>
      <c r="AB550" s="25">
        <f>_xlfn.XLOOKUP(tblMeasure[[#This Row],[id_src]],tblSource[id_src],tblSource[year_last_published])</f>
        <v>2018</v>
      </c>
      <c r="AC550" s="25">
        <f>_xlfn.XLOOKUP(tblMeasure[[#This Row],[id_src]],tblSource[id_src],tblSource[discontinuity])</f>
        <v>0</v>
      </c>
      <c r="AD550" s="25" t="str">
        <f>_xlfn.XLOOKUP(tblMeasure[[#This Row],[id_src]],tblSource[id_src],tblSource[publication_frequency])</f>
        <v>Biennial</v>
      </c>
      <c r="AE550" s="15">
        <f>_xlfn.XLOOKUP(tblMeasure[[#This Row],[id_src]],tblSource[id_src],tblSource[publication_lag_months])</f>
        <v>10</v>
      </c>
      <c r="AF550" s="25" t="str">
        <f>_xlfn.XLOOKUP(tblMeasure[[#This Row],[id_src]],tblSource[id_src],tblSource[data_providers])</f>
        <v>UCL, IFS, Manchester University, NatCen, UEA</v>
      </c>
      <c r="AG550" s="25" t="str">
        <f>_xlfn.XLOOKUP(tblMeasure[[#This Row],[id_src]],tblSource[id_src],tblSource[statistic_class])</f>
        <v>TBD</v>
      </c>
      <c r="AH550" s="25" t="str">
        <f>_xlfn.XLOOKUP(tblMeasure[[#This Row],[id_src]],tblSource[id_src],tblSource[methodology_link])</f>
        <v>https://www.ifs.org.uk/uploads/ELSA_Wave_8_report.pdf</v>
      </c>
      <c r="AI550" s="25" t="str">
        <f>_xlfn.XLOOKUP(tblMeasure[[#This Row],[id_src]],tblSource[id_src],tblSource[quality_issues])</f>
        <v>TBD</v>
      </c>
      <c r="AJ550" s="25">
        <f>VLOOKUP(tblMeasure[[#This Row],[msr_population_or_survey]],strlu_msr_population_or_survey,2,FALSE)</f>
        <v>0</v>
      </c>
      <c r="AK550" s="25">
        <f>VLOOKUP(tblMeasure[[#This Row],[msr_min_geo_resolution]],strlu_msr_min_geo_resolution,2,FALSE)</f>
        <v>0</v>
      </c>
      <c r="AL550" s="25">
        <f>(MAX(tblMeasure[[#This Row],[src_year_last_published]]-2010+1,0)+MIN(2010-tblMeasure[[#This Row],[src_year_first_published]],0)-MAX(tblMeasure[[#This Row],[src_year_last_published]]-2019,0))/10</f>
        <v>0.9</v>
      </c>
      <c r="AM550" s="25">
        <f>IF(OR(tblMeasure[[#This Row],[src_discontinuity]]="None",tblMeasure[[#This Row],[src_discontinuity]]=0),1,0)</f>
        <v>1</v>
      </c>
      <c r="AN550" s="25">
        <f>VLOOKUP(tblMeasure[[#This Row],[src_pub_frequency]],strlu_src_pub_frequency,2,FALSE)</f>
        <v>0.5</v>
      </c>
      <c r="AO550" s="25">
        <f>VLOOKUP(tblMeasure[[#This Row],[src_pub_lag_months]],strlu_src_pub_lag_months,2,FALSE)</f>
        <v>0.1</v>
      </c>
      <c r="AP550" s="25">
        <f>VLOOKUP(tblMeasure[[#This Row],[src_statistic_class]],strlu_src_statistic_class,2,FALSE)</f>
        <v>0</v>
      </c>
      <c r="AQ550" s="25">
        <f>IF(tblMeasure[[#This Row],[src_methodology_url]]="TBD",0,1)</f>
        <v>1</v>
      </c>
      <c r="AR550" s="25">
        <f>IF(tblMeasure[[#This Row],[src_quality_url]]="TBD",0,1)</f>
        <v>0</v>
      </c>
      <c r="AS550" s="85" cm="1">
        <f t="array" ref="AS550">SUMPRODUCT(TRANSPOSE(tblMeasure[[#This Row],[str_msr_population_or_survey]:[str_src_quality_url]]),str_weights)/str_weights_total</f>
        <v>0.33846153846153848</v>
      </c>
    </row>
    <row r="551" spans="1:45" hidden="1" x14ac:dyDescent="0.15">
      <c r="A551" s="30">
        <v>549</v>
      </c>
      <c r="B551" s="32">
        <f>COUNTIF(requirement_measure_map!$D$3:$D$1514,measure!A551)</f>
        <v>0</v>
      </c>
      <c r="C551" s="30" t="s">
        <v>800</v>
      </c>
      <c r="D551" s="15" t="s">
        <v>1551</v>
      </c>
      <c r="E551" s="15" t="s">
        <v>1686</v>
      </c>
      <c r="F551" s="15" t="s">
        <v>1687</v>
      </c>
      <c r="G551" s="13" t="s">
        <v>1359</v>
      </c>
      <c r="H551" s="15"/>
      <c r="I551" s="15" t="s">
        <v>429</v>
      </c>
      <c r="J551" s="15" t="s">
        <v>1360</v>
      </c>
      <c r="K551" s="15" t="s">
        <v>1688</v>
      </c>
      <c r="L551" s="15" t="s">
        <v>233</v>
      </c>
      <c r="M551" s="15" t="s">
        <v>349</v>
      </c>
      <c r="N551" s="15" t="s">
        <v>218</v>
      </c>
      <c r="O551" s="15" t="s">
        <v>1362</v>
      </c>
      <c r="P551" s="15" t="s">
        <v>219</v>
      </c>
      <c r="Q551" s="15" t="s">
        <v>219</v>
      </c>
      <c r="R551" s="15" t="s">
        <v>219</v>
      </c>
      <c r="S551" s="15" t="s">
        <v>219</v>
      </c>
      <c r="T551" s="15" t="s">
        <v>219</v>
      </c>
      <c r="U551" s="15" t="s">
        <v>219</v>
      </c>
      <c r="V551" s="15" t="s">
        <v>219</v>
      </c>
      <c r="W551" s="15">
        <v>32</v>
      </c>
      <c r="X551" s="15" t="str">
        <f>_xlfn.XLOOKUP(tblMeasure[[#This Row],[id_src]],tblSource[id_src],tblSource[org])</f>
        <v xml:space="preserve">NIH National Institute of Ageing </v>
      </c>
      <c r="Y551" s="25" t="str">
        <f>_xlfn.XLOOKUP(tblMeasure[[#This Row],[id_src]],tblSource[id_src],tblSource[source])</f>
        <v>English Longitudinal Study of Ageing</v>
      </c>
      <c r="Z551" s="25" t="str">
        <f>_xlfn.XLOOKUP(tblMeasure[[#This Row],[id_src]],tblSource[id_src],tblSource[url_source])</f>
        <v>https://www.ifs.org.uk/uploads/ELSA_Wave_8_report.pdf</v>
      </c>
      <c r="AA551" s="25">
        <f>_xlfn.XLOOKUP(tblMeasure[[#This Row],[id_src]],tblSource[id_src],tblSource[year_first_published])</f>
        <v>2002</v>
      </c>
      <c r="AB551" s="25">
        <f>_xlfn.XLOOKUP(tblMeasure[[#This Row],[id_src]],tblSource[id_src],tblSource[year_last_published])</f>
        <v>2018</v>
      </c>
      <c r="AC551" s="25">
        <f>_xlfn.XLOOKUP(tblMeasure[[#This Row],[id_src]],tblSource[id_src],tblSource[discontinuity])</f>
        <v>0</v>
      </c>
      <c r="AD551" s="25" t="str">
        <f>_xlfn.XLOOKUP(tblMeasure[[#This Row],[id_src]],tblSource[id_src],tblSource[publication_frequency])</f>
        <v>Biennial</v>
      </c>
      <c r="AE551" s="15">
        <f>_xlfn.XLOOKUP(tblMeasure[[#This Row],[id_src]],tblSource[id_src],tblSource[publication_lag_months])</f>
        <v>10</v>
      </c>
      <c r="AF551" s="25" t="str">
        <f>_xlfn.XLOOKUP(tblMeasure[[#This Row],[id_src]],tblSource[id_src],tblSource[data_providers])</f>
        <v>UCL, IFS, Manchester University, NatCen, UEA</v>
      </c>
      <c r="AG551" s="25" t="str">
        <f>_xlfn.XLOOKUP(tblMeasure[[#This Row],[id_src]],tblSource[id_src],tblSource[statistic_class])</f>
        <v>TBD</v>
      </c>
      <c r="AH551" s="25" t="str">
        <f>_xlfn.XLOOKUP(tblMeasure[[#This Row],[id_src]],tblSource[id_src],tblSource[methodology_link])</f>
        <v>https://www.ifs.org.uk/uploads/ELSA_Wave_8_report.pdf</v>
      </c>
      <c r="AI551" s="25" t="str">
        <f>_xlfn.XLOOKUP(tblMeasure[[#This Row],[id_src]],tblSource[id_src],tblSource[quality_issues])</f>
        <v>TBD</v>
      </c>
      <c r="AJ551" s="25">
        <f>VLOOKUP(tblMeasure[[#This Row],[msr_population_or_survey]],strlu_msr_population_or_survey,2,FALSE)</f>
        <v>0</v>
      </c>
      <c r="AK551" s="25">
        <f>VLOOKUP(tblMeasure[[#This Row],[msr_min_geo_resolution]],strlu_msr_min_geo_resolution,2,FALSE)</f>
        <v>0</v>
      </c>
      <c r="AL551" s="25">
        <f>(MAX(tblMeasure[[#This Row],[src_year_last_published]]-2010+1,0)+MIN(2010-tblMeasure[[#This Row],[src_year_first_published]],0)-MAX(tblMeasure[[#This Row],[src_year_last_published]]-2019,0))/10</f>
        <v>0.9</v>
      </c>
      <c r="AM551" s="25">
        <f>IF(OR(tblMeasure[[#This Row],[src_discontinuity]]="None",tblMeasure[[#This Row],[src_discontinuity]]=0),1,0)</f>
        <v>1</v>
      </c>
      <c r="AN551" s="25">
        <f>VLOOKUP(tblMeasure[[#This Row],[src_pub_frequency]],strlu_src_pub_frequency,2,FALSE)</f>
        <v>0.5</v>
      </c>
      <c r="AO551" s="25">
        <f>VLOOKUP(tblMeasure[[#This Row],[src_pub_lag_months]],strlu_src_pub_lag_months,2,FALSE)</f>
        <v>0.1</v>
      </c>
      <c r="AP551" s="25">
        <f>VLOOKUP(tblMeasure[[#This Row],[src_statistic_class]],strlu_src_statistic_class,2,FALSE)</f>
        <v>0</v>
      </c>
      <c r="AQ551" s="25">
        <f>IF(tblMeasure[[#This Row],[src_methodology_url]]="TBD",0,1)</f>
        <v>1</v>
      </c>
      <c r="AR551" s="25">
        <f>IF(tblMeasure[[#This Row],[src_quality_url]]="TBD",0,1)</f>
        <v>0</v>
      </c>
      <c r="AS551" s="85" cm="1">
        <f t="array" ref="AS551">SUMPRODUCT(TRANSPOSE(tblMeasure[[#This Row],[str_msr_population_or_survey]:[str_src_quality_url]]),str_weights)/str_weights_total</f>
        <v>0.33846153846153848</v>
      </c>
    </row>
    <row r="552" spans="1:45" hidden="1" x14ac:dyDescent="0.15">
      <c r="A552" s="30">
        <v>550</v>
      </c>
      <c r="B552" s="32">
        <f>COUNTIF(requirement_measure_map!$D$3:$D$1514,measure!A552)</f>
        <v>0</v>
      </c>
      <c r="C552" s="30" t="s">
        <v>800</v>
      </c>
      <c r="D552" s="15" t="s">
        <v>1551</v>
      </c>
      <c r="E552" s="15" t="s">
        <v>1689</v>
      </c>
      <c r="F552" s="15" t="s">
        <v>1690</v>
      </c>
      <c r="G552" s="13" t="s">
        <v>1359</v>
      </c>
      <c r="H552" s="15"/>
      <c r="I552" s="15" t="s">
        <v>429</v>
      </c>
      <c r="J552" s="15" t="s">
        <v>1360</v>
      </c>
      <c r="K552" s="15" t="s">
        <v>1688</v>
      </c>
      <c r="L552" s="15" t="s">
        <v>233</v>
      </c>
      <c r="M552" s="15" t="s">
        <v>1362</v>
      </c>
      <c r="N552" s="15" t="s">
        <v>218</v>
      </c>
      <c r="O552" s="15" t="s">
        <v>243</v>
      </c>
      <c r="P552" s="15" t="s">
        <v>219</v>
      </c>
      <c r="Q552" s="15" t="s">
        <v>219</v>
      </c>
      <c r="R552" s="15" t="s">
        <v>219</v>
      </c>
      <c r="S552" s="15" t="s">
        <v>219</v>
      </c>
      <c r="T552" s="15" t="s">
        <v>219</v>
      </c>
      <c r="U552" s="15" t="s">
        <v>219</v>
      </c>
      <c r="V552" s="15" t="s">
        <v>219</v>
      </c>
      <c r="W552" s="15">
        <v>32</v>
      </c>
      <c r="X552" s="15" t="str">
        <f>_xlfn.XLOOKUP(tblMeasure[[#This Row],[id_src]],tblSource[id_src],tblSource[org])</f>
        <v xml:space="preserve">NIH National Institute of Ageing </v>
      </c>
      <c r="Y552" s="25" t="str">
        <f>_xlfn.XLOOKUP(tblMeasure[[#This Row],[id_src]],tblSource[id_src],tblSource[source])</f>
        <v>English Longitudinal Study of Ageing</v>
      </c>
      <c r="Z552" s="25" t="str">
        <f>_xlfn.XLOOKUP(tblMeasure[[#This Row],[id_src]],tblSource[id_src],tblSource[url_source])</f>
        <v>https://www.ifs.org.uk/uploads/ELSA_Wave_8_report.pdf</v>
      </c>
      <c r="AA552" s="25">
        <f>_xlfn.XLOOKUP(tblMeasure[[#This Row],[id_src]],tblSource[id_src],tblSource[year_first_published])</f>
        <v>2002</v>
      </c>
      <c r="AB552" s="25">
        <f>_xlfn.XLOOKUP(tblMeasure[[#This Row],[id_src]],tblSource[id_src],tblSource[year_last_published])</f>
        <v>2018</v>
      </c>
      <c r="AC552" s="25">
        <f>_xlfn.XLOOKUP(tblMeasure[[#This Row],[id_src]],tblSource[id_src],tblSource[discontinuity])</f>
        <v>0</v>
      </c>
      <c r="AD552" s="25" t="str">
        <f>_xlfn.XLOOKUP(tblMeasure[[#This Row],[id_src]],tblSource[id_src],tblSource[publication_frequency])</f>
        <v>Biennial</v>
      </c>
      <c r="AE552" s="15">
        <f>_xlfn.XLOOKUP(tblMeasure[[#This Row],[id_src]],tblSource[id_src],tblSource[publication_lag_months])</f>
        <v>10</v>
      </c>
      <c r="AF552" s="25" t="str">
        <f>_xlfn.XLOOKUP(tblMeasure[[#This Row],[id_src]],tblSource[id_src],tblSource[data_providers])</f>
        <v>UCL, IFS, Manchester University, NatCen, UEA</v>
      </c>
      <c r="AG552" s="25" t="str">
        <f>_xlfn.XLOOKUP(tblMeasure[[#This Row],[id_src]],tblSource[id_src],tblSource[statistic_class])</f>
        <v>TBD</v>
      </c>
      <c r="AH552" s="25" t="str">
        <f>_xlfn.XLOOKUP(tblMeasure[[#This Row],[id_src]],tblSource[id_src],tblSource[methodology_link])</f>
        <v>https://www.ifs.org.uk/uploads/ELSA_Wave_8_report.pdf</v>
      </c>
      <c r="AI552" s="25" t="str">
        <f>_xlfn.XLOOKUP(tblMeasure[[#This Row],[id_src]],tblSource[id_src],tblSource[quality_issues])</f>
        <v>TBD</v>
      </c>
      <c r="AJ552" s="25">
        <f>VLOOKUP(tblMeasure[[#This Row],[msr_population_or_survey]],strlu_msr_population_or_survey,2,FALSE)</f>
        <v>0</v>
      </c>
      <c r="AK552" s="25">
        <f>VLOOKUP(tblMeasure[[#This Row],[msr_min_geo_resolution]],strlu_msr_min_geo_resolution,2,FALSE)</f>
        <v>0</v>
      </c>
      <c r="AL552" s="25">
        <f>(MAX(tblMeasure[[#This Row],[src_year_last_published]]-2010+1,0)+MIN(2010-tblMeasure[[#This Row],[src_year_first_published]],0)-MAX(tblMeasure[[#This Row],[src_year_last_published]]-2019,0))/10</f>
        <v>0.9</v>
      </c>
      <c r="AM552" s="25">
        <f>IF(OR(tblMeasure[[#This Row],[src_discontinuity]]="None",tblMeasure[[#This Row],[src_discontinuity]]=0),1,0)</f>
        <v>1</v>
      </c>
      <c r="AN552" s="25">
        <f>VLOOKUP(tblMeasure[[#This Row],[src_pub_frequency]],strlu_src_pub_frequency,2,FALSE)</f>
        <v>0.5</v>
      </c>
      <c r="AO552" s="25">
        <f>VLOOKUP(tblMeasure[[#This Row],[src_pub_lag_months]],strlu_src_pub_lag_months,2,FALSE)</f>
        <v>0.1</v>
      </c>
      <c r="AP552" s="25">
        <f>VLOOKUP(tblMeasure[[#This Row],[src_statistic_class]],strlu_src_statistic_class,2,FALSE)</f>
        <v>0</v>
      </c>
      <c r="AQ552" s="25">
        <f>IF(tblMeasure[[#This Row],[src_methodology_url]]="TBD",0,1)</f>
        <v>1</v>
      </c>
      <c r="AR552" s="25">
        <f>IF(tblMeasure[[#This Row],[src_quality_url]]="TBD",0,1)</f>
        <v>0</v>
      </c>
      <c r="AS552" s="85" cm="1">
        <f t="array" ref="AS552">SUMPRODUCT(TRANSPOSE(tblMeasure[[#This Row],[str_msr_population_or_survey]:[str_src_quality_url]]),str_weights)/str_weights_total</f>
        <v>0.33846153846153848</v>
      </c>
    </row>
  </sheetData>
  <mergeCells count="1">
    <mergeCell ref="A1:Z1"/>
  </mergeCells>
  <phoneticPr fontId="15" type="noConversion"/>
  <dataValidations count="1">
    <dataValidation allowBlank="1" showInputMessage="1" showErrorMessage="1" sqref="A3:C552" xr:uid="{EAC7B20B-0980-4A51-BCDB-CA89596E0B6F}"/>
  </dataValidations>
  <hyperlinks>
    <hyperlink ref="G3" r:id="rId1" xr:uid="{D9078776-7982-4696-9626-F4DB01A35E5D}"/>
    <hyperlink ref="G4" r:id="rId2" xr:uid="{1195EB37-94D8-4E3B-882B-FBCBA708476C}"/>
    <hyperlink ref="G5" r:id="rId3" xr:uid="{FF0B6152-4568-4842-98D9-39123ACA4C6D}"/>
    <hyperlink ref="G6" r:id="rId4" xr:uid="{4ACF39AE-3B8F-417D-9D03-E79FB1B31B96}"/>
    <hyperlink ref="G7" r:id="rId5" xr:uid="{71766CF5-E810-4DE2-ABCA-55CA4A66A499}"/>
    <hyperlink ref="G8" r:id="rId6" xr:uid="{1B5C79D3-1269-4F61-A694-EF969A4778AE}"/>
    <hyperlink ref="G9" r:id="rId7" xr:uid="{D0375BB8-A166-437C-8CDD-7B5F2AB3DC45}"/>
    <hyperlink ref="G10" r:id="rId8" xr:uid="{5DE4A0AA-E83C-44EC-9AB4-EDCBD448C896}"/>
    <hyperlink ref="G11" r:id="rId9" xr:uid="{F1911C6F-607C-4FA4-9410-DA456A4FB719}"/>
    <hyperlink ref="G12" r:id="rId10" xr:uid="{28DA00D4-D710-470B-8C3C-1631B7E5E10C}"/>
    <hyperlink ref="G13" r:id="rId11" xr:uid="{3EB9FAE2-2F42-4CF1-A238-A09A66D1A75D}"/>
    <hyperlink ref="G14" r:id="rId12" xr:uid="{76F129CA-D687-4160-8142-9EC55246746A}"/>
    <hyperlink ref="G15" r:id="rId13" xr:uid="{D640DF4D-CF56-4C4A-B5CC-EAF5296150AE}"/>
    <hyperlink ref="G16" r:id="rId14" xr:uid="{07B4FEC2-9211-4785-97D2-2015E8B2A9A6}"/>
    <hyperlink ref="G17" r:id="rId15" xr:uid="{8C591399-A424-4503-B2B2-C423D4FB6D31}"/>
    <hyperlink ref="G18" r:id="rId16" xr:uid="{E1CD2C5E-E394-4EB3-9D15-32CF44B3E80B}"/>
    <hyperlink ref="G19" r:id="rId17" xr:uid="{10E181A1-1D91-4FF9-BDFD-34E44A2462C5}"/>
    <hyperlink ref="G20" r:id="rId18" xr:uid="{325ED7BB-89F0-41AD-95B0-2BD2A3F384D8}"/>
    <hyperlink ref="G21" r:id="rId19" xr:uid="{D232ABE5-93D7-4CEF-99FC-725D18AD90A5}"/>
    <hyperlink ref="G22" r:id="rId20" xr:uid="{38B67C1B-F4CA-43AC-B209-00C5F88930FD}"/>
    <hyperlink ref="G23" r:id="rId21" xr:uid="{29501294-BE0C-4DB3-86F1-4AD2B53DD94E}"/>
    <hyperlink ref="G24" r:id="rId22" xr:uid="{D1C79C8C-E73A-4402-B62B-BDDC2E15BE6F}"/>
    <hyperlink ref="G25" r:id="rId23" xr:uid="{E8F75BE8-93F6-4352-801D-D4E746C159CD}"/>
    <hyperlink ref="G26" r:id="rId24" xr:uid="{64B09646-1DF9-40E7-9189-DAC8CA07D266}"/>
    <hyperlink ref="G27" r:id="rId25" xr:uid="{B9AAD77A-F69A-44D4-A4A6-77AF4CCE9E39}"/>
    <hyperlink ref="G28" r:id="rId26" xr:uid="{44B856F4-D3DA-4A08-A5BA-5E2777B19086}"/>
    <hyperlink ref="G29" r:id="rId27" xr:uid="{E2F6A50C-3700-448E-B512-DC32A78E63A2}"/>
    <hyperlink ref="G30" r:id="rId28" xr:uid="{E757DE11-95F7-4C9C-B84F-C72F4F7D7B1F}"/>
    <hyperlink ref="G31" r:id="rId29" xr:uid="{101E4BB2-3357-45DF-9679-A54132FE9D45}"/>
    <hyperlink ref="G32" r:id="rId30" xr:uid="{86BE8CD4-F88D-4B7C-A9F9-49C222DB73B6}"/>
    <hyperlink ref="G33" r:id="rId31" xr:uid="{2720DE60-3C49-4120-BD7C-DA28135E5C4B}"/>
    <hyperlink ref="G34" r:id="rId32" xr:uid="{4C0AA1A8-BE2E-44A9-AB1A-C17BBF6AFCA8}"/>
    <hyperlink ref="G35" r:id="rId33" xr:uid="{6B14C8C0-13B4-465F-9E9B-B568437ECD37}"/>
    <hyperlink ref="G36" r:id="rId34" xr:uid="{C8C67E06-6026-43DE-8437-AEB0DF2EBB09}"/>
    <hyperlink ref="G37" r:id="rId35" xr:uid="{DA651741-B28C-4753-8549-3B28A9153EC9}"/>
    <hyperlink ref="G38" r:id="rId36" xr:uid="{CEBCB478-231B-4EF2-817A-D5465A54A0EF}"/>
    <hyperlink ref="G39" r:id="rId37" xr:uid="{83314DEB-89C0-4443-8B90-AF7C49EC54EB}"/>
    <hyperlink ref="G40" r:id="rId38" xr:uid="{E0918D6A-4E63-4365-88A3-AA1688AABB76}"/>
    <hyperlink ref="G41" r:id="rId39" xr:uid="{E70833C4-1624-489D-AE88-A7B6204B4FA0}"/>
    <hyperlink ref="G42" r:id="rId40" xr:uid="{B2A38020-2694-4944-9E6F-2ADF21EB1A8F}"/>
    <hyperlink ref="G43" r:id="rId41" xr:uid="{2805A9E3-6D42-44E3-A918-B9656F2F5931}"/>
    <hyperlink ref="G44" r:id="rId42" xr:uid="{24040EF2-4E96-4AF1-BA37-E91D4CFC1035}"/>
    <hyperlink ref="G45" r:id="rId43" xr:uid="{180B4BFC-BD19-4D9D-B1F5-0A3ABCCD9CEE}"/>
    <hyperlink ref="G46" r:id="rId44" xr:uid="{F63008F8-E80F-470F-99D7-7122AD8F6182}"/>
    <hyperlink ref="G47" r:id="rId45" xr:uid="{2C38D22D-DC5C-4CB1-9482-F2D65CCA1DE8}"/>
    <hyperlink ref="G48" r:id="rId46" xr:uid="{B3C8E31D-5B7C-4197-BD41-7619069E14BE}"/>
    <hyperlink ref="G49" r:id="rId47" xr:uid="{7A5D36A5-A0F8-4A58-834F-38EF56E6C4BF}"/>
    <hyperlink ref="G50" r:id="rId48" xr:uid="{1A683D56-A8FD-4831-A281-FD2F35621EC3}"/>
    <hyperlink ref="G52" r:id="rId49" xr:uid="{0A286372-78E5-421D-981B-C88EDDDEB447}"/>
    <hyperlink ref="G53" r:id="rId50" xr:uid="{B72D6D9F-63C9-40BD-BA6B-BE60F908C632}"/>
    <hyperlink ref="G54" r:id="rId51" xr:uid="{98C0E05B-208A-4812-9063-177DC024684E}"/>
    <hyperlink ref="G55" r:id="rId52" xr:uid="{3DBED201-D532-4CEF-970B-ACBE4103BBB9}"/>
    <hyperlink ref="G56" r:id="rId53" xr:uid="{B5FBCCFF-D2A0-4E1E-9B76-5BB049A9E727}"/>
    <hyperlink ref="G57" r:id="rId54" xr:uid="{7A121A2F-E855-4CBA-86B6-6456FC15FA7C}"/>
    <hyperlink ref="G58" r:id="rId55" xr:uid="{1F069D19-ED46-42D9-9ABA-EE9943962B95}"/>
    <hyperlink ref="G59" r:id="rId56" xr:uid="{7C34EE75-2117-4DC6-886B-782E61C3D4E7}"/>
    <hyperlink ref="G60" r:id="rId57" xr:uid="{F89813DF-5177-4CC1-875C-9E7735191BA6}"/>
    <hyperlink ref="G61" r:id="rId58" xr:uid="{A47B6FB9-E853-447E-8788-4D13C53BF5C5}"/>
    <hyperlink ref="G62" r:id="rId59" xr:uid="{72C4850E-9A4B-4618-B6F8-568AD84C538E}"/>
    <hyperlink ref="G63" r:id="rId60" xr:uid="{56537DAC-DA12-4AED-AB27-A5AE7C29AF55}"/>
    <hyperlink ref="G64" r:id="rId61" xr:uid="{0BC0F99F-9576-4A77-8B5B-1F47AB2A153D}"/>
    <hyperlink ref="G65" r:id="rId62" xr:uid="{F9DAA32D-AEA2-44B3-AE24-0E475DADDABB}"/>
    <hyperlink ref="G66" r:id="rId63" xr:uid="{50C1AFC0-06AC-4395-98B4-E1F1D3A0FA65}"/>
    <hyperlink ref="G67" r:id="rId64" xr:uid="{1603B034-1A53-439B-98A8-9C8C8256F461}"/>
    <hyperlink ref="G68" r:id="rId65" xr:uid="{252E2F12-22DB-4F79-B0AA-48EC54C55781}"/>
    <hyperlink ref="G69" r:id="rId66" xr:uid="{D9B56851-9C37-44B1-8AC6-8EF59C9230D3}"/>
    <hyperlink ref="G70" r:id="rId67" xr:uid="{BDF6BB01-6128-4D5F-9FBA-081018CB7AD4}"/>
    <hyperlink ref="G71" r:id="rId68" xr:uid="{106F930C-5CC4-406C-81E5-081399F14945}"/>
    <hyperlink ref="G72" r:id="rId69" xr:uid="{1758F911-B83C-412D-8EED-1CD045908329}"/>
    <hyperlink ref="G101" r:id="rId70" xr:uid="{DC147A8F-0E8B-49D2-B439-6401F192065D}"/>
    <hyperlink ref="G102" r:id="rId71" xr:uid="{9F519138-C67B-4CF0-909B-E6D91E15DF0B}"/>
    <hyperlink ref="G103" r:id="rId72" xr:uid="{EDA4B9AB-8CD8-4B75-A3F9-395A1AE0EBDF}"/>
    <hyperlink ref="G104" r:id="rId73" xr:uid="{7ECD5FB5-5097-47C5-A97D-0AB78890F6C3}"/>
    <hyperlink ref="G105" r:id="rId74" xr:uid="{A3F218E0-DE73-4879-8DC0-9E3D76828B48}"/>
    <hyperlink ref="G106" r:id="rId75" xr:uid="{35969C3C-BF4D-4338-839E-59899E4D869C}"/>
    <hyperlink ref="G107" r:id="rId76" xr:uid="{D6C9AF56-E17C-49A5-9112-EB56D9933D8D}"/>
    <hyperlink ref="G108" r:id="rId77" xr:uid="{7E98C3CB-9C56-4C56-A6B1-46ED252A7E30}"/>
    <hyperlink ref="G109" r:id="rId78" xr:uid="{0917246F-E253-45EA-BC98-78B34A054C25}"/>
    <hyperlink ref="G110" r:id="rId79" xr:uid="{16A764B7-DB1F-4770-9F2B-41A2D64D122E}"/>
    <hyperlink ref="G111" r:id="rId80" xr:uid="{CF8159FA-1D56-466E-8202-BFD50018BACE}"/>
    <hyperlink ref="G73:G100" r:id="rId81" display="https://files.digital.nhs.uk/80/CD044C/meas-from-asc-of-eng-1819-disag-anx.xlsx" xr:uid="{1D99F2D4-8302-47F0-9AFF-AAA8A0577CEE}"/>
    <hyperlink ref="G112" r:id="rId82" xr:uid="{5AFCE908-77D3-4869-BF18-9C785A90EBCA}"/>
    <hyperlink ref="G113:G118" r:id="rId83" display="https://digital.nhs.uk/binaries/content/assets/legacy/excel/p/m/asc-fr_proforma_2018-19.xls" xr:uid="{B34FEACB-0D2F-4C8B-8C10-A676506543A3}"/>
    <hyperlink ref="G119" r:id="rId84" xr:uid="{A912859B-04C9-42B6-93C5-940C483ECF09}"/>
    <hyperlink ref="G120" r:id="rId85" xr:uid="{F2F38E1C-557B-4904-9720-3862766EB5D2}"/>
    <hyperlink ref="G121" r:id="rId86" xr:uid="{BA4E5807-787E-4F89-A154-3F4F2F4A5BCC}"/>
    <hyperlink ref="G122:G129" r:id="rId87" display="https://files.digital.nhs.uk/00/035F45/dols-eng-applications-2018-19.xlsx" xr:uid="{6B11CB39-22D7-4EB9-A976-7CA06A970270}"/>
    <hyperlink ref="G130" r:id="rId88" xr:uid="{2868E180-03BD-4842-B308-C04633BC7D1B}"/>
    <hyperlink ref="G131" r:id="rId89" xr:uid="{1A141E28-2B95-4899-A59F-E97D4FDB070A}"/>
    <hyperlink ref="G132" r:id="rId90" xr:uid="{5E3DD8FA-4CE3-4CFA-8512-76733BD72173}"/>
    <hyperlink ref="G133:G137" r:id="rId91" display="https://files.digital.nhs.uk/EE/9264EB/dols-eng-timeframes-2018-19.xlsx" xr:uid="{1268E33A-D5A1-4766-9A87-2006314CBE1E}"/>
    <hyperlink ref="G138" r:id="rId92" xr:uid="{7C07E749-302D-48D3-B3D2-ADE25C9BDC00}"/>
    <hyperlink ref="G139:G143" r:id="rId93" display="https://files.digital.nhs.uk/4A/FCC61C/guar-unde-ment-heal-act-1983-eng-1618-annex%20A-ref-tab%20Final.xlsx" xr:uid="{B05E7C07-BC60-4782-8DBE-F8F479665CA2}"/>
    <hyperlink ref="G144" r:id="rId94" xr:uid="{81E8D177-DB50-4210-BE18-B89DC36DD028}"/>
    <hyperlink ref="G145:G169" r:id="rId95" display="https://files.digital.nhs.uk/AE/2F82A7/ldsm-jan-20-ref-tables.xlsx" xr:uid="{5F9C7D8C-F5F5-4D72-8BE7-80DCB325BF9F}"/>
    <hyperlink ref="G170" r:id="rId96" xr:uid="{EFEC6642-1C6E-46A5-BEE6-511ED7DEB13B}"/>
    <hyperlink ref="G171:G176" r:id="rId97" display="https://files.digital.nhs.uk/19/24F30B/PSS_SACE_Annex_Tables_2018-19_v2.xlsx" xr:uid="{2206E8D9-C9FA-4F86-92CC-8AACBA267FFB}"/>
    <hyperlink ref="G177" r:id="rId98" xr:uid="{AC714D38-6D6A-4A3A-9A34-B22E0044845B}"/>
    <hyperlink ref="G178" r:id="rId99" xr:uid="{2FB46CB0-B476-455A-AB85-A1DE3E267458}"/>
    <hyperlink ref="G179:G186" r:id="rId100" display="https://files.digital.nhs.uk/9A/C5DF49/pss-ascs-eng-1819-annex-tables.xlsx" xr:uid="{5C450790-9592-4569-B042-D41D19A4B8EC}"/>
    <hyperlink ref="G187" r:id="rId101" xr:uid="{60731415-6ED6-49FF-8748-85669954800F}"/>
    <hyperlink ref="G188:G203" r:id="rId102" display="https://files.digital.nhs.uk/publicationimport/pub22xxx/pub22240/pss-exp-eng-15-16-fin-ref.xls" xr:uid="{C34F7344-061B-42B1-A0E6-2C0B3DC2F4AB}"/>
    <hyperlink ref="G204" r:id="rId103" xr:uid="{36D2CC50-56BC-42D4-A59F-F3DF455DA7D5}"/>
    <hyperlink ref="G205:G227" r:id="rId104" display="https://files.digital.nhs.uk/65/AA3FBC/ASC%20WDS%20Reference%20Tables%202019%20Final.xlsx" xr:uid="{22146217-10F3-41DD-9D28-35A4A587596D}"/>
    <hyperlink ref="G228" r:id="rId105" xr:uid="{7637BDAD-B8E8-492B-99B8-7D494EE3E06E}"/>
    <hyperlink ref="G229:G235" r:id="rId106" display="https://files.digital.nhs.uk/2D/B200DE/sac-eng-2018-19-data-tables.xlsx" xr:uid="{F247D154-7677-4826-AFEC-09CB655CA801}"/>
    <hyperlink ref="G236" r:id="rId107" xr:uid="{E83FA223-88D0-4ADB-AA38-AA6B7719D6E4}"/>
    <hyperlink ref="G243" r:id="rId108" xr:uid="{4DEC79CB-D270-47C0-B4C9-2166C07B0D2D}"/>
    <hyperlink ref="G244:G245" r:id="rId109" display="https://www.england.nhs.uk/statistics/wp-content/uploads/sites/2/2020/02/CHC-and-FNC-Quarterly-Data-Q3-2019-20_z5qnTp.xlsx" xr:uid="{12387C11-7177-45E9-96F6-768C26FDD33D}"/>
    <hyperlink ref="G246" r:id="rId110" xr:uid="{01D7F903-F06C-4AE0-9F72-580BCAE40438}"/>
    <hyperlink ref="G247:G254" r:id="rId111" display="https://www.ons.gov.uk/file?uri=%2feconomy%2feconomicoutputandproductivity%2fpublicservicesproductivity%2fdatasets%2fpublicserviceproductivityadultsocialcare%2fcurrent/referencetableadultsocialcareproductivityenglandfye2019.xls" xr:uid="{2D4CE753-4FDC-4FBB-9EC4-334ED6142810}"/>
    <hyperlink ref="G255" r:id="rId112" location="page/11/gid/1938133060/pat/15/par/E92000001/ati/6/are/E12000004/iid/92489/age/162/sex/4" xr:uid="{5F850B48-6CCD-4DFE-904C-8ECFDFEF49C8}"/>
    <hyperlink ref="G256" r:id="rId113" location="page/11/gid/1938133060/pat/15/par/E92000001/ati/6/are/E12000004/iid/92489/age/162/sex/4" xr:uid="{3D20892B-0755-49FE-95FE-209CEEAA8D53}"/>
    <hyperlink ref="G257" r:id="rId114" location="page/4/gid/1938133060/pat/6/par/E12000007/ati/202/are/E09000002/iid/92453/age/1/sex/4" xr:uid="{AF36E7D9-633D-4579-8AA0-902481495837}"/>
    <hyperlink ref="G258" r:id="rId115" location="page/4/gid/1938133060/pat/6/par/E12000007/ati/202/are/E09000002/iid/1194/age/27/sex/4" xr:uid="{CCAB6EB5-D268-4F55-A4B9-C2FF799F3086}"/>
    <hyperlink ref="G259" r:id="rId116" xr:uid="{9EB5C746-CB57-4A7F-988E-42007E4556F3}"/>
    <hyperlink ref="G260:G298" r:id="rId117" display="https://www.skillsforcare.org.uk/adult-social-care-workforce-data/Workforce-intelligence/documents/ASC-Workforce-Statistical-Appendix-2019.xlsx" xr:uid="{3A5D61DA-47DF-426B-BDF7-7B8F1B17C1EA}"/>
    <hyperlink ref="G300" r:id="rId118" xr:uid="{C922F387-D548-4FAF-865A-F8AAE1567DE9}"/>
    <hyperlink ref="G301" r:id="rId119" xr:uid="{161CAD3B-B7F8-4FD0-9962-1D38CB1175C6}"/>
    <hyperlink ref="G302:G309" r:id="rId120" display="https://assets.publishing.service.gov.uk/government/uploads/system/uploads/attachment_data/file/789336/frs-disability-data-tables-2017-18.xlsx" xr:uid="{81FB6F6A-FB9C-4066-B99F-AECFE36BF455}"/>
    <hyperlink ref="G310" r:id="rId121" xr:uid="{717FFF1D-4E35-4C74-9ADC-C5C6911E5AFD}"/>
    <hyperlink ref="G311:G319" r:id="rId122" display="https://assets.publishing.service.gov.uk/government/uploads/system/uploads/attachment_data/file/789338/frs-carers-data-tables-2017-18.xlsx" xr:uid="{F089AB3B-3815-4D33-A067-CC6DF28899F0}"/>
    <hyperlink ref="G334" r:id="rId123" xr:uid="{4D9C2610-5F71-4147-85FB-55DFEBAEE0CA}"/>
    <hyperlink ref="G335:G339" r:id="rId124" display="https://stat-xplore.dwp.gov.uk/webapi/jsf/dataCatalogueExplorer.xhtml" xr:uid="{2BB992A8-2F8B-44E9-AFE2-642289639FAF}"/>
    <hyperlink ref="G340" r:id="rId125" xr:uid="{40A91FCF-AA6E-4CF0-BA51-B88FA4EDEBE0}"/>
    <hyperlink ref="G341" r:id="rId126" display="https://www.gpcontract.co.uk/download" xr:uid="{94C26C8E-B7E1-4820-8B98-1778EC2727D3}"/>
    <hyperlink ref="G341" r:id="rId127" xr:uid="{58C1F23B-0662-4863-B683-E273AC6FDFDB}"/>
    <hyperlink ref="G342" r:id="rId128" location="fullreport" xr:uid="{E0C67E83-BD04-4EBB-AAF5-16C994B63A79}"/>
    <hyperlink ref="G343" r:id="rId129" xr:uid="{DD0A8B13-95F5-4321-802B-CDD2DB35F3E8}"/>
    <hyperlink ref="G344" r:id="rId130" xr:uid="{4AF01054-A082-4546-A1E9-8AB429C145E3}"/>
    <hyperlink ref="G345" r:id="rId131" xr:uid="{5F835BFE-C5F6-4BCC-850A-DF903537D983}"/>
    <hyperlink ref="G346" r:id="rId132" xr:uid="{180E4462-45A3-47ED-A9B7-BE21163D60C8}"/>
    <hyperlink ref="G347" r:id="rId133" xr:uid="{4835A63F-76E1-482B-874D-125C1C22B6DD}"/>
    <hyperlink ref="G348" r:id="rId134" xr:uid="{44A1E6A7-8D2F-4B04-8182-7430ED69D141}"/>
    <hyperlink ref="G349" r:id="rId135" xr:uid="{B0A27564-2CA1-40EE-9690-87831C40048B}"/>
    <hyperlink ref="G350" r:id="rId136" xr:uid="{DB3E82D2-9A87-44B3-B507-F25647660E99}"/>
    <hyperlink ref="G351" r:id="rId137" xr:uid="{FE7551D2-037B-4F57-83F5-3682CB0CB8BC}"/>
    <hyperlink ref="G352" r:id="rId138" xr:uid="{6E0279E7-6F9C-45AA-9AA3-598F159747F1}"/>
    <hyperlink ref="G353" r:id="rId139" xr:uid="{9317C7A9-E2C6-44A2-85D3-7E29C1443A4D}"/>
    <hyperlink ref="G365" r:id="rId140" xr:uid="{F4EF8AD3-1308-48E2-A76F-1475BA28B167}"/>
    <hyperlink ref="G366" r:id="rId141" xr:uid="{38C71AE4-6235-4EF8-85A3-7B94CAC3DFD9}"/>
    <hyperlink ref="G367:G370" r:id="rId142" display="https://2019survey.neural.org.uk/" xr:uid="{56A19044-4867-45AB-AE8C-A1B21DC53A88}"/>
    <hyperlink ref="G240" r:id="rId143" xr:uid="{57438DAF-6F1A-4C4C-8009-38E8246C0CEF}"/>
    <hyperlink ref="G241:G242" r:id="rId144" display="https://www.england.nhs.uk/statistics/wp-content/uploads/sites/2/2020/03/Trust-Type-B-January-2020-17XGa.xls" xr:uid="{5D15AB22-C11B-4156-B5AA-29A32B9B811C}"/>
    <hyperlink ref="G299" r:id="rId145" xr:uid="{E44AC533-B103-43D0-ABF4-9D37D5597F0F}"/>
    <hyperlink ref="G362" r:id="rId146" xr:uid="{8ADADB52-F237-46BB-8FE3-29B3FA4CE7E6}"/>
    <hyperlink ref="G363:G364" r:id="rId147" display="https://assets.publishing.service.gov.uk/government/uploads/system/uploads/attachment_data/file/812518/SG_2019-20_data_by_LA.xlsx" xr:uid="{F4D3419E-E5F6-401A-BAAF-F35A543C1C18}"/>
    <hyperlink ref="G51" r:id="rId148" xr:uid="{CA8423C7-AAB6-4D91-A37A-88E1B7849CB7}"/>
    <hyperlink ref="G371" r:id="rId149" xr:uid="{8A4AB36A-10FB-436D-A350-54B46D31CE33}"/>
    <hyperlink ref="G316" r:id="rId150" xr:uid="{5B208396-7EF9-4A1A-B87E-D11F1BBAD2DD}"/>
    <hyperlink ref="G380" r:id="rId151" xr:uid="{9636BB06-CC44-4BDF-96AF-28A1B14C2119}"/>
    <hyperlink ref="G372:G379" r:id="rId152" display="https://files.digital.nhs.uk/5A/CB2435/HSE18-Social-care-tab.xlsx" xr:uid="{F2743B04-E1F5-4B85-9343-0E7358B6E628}"/>
    <hyperlink ref="G381" r:id="rId153" xr:uid="{6970F6A9-E631-4561-8680-C6651B806709}"/>
    <hyperlink ref="G382" r:id="rId154" xr:uid="{3C0DAA5A-C88A-4641-B97E-91C7F20BD0A8}"/>
    <hyperlink ref="G383" r:id="rId155" xr:uid="{30EA8E0A-BD91-4742-9865-BAB01D8FD871}"/>
    <hyperlink ref="G384" r:id="rId156" xr:uid="{E1579326-EB30-433D-9719-F536BFF7B89B}"/>
    <hyperlink ref="G385" r:id="rId157" xr:uid="{5E598C8E-9CBA-4186-B614-446BF2A8555E}"/>
    <hyperlink ref="G386" r:id="rId158" xr:uid="{DB02B283-58AF-4133-8368-03634AC37204}"/>
    <hyperlink ref="G387" r:id="rId159" xr:uid="{36261CF4-71FE-457C-AB1D-5422368FDE15}"/>
    <hyperlink ref="G388" r:id="rId160" xr:uid="{4E4BAC1A-8001-4DE8-AA6B-92F1BCB45AFD}"/>
    <hyperlink ref="G389" r:id="rId161" xr:uid="{F1ECAA5D-CCE2-4AAC-B49F-2B045674EC6A}"/>
    <hyperlink ref="G390" r:id="rId162" xr:uid="{0478398C-B023-4813-B641-AFAE94429862}"/>
    <hyperlink ref="G391" r:id="rId163" xr:uid="{A859074A-22D3-4799-A245-370D40AFE61C}"/>
    <hyperlink ref="G392" r:id="rId164" xr:uid="{2A45BAFA-25F4-4D66-9127-F90462880FAA}"/>
    <hyperlink ref="G393" r:id="rId165" xr:uid="{D9D38A0E-9B28-43BD-BD75-79B079387B7B}"/>
    <hyperlink ref="G394" r:id="rId166" xr:uid="{BAA38549-9D0A-4D4E-9D41-7D6E94189C2D}"/>
    <hyperlink ref="G395" r:id="rId167" xr:uid="{A01C48FB-D8FE-4277-A2C0-DD35C9F5918A}"/>
    <hyperlink ref="G396" r:id="rId168" xr:uid="{B128653B-CBC7-4CF1-8AD5-1981A5DBE0D8}"/>
    <hyperlink ref="G397" r:id="rId169" xr:uid="{24EBE49F-E671-4D01-B7D5-01EF07A42E75}"/>
    <hyperlink ref="G398" r:id="rId170" xr:uid="{6AD78DFB-5767-45B2-87EE-6BCC8C66681E}"/>
    <hyperlink ref="G399" r:id="rId171" xr:uid="{FD27373C-063C-4F62-ADEA-98F26D618D6A}"/>
    <hyperlink ref="G400" r:id="rId172" xr:uid="{11DA1615-F997-4D80-B540-4CC3AFC7602B}"/>
    <hyperlink ref="G401" r:id="rId173" xr:uid="{0FE560BF-DEB6-4D0A-9CD8-F413C877E861}"/>
    <hyperlink ref="G402" r:id="rId174" xr:uid="{35DD246F-23E0-4C47-BE42-F515E1F72881}"/>
    <hyperlink ref="G403" r:id="rId175" xr:uid="{A0564460-F492-4E57-AA46-E68B797A48EA}"/>
    <hyperlink ref="G404" r:id="rId176" xr:uid="{01CF4BBB-20C5-46DC-9209-A5F05177FBC5}"/>
    <hyperlink ref="G405" r:id="rId177" xr:uid="{68F64680-8D7D-4B61-9AB7-2E69C50ACC86}"/>
    <hyperlink ref="G406:G411" r:id="rId178" display="https://files.digital.nhs.uk/E5/457EE4/DPA%20Reference%20Tables%202018-19.xlsx" xr:uid="{EE41C7D5-8FAE-47A2-B1C0-8788F31187A1}"/>
    <hyperlink ref="G320" r:id="rId179" xr:uid="{9F6C9F72-31E0-4402-8DB6-9637B49DA67D}"/>
    <hyperlink ref="G321:G333" r:id="rId180" display="https://assets.publishing.service.gov.uk/government/uploads/system/uploads/attachment_data/file/789333/frs-income-and-state-support-data-tables-2017-18.xlsx" xr:uid="{EBA186EE-6D95-4AC5-BCB1-7F906863B97C}"/>
    <hyperlink ref="G412" r:id="rId181" xr:uid="{22878AAD-7E74-4E0B-91B0-6DE9967B9284}"/>
    <hyperlink ref="G413:G430" r:id="rId182" display="https://www.ifs.org.uk/uploads/ELSA_Wave_8_report.pdf" xr:uid="{9D9FFA6D-917A-49EC-86A5-D87A4D248EF1}"/>
    <hyperlink ref="G429:G434" r:id="rId183" display="https://www.ifs.org.uk/uploads/ELSA_Wave_8_report.pdf" xr:uid="{EE752BE1-11D0-42F1-8C9A-842AE78E2B16}"/>
    <hyperlink ref="G435" r:id="rId184" xr:uid="{8A85FFBC-9892-4125-B570-6CA5099B02E9}"/>
    <hyperlink ref="G436" r:id="rId185" xr:uid="{4054B194-00AE-4C54-A050-F281679F97A8}"/>
    <hyperlink ref="G437" r:id="rId186" xr:uid="{0643875B-D7D6-4D7A-B5BF-81A12F1E59B4}"/>
    <hyperlink ref="G438" r:id="rId187" xr:uid="{E596D223-44D4-490B-BB2B-E2790FDA7D6D}"/>
    <hyperlink ref="G439" r:id="rId188" xr:uid="{097CABF1-97FF-4CB6-BB40-0AA6A6111225}"/>
    <hyperlink ref="G440" r:id="rId189" xr:uid="{091C0EAB-F2D1-4774-9146-705192E58AC9}"/>
    <hyperlink ref="G441" r:id="rId190" xr:uid="{D66EFB6D-E23E-4978-B388-CB6479E768CD}"/>
    <hyperlink ref="G442" r:id="rId191" xr:uid="{4046B710-2E9A-49B1-B056-8E1F1D8FD13B}"/>
    <hyperlink ref="G443" r:id="rId192" xr:uid="{E006329F-7C5C-4B82-AA1A-2CA141B0A83C}"/>
    <hyperlink ref="G444" r:id="rId193" xr:uid="{D817A312-8183-4DA7-B376-7A91B0A98A6E}"/>
    <hyperlink ref="G445" r:id="rId194" xr:uid="{9D0555CE-F8CD-4420-A2B1-5F68254A88F9}"/>
    <hyperlink ref="G446" r:id="rId195" xr:uid="{07C9BD36-2305-4D13-9880-8CF34FD3C10F}"/>
    <hyperlink ref="G447:G457" r:id="rId196" display="https://www.ifs.org.uk/uploads/ELSA_Wave_8_report.pdf" xr:uid="{BD4457B7-BA9C-47AA-B30A-E7F2C3F91509}"/>
    <hyperlink ref="G458:G479" r:id="rId197" display="https://www.ifs.org.uk/uploads/ELSA_Wave_8_report.pdf" xr:uid="{08103192-6E85-4301-9B32-DA428A345C94}"/>
    <hyperlink ref="G480:G494" r:id="rId198" display="https://www.ifs.org.uk/uploads/ELSA_Wave_8_report.pdf" xr:uid="{41245756-A80B-4506-8F7F-F4783BB67E93}"/>
    <hyperlink ref="G495:G513" r:id="rId199" display="https://www.ifs.org.uk/uploads/ELSA_Wave_8_report.pdf" xr:uid="{FF602437-1E4F-4286-B642-29FDB1C6BE54}"/>
    <hyperlink ref="G514:G552" r:id="rId200" display="https://www.ifs.org.uk/uploads/ELSA_Wave_8_report.pdf" xr:uid="{E3F92031-8A2F-4E08-A944-165D5374F2E4}"/>
  </hyperlinks>
  <pageMargins left="0.7" right="0.7" top="0.75" bottom="0.75" header="0.3" footer="0.3"/>
  <pageSetup paperSize="9" orientation="portrait" r:id="rId201"/>
  <ignoredErrors>
    <ignoredError sqref="I3:J3 I4:J21 I22:J264 I266:J552 J265" calculatedColumn="1"/>
  </ignoredErrors>
  <legacyDrawing r:id="rId202"/>
  <tableParts count="1">
    <tablePart r:id="rId20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47830-446A-7142-B629-AFABF3EBE16A}">
  <sheetPr>
    <tabColor theme="9" tint="-0.499984740745262"/>
  </sheetPr>
  <dimension ref="A1:N84"/>
  <sheetViews>
    <sheetView zoomScale="140" zoomScaleNormal="140" workbookViewId="0">
      <pane ySplit="1" topLeftCell="A55" activePane="bottomLeft" state="frozen"/>
      <selection pane="bottomLeft" activeCell="C84" sqref="C84"/>
    </sheetView>
  </sheetViews>
  <sheetFormatPr baseColWidth="10" defaultRowHeight="12" x14ac:dyDescent="0.15"/>
  <cols>
    <col min="1" max="1" width="21.33203125" style="1" customWidth="1"/>
    <col min="2" max="2" width="16.33203125" style="3" bestFit="1" customWidth="1"/>
    <col min="3" max="16384" width="10.83203125" style="1"/>
  </cols>
  <sheetData>
    <row r="1" spans="1:6" x14ac:dyDescent="0.15">
      <c r="A1" s="2" t="s">
        <v>1964</v>
      </c>
      <c r="B1" s="76"/>
      <c r="C1" s="77"/>
      <c r="D1" s="77"/>
      <c r="E1" s="77"/>
      <c r="F1" s="77"/>
    </row>
    <row r="3" spans="1:6" x14ac:dyDescent="0.15">
      <c r="A3" s="66" t="s">
        <v>1960</v>
      </c>
      <c r="B3" s="68" t="s">
        <v>1965</v>
      </c>
    </row>
    <row r="4" spans="1:6" x14ac:dyDescent="0.15">
      <c r="A4" s="65" t="s">
        <v>214</v>
      </c>
      <c r="B4" s="69">
        <v>1</v>
      </c>
    </row>
    <row r="5" spans="1:6" x14ac:dyDescent="0.15">
      <c r="A5" s="64" t="s">
        <v>933</v>
      </c>
      <c r="B5" s="69">
        <v>0.5</v>
      </c>
    </row>
    <row r="6" spans="1:6" x14ac:dyDescent="0.15">
      <c r="A6" s="64" t="s">
        <v>429</v>
      </c>
      <c r="B6" s="69">
        <v>0</v>
      </c>
    </row>
    <row r="8" spans="1:6" x14ac:dyDescent="0.15">
      <c r="A8" s="67" t="s">
        <v>1962</v>
      </c>
      <c r="B8" s="70" t="s">
        <v>1965</v>
      </c>
    </row>
    <row r="9" spans="1:6" x14ac:dyDescent="0.15">
      <c r="A9" s="64" t="s">
        <v>667</v>
      </c>
      <c r="B9" s="69">
        <v>1</v>
      </c>
    </row>
    <row r="10" spans="1:6" x14ac:dyDescent="0.15">
      <c r="A10" s="64" t="s">
        <v>672</v>
      </c>
      <c r="B10" s="69">
        <v>1</v>
      </c>
    </row>
    <row r="11" spans="1:6" x14ac:dyDescent="0.15">
      <c r="A11" s="64" t="s">
        <v>217</v>
      </c>
      <c r="B11" s="69">
        <v>1</v>
      </c>
    </row>
    <row r="12" spans="1:6" x14ac:dyDescent="0.15">
      <c r="A12" s="64" t="s">
        <v>1264</v>
      </c>
      <c r="B12" s="69">
        <v>1</v>
      </c>
    </row>
    <row r="13" spans="1:6" x14ac:dyDescent="0.15">
      <c r="A13" s="64" t="s">
        <v>1066</v>
      </c>
      <c r="B13" s="69">
        <v>1</v>
      </c>
    </row>
    <row r="14" spans="1:6" x14ac:dyDescent="0.15">
      <c r="A14" s="64" t="s">
        <v>680</v>
      </c>
      <c r="B14" s="69">
        <v>1</v>
      </c>
    </row>
    <row r="15" spans="1:6" x14ac:dyDescent="0.15">
      <c r="A15" s="64" t="s">
        <v>1226</v>
      </c>
      <c r="B15" s="69">
        <v>0.8</v>
      </c>
      <c r="C15" s="9" t="s">
        <v>1966</v>
      </c>
    </row>
    <row r="16" spans="1:6" x14ac:dyDescent="0.15">
      <c r="A16" s="64" t="s">
        <v>676</v>
      </c>
      <c r="B16" s="69">
        <v>0.8</v>
      </c>
    </row>
    <row r="17" spans="1:14" x14ac:dyDescent="0.15">
      <c r="A17" s="64" t="s">
        <v>287</v>
      </c>
      <c r="B17" s="69">
        <v>0.5</v>
      </c>
    </row>
    <row r="18" spans="1:14" x14ac:dyDescent="0.15">
      <c r="A18" s="64" t="s">
        <v>233</v>
      </c>
      <c r="B18" s="69">
        <v>0</v>
      </c>
    </row>
    <row r="19" spans="1:14" x14ac:dyDescent="0.15">
      <c r="A19" s="64" t="s">
        <v>1218</v>
      </c>
      <c r="B19" s="69">
        <v>0</v>
      </c>
    </row>
    <row r="20" spans="1:14" x14ac:dyDescent="0.15">
      <c r="A20" s="64" t="s">
        <v>1076</v>
      </c>
      <c r="B20" s="69">
        <v>0</v>
      </c>
    </row>
    <row r="22" spans="1:14" x14ac:dyDescent="0.15">
      <c r="A22" s="75" t="s">
        <v>1947</v>
      </c>
      <c r="B22" s="75" t="s">
        <v>1948</v>
      </c>
      <c r="C22" s="9" t="s">
        <v>1968</v>
      </c>
      <c r="G22" s="80" t="s">
        <v>1984</v>
      </c>
      <c r="H22" s="81" t="s">
        <v>1982</v>
      </c>
      <c r="I22" s="81" t="s">
        <v>1983</v>
      </c>
      <c r="J22" s="81" t="s">
        <v>1985</v>
      </c>
      <c r="K22" s="81" t="s">
        <v>1986</v>
      </c>
      <c r="L22" s="81" t="s">
        <v>1987</v>
      </c>
      <c r="M22" s="81" t="s">
        <v>1988</v>
      </c>
      <c r="N22" s="81" t="s">
        <v>1989</v>
      </c>
    </row>
    <row r="23" spans="1:14" x14ac:dyDescent="0.15">
      <c r="H23" s="64">
        <v>2000</v>
      </c>
      <c r="I23" s="64">
        <v>2009</v>
      </c>
      <c r="J23" s="64">
        <f>MAX(I23-2010+1,0)</f>
        <v>0</v>
      </c>
      <c r="K23" s="64">
        <f>MIN(2010-H23,0)</f>
        <v>0</v>
      </c>
      <c r="L23" s="64">
        <f>MAX(I23-2019,0)</f>
        <v>0</v>
      </c>
      <c r="M23" s="64">
        <f>J23+K23-L23</f>
        <v>0</v>
      </c>
      <c r="N23" s="64">
        <f>MAX(I23-2010+1,0)+MIN(2010-H23,0)-MAX(I23-2019,0)</f>
        <v>0</v>
      </c>
    </row>
    <row r="24" spans="1:14" x14ac:dyDescent="0.15">
      <c r="A24" s="72" t="s">
        <v>1949</v>
      </c>
      <c r="C24" s="9" t="s">
        <v>1969</v>
      </c>
      <c r="H24" s="64">
        <v>2008</v>
      </c>
      <c r="I24" s="64">
        <v>2014</v>
      </c>
      <c r="J24" s="64">
        <f t="shared" ref="J24:J28" si="0">MAX(I24-2010+1,0)</f>
        <v>5</v>
      </c>
      <c r="K24" s="64">
        <f t="shared" ref="K24:K28" si="1">MIN(2010-H24,0)</f>
        <v>0</v>
      </c>
      <c r="L24" s="64">
        <f t="shared" ref="L24:L28" si="2">MAX(I24-2019,0)</f>
        <v>0</v>
      </c>
      <c r="M24" s="64">
        <f t="shared" ref="M24:M28" si="3">J24+K24-L24</f>
        <v>5</v>
      </c>
      <c r="N24" s="64">
        <f t="shared" ref="N24:N28" si="4">MAX(I24-2010+1,0)+MIN(2010-H24,0)-MAX(I24-2019,0)</f>
        <v>5</v>
      </c>
    </row>
    <row r="25" spans="1:14" x14ac:dyDescent="0.15">
      <c r="H25" s="64">
        <v>2010</v>
      </c>
      <c r="I25" s="64">
        <v>2014</v>
      </c>
      <c r="J25" s="64">
        <f t="shared" si="0"/>
        <v>5</v>
      </c>
      <c r="K25" s="64">
        <f t="shared" si="1"/>
        <v>0</v>
      </c>
      <c r="L25" s="64">
        <f t="shared" si="2"/>
        <v>0</v>
      </c>
      <c r="M25" s="64">
        <f t="shared" si="3"/>
        <v>5</v>
      </c>
      <c r="N25" s="64">
        <f t="shared" si="4"/>
        <v>5</v>
      </c>
    </row>
    <row r="26" spans="1:14" x14ac:dyDescent="0.15">
      <c r="A26" s="72" t="s">
        <v>1950</v>
      </c>
      <c r="B26" s="70" t="s">
        <v>1965</v>
      </c>
      <c r="H26" s="64">
        <v>2011</v>
      </c>
      <c r="I26" s="64">
        <v>2014</v>
      </c>
      <c r="J26" s="64">
        <f t="shared" si="0"/>
        <v>5</v>
      </c>
      <c r="K26" s="64">
        <f t="shared" si="1"/>
        <v>-1</v>
      </c>
      <c r="L26" s="64">
        <f t="shared" si="2"/>
        <v>0</v>
      </c>
      <c r="M26" s="64">
        <f t="shared" si="3"/>
        <v>4</v>
      </c>
      <c r="N26" s="64">
        <f t="shared" si="4"/>
        <v>4</v>
      </c>
    </row>
    <row r="27" spans="1:14" x14ac:dyDescent="0.15">
      <c r="A27" s="64" t="s">
        <v>1742</v>
      </c>
      <c r="B27" s="69">
        <v>1</v>
      </c>
      <c r="H27" s="64">
        <v>2015</v>
      </c>
      <c r="I27" s="64">
        <v>2019</v>
      </c>
      <c r="J27" s="64">
        <f t="shared" si="0"/>
        <v>10</v>
      </c>
      <c r="K27" s="64">
        <f t="shared" si="1"/>
        <v>-5</v>
      </c>
      <c r="L27" s="64">
        <f t="shared" si="2"/>
        <v>0</v>
      </c>
      <c r="M27" s="64">
        <f t="shared" si="3"/>
        <v>5</v>
      </c>
      <c r="N27" s="64">
        <f t="shared" si="4"/>
        <v>5</v>
      </c>
    </row>
    <row r="28" spans="1:14" x14ac:dyDescent="0.15">
      <c r="A28" s="64" t="s">
        <v>1794</v>
      </c>
      <c r="B28" s="69">
        <v>0.9</v>
      </c>
      <c r="H28" s="64">
        <v>2000</v>
      </c>
      <c r="I28" s="64">
        <v>2020</v>
      </c>
      <c r="J28" s="64">
        <f t="shared" si="0"/>
        <v>11</v>
      </c>
      <c r="K28" s="64">
        <f t="shared" si="1"/>
        <v>0</v>
      </c>
      <c r="L28" s="64">
        <f t="shared" si="2"/>
        <v>1</v>
      </c>
      <c r="M28" s="64">
        <f t="shared" si="3"/>
        <v>10</v>
      </c>
      <c r="N28" s="64">
        <f t="shared" si="4"/>
        <v>10</v>
      </c>
    </row>
    <row r="29" spans="1:14" x14ac:dyDescent="0.15">
      <c r="A29" s="64" t="s">
        <v>1772</v>
      </c>
      <c r="B29" s="69">
        <v>0.9</v>
      </c>
    </row>
    <row r="30" spans="1:14" x14ac:dyDescent="0.15">
      <c r="A30" s="64" t="s">
        <v>1711</v>
      </c>
      <c r="B30" s="69">
        <v>0.8</v>
      </c>
    </row>
    <row r="31" spans="1:14" x14ac:dyDescent="0.15">
      <c r="A31" s="64" t="s">
        <v>1737</v>
      </c>
      <c r="B31" s="69">
        <v>0.5</v>
      </c>
    </row>
    <row r="32" spans="1:14" x14ac:dyDescent="0.15">
      <c r="A32" s="64" t="s">
        <v>1817</v>
      </c>
      <c r="B32" s="69">
        <v>0</v>
      </c>
    </row>
    <row r="34" spans="1:3" x14ac:dyDescent="0.15">
      <c r="A34" s="73" t="s">
        <v>1951</v>
      </c>
      <c r="B34" s="68" t="s">
        <v>1965</v>
      </c>
    </row>
    <row r="35" spans="1:3" x14ac:dyDescent="0.15">
      <c r="A35" s="69">
        <v>0</v>
      </c>
      <c r="B35" s="69">
        <v>1</v>
      </c>
      <c r="C35" s="9" t="s">
        <v>1979</v>
      </c>
    </row>
    <row r="36" spans="1:3" x14ac:dyDescent="0.15">
      <c r="A36" s="69">
        <v>1</v>
      </c>
      <c r="B36" s="69">
        <v>0.9</v>
      </c>
    </row>
    <row r="37" spans="1:3" x14ac:dyDescent="0.15">
      <c r="A37" s="69">
        <v>2</v>
      </c>
      <c r="B37" s="69">
        <v>0.8</v>
      </c>
    </row>
    <row r="38" spans="1:3" x14ac:dyDescent="0.15">
      <c r="A38" s="69">
        <v>3</v>
      </c>
      <c r="B38" s="69">
        <v>0.7</v>
      </c>
    </row>
    <row r="39" spans="1:3" x14ac:dyDescent="0.15">
      <c r="A39" s="69">
        <v>4</v>
      </c>
      <c r="B39" s="69">
        <v>0.6</v>
      </c>
    </row>
    <row r="40" spans="1:3" x14ac:dyDescent="0.15">
      <c r="A40" s="69">
        <v>5</v>
      </c>
      <c r="B40" s="69">
        <v>0.5</v>
      </c>
    </row>
    <row r="41" spans="1:3" x14ac:dyDescent="0.15">
      <c r="A41" s="69">
        <v>7</v>
      </c>
      <c r="B41" s="69">
        <v>0.3</v>
      </c>
    </row>
    <row r="42" spans="1:3" x14ac:dyDescent="0.15">
      <c r="A42" s="69">
        <v>8</v>
      </c>
      <c r="B42" s="69">
        <v>0.2</v>
      </c>
    </row>
    <row r="43" spans="1:3" x14ac:dyDescent="0.15">
      <c r="A43" s="69">
        <v>10</v>
      </c>
      <c r="B43" s="69">
        <v>0.1</v>
      </c>
    </row>
    <row r="44" spans="1:3" x14ac:dyDescent="0.15">
      <c r="A44" s="69">
        <v>12</v>
      </c>
      <c r="B44" s="69">
        <v>0</v>
      </c>
    </row>
    <row r="45" spans="1:3" x14ac:dyDescent="0.15">
      <c r="A45" s="69" t="s">
        <v>215</v>
      </c>
      <c r="B45" s="69">
        <v>0</v>
      </c>
    </row>
    <row r="46" spans="1:3" x14ac:dyDescent="0.15">
      <c r="A46" s="69" t="s">
        <v>1070</v>
      </c>
      <c r="B46" s="69">
        <v>0</v>
      </c>
    </row>
    <row r="48" spans="1:3" x14ac:dyDescent="0.15">
      <c r="A48" s="74" t="s">
        <v>1953</v>
      </c>
      <c r="B48" s="70" t="s">
        <v>1965</v>
      </c>
    </row>
    <row r="49" spans="1:3" x14ac:dyDescent="0.15">
      <c r="A49" s="64" t="s">
        <v>1744</v>
      </c>
      <c r="B49" s="69">
        <v>0.5</v>
      </c>
    </row>
    <row r="50" spans="1:3" x14ac:dyDescent="0.15">
      <c r="A50" s="64" t="s">
        <v>1821</v>
      </c>
      <c r="B50" s="69">
        <v>0.8</v>
      </c>
    </row>
    <row r="51" spans="1:3" x14ac:dyDescent="0.15">
      <c r="A51" s="64" t="s">
        <v>1738</v>
      </c>
      <c r="B51" s="69">
        <v>1</v>
      </c>
    </row>
    <row r="52" spans="1:3" x14ac:dyDescent="0.15">
      <c r="A52" s="64" t="s">
        <v>1713</v>
      </c>
      <c r="B52" s="69">
        <v>1</v>
      </c>
    </row>
    <row r="53" spans="1:3" x14ac:dyDescent="0.15">
      <c r="A53" s="64" t="s">
        <v>1721</v>
      </c>
      <c r="B53" s="69">
        <v>1</v>
      </c>
      <c r="C53" s="9" t="s">
        <v>1967</v>
      </c>
    </row>
    <row r="54" spans="1:3" x14ac:dyDescent="0.15">
      <c r="A54" s="64" t="s">
        <v>1070</v>
      </c>
      <c r="B54" s="69">
        <v>0</v>
      </c>
    </row>
    <row r="56" spans="1:3" x14ac:dyDescent="0.15">
      <c r="A56" s="72" t="s">
        <v>1954</v>
      </c>
      <c r="C56" s="9" t="s">
        <v>1970</v>
      </c>
    </row>
    <row r="58" spans="1:3" x14ac:dyDescent="0.15">
      <c r="A58" s="72" t="s">
        <v>1955</v>
      </c>
      <c r="C58" s="9" t="s">
        <v>1970</v>
      </c>
    </row>
    <row r="60" spans="1:3" x14ac:dyDescent="0.15">
      <c r="A60" s="77" t="s">
        <v>1990</v>
      </c>
      <c r="B60" s="76" t="s">
        <v>1991</v>
      </c>
    </row>
    <row r="61" spans="1:3" x14ac:dyDescent="0.15">
      <c r="A61" s="82" t="s">
        <v>1971</v>
      </c>
      <c r="B61" s="69">
        <v>1</v>
      </c>
    </row>
    <row r="62" spans="1:3" x14ac:dyDescent="0.15">
      <c r="A62" s="82" t="s">
        <v>1972</v>
      </c>
      <c r="B62" s="69">
        <v>1</v>
      </c>
    </row>
    <row r="63" spans="1:3" x14ac:dyDescent="0.15">
      <c r="A63" s="82" t="s">
        <v>1981</v>
      </c>
      <c r="B63" s="69">
        <v>1</v>
      </c>
    </row>
    <row r="64" spans="1:3" x14ac:dyDescent="0.15">
      <c r="A64" s="82" t="s">
        <v>1973</v>
      </c>
      <c r="B64" s="69">
        <v>0.5</v>
      </c>
    </row>
    <row r="65" spans="1:3" x14ac:dyDescent="0.15">
      <c r="A65" s="82" t="s">
        <v>1974</v>
      </c>
      <c r="B65" s="69">
        <v>1</v>
      </c>
    </row>
    <row r="66" spans="1:3" x14ac:dyDescent="0.15">
      <c r="A66" s="82" t="s">
        <v>1975</v>
      </c>
      <c r="B66" s="69">
        <v>0.5</v>
      </c>
    </row>
    <row r="67" spans="1:3" x14ac:dyDescent="0.15">
      <c r="A67" s="82" t="s">
        <v>1976</v>
      </c>
      <c r="B67" s="69">
        <v>1</v>
      </c>
    </row>
    <row r="68" spans="1:3" x14ac:dyDescent="0.15">
      <c r="A68" s="82" t="s">
        <v>1977</v>
      </c>
      <c r="B68" s="69">
        <v>0.25</v>
      </c>
    </row>
    <row r="69" spans="1:3" x14ac:dyDescent="0.15">
      <c r="A69" s="82" t="s">
        <v>1978</v>
      </c>
      <c r="B69" s="69">
        <v>0.25</v>
      </c>
    </row>
    <row r="70" spans="1:3" x14ac:dyDescent="0.15">
      <c r="A70" s="83" t="s">
        <v>1992</v>
      </c>
      <c r="B70" s="84">
        <f>SUM(B61:B69)</f>
        <v>6.5</v>
      </c>
    </row>
    <row r="74" spans="1:3" x14ac:dyDescent="0.15">
      <c r="A74" s="86" t="s">
        <v>1993</v>
      </c>
      <c r="B74" s="86" t="s">
        <v>1994</v>
      </c>
      <c r="C74" s="86" t="s">
        <v>1995</v>
      </c>
    </row>
    <row r="75" spans="1:3" x14ac:dyDescent="0.15">
      <c r="A75" s="69">
        <v>0.1</v>
      </c>
      <c r="B75" s="69">
        <f>COUNTIF(tblMeasure[msr_strength],"&lt;=" &amp;measure_strength_model!A75)</f>
        <v>0</v>
      </c>
      <c r="C75" s="64">
        <v>0</v>
      </c>
    </row>
    <row r="76" spans="1:3" x14ac:dyDescent="0.15">
      <c r="A76" s="69">
        <v>0.2</v>
      </c>
      <c r="B76" s="69">
        <f>COUNTIF(tblMeasure[msr_strength],"&lt;=" &amp;measure_strength_model!A76)</f>
        <v>0</v>
      </c>
      <c r="C76" s="64">
        <f>B76-B75</f>
        <v>0</v>
      </c>
    </row>
    <row r="77" spans="1:3" x14ac:dyDescent="0.15">
      <c r="A77" s="69">
        <v>0.3</v>
      </c>
      <c r="B77" s="69">
        <f>COUNTIF(tblMeasure[msr_strength],"&lt;=" &amp;measure_strength_model!A77)</f>
        <v>1</v>
      </c>
      <c r="C77" s="64">
        <f t="shared" ref="C77:C84" si="5">B77-B76</f>
        <v>1</v>
      </c>
    </row>
    <row r="78" spans="1:3" x14ac:dyDescent="0.15">
      <c r="A78" s="69">
        <v>0.4</v>
      </c>
      <c r="B78" s="69">
        <f>COUNTIF(tblMeasure[msr_strength],"&lt;=" &amp;measure_strength_model!A78)</f>
        <v>143</v>
      </c>
      <c r="C78" s="64">
        <f t="shared" si="5"/>
        <v>142</v>
      </c>
    </row>
    <row r="79" spans="1:3" x14ac:dyDescent="0.15">
      <c r="A79" s="69">
        <v>0.5</v>
      </c>
      <c r="B79" s="69">
        <f>COUNTIF(tblMeasure[msr_strength],"&lt;=" &amp;measure_strength_model!A79)</f>
        <v>161</v>
      </c>
      <c r="C79" s="64">
        <f t="shared" si="5"/>
        <v>18</v>
      </c>
    </row>
    <row r="80" spans="1:3" x14ac:dyDescent="0.15">
      <c r="A80" s="69">
        <v>0.6</v>
      </c>
      <c r="B80" s="69">
        <f>COUNTIF(tblMeasure[msr_strength],"&lt;=" &amp;measure_strength_model!A80)</f>
        <v>249</v>
      </c>
      <c r="C80" s="64">
        <f t="shared" si="5"/>
        <v>88</v>
      </c>
    </row>
    <row r="81" spans="1:3" x14ac:dyDescent="0.15">
      <c r="A81" s="69">
        <v>0.7</v>
      </c>
      <c r="B81" s="69">
        <f>COUNTIF(tblMeasure[msr_strength],"&lt;=" &amp;measure_strength_model!A81)</f>
        <v>355</v>
      </c>
      <c r="C81" s="64">
        <f t="shared" si="5"/>
        <v>106</v>
      </c>
    </row>
    <row r="82" spans="1:3" x14ac:dyDescent="0.15">
      <c r="A82" s="69">
        <v>0.8</v>
      </c>
      <c r="B82" s="69">
        <f>COUNTIF(tblMeasure[msr_strength],"&lt;=" &amp;measure_strength_model!A82)</f>
        <v>423</v>
      </c>
      <c r="C82" s="64">
        <f t="shared" si="5"/>
        <v>68</v>
      </c>
    </row>
    <row r="83" spans="1:3" x14ac:dyDescent="0.15">
      <c r="A83" s="69">
        <v>0.9</v>
      </c>
      <c r="B83" s="69">
        <f>COUNTIF(tblMeasure[msr_strength],"&lt;=" &amp;measure_strength_model!A83)</f>
        <v>544</v>
      </c>
      <c r="C83" s="64">
        <f t="shared" si="5"/>
        <v>121</v>
      </c>
    </row>
    <row r="84" spans="1:3" x14ac:dyDescent="0.15">
      <c r="A84" s="69">
        <v>1</v>
      </c>
      <c r="B84" s="69">
        <f>COUNTIF(tblMeasure[msr_strength],"&lt;=" &amp;measure_strength_model!A84)</f>
        <v>550</v>
      </c>
      <c r="C84" s="64">
        <f t="shared" si="5"/>
        <v>6</v>
      </c>
    </row>
  </sheetData>
  <sortState xmlns:xlrd2="http://schemas.microsoft.com/office/spreadsheetml/2017/richdata2" ref="A9:B20">
    <sortCondition descending="1" ref="B9:B20"/>
  </sortState>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A3FC-9570-45F7-B666-EEC9D3E8520B}">
  <sheetPr>
    <tabColor theme="9" tint="-0.499984740745262"/>
  </sheetPr>
  <dimension ref="A1:R36"/>
  <sheetViews>
    <sheetView zoomScale="130" zoomScaleNormal="130" workbookViewId="0">
      <pane ySplit="2" topLeftCell="A3" activePane="bottomLeft" state="frozen"/>
      <selection pane="bottomLeft" activeCell="C3" sqref="C3:C34"/>
    </sheetView>
  </sheetViews>
  <sheetFormatPr baseColWidth="10" defaultColWidth="8.83203125" defaultRowHeight="12" x14ac:dyDescent="0.15"/>
  <cols>
    <col min="1" max="1" width="7.6640625" style="16" customWidth="1"/>
    <col min="2" max="2" width="36.33203125" style="16" customWidth="1"/>
    <col min="3" max="3" width="39.83203125" style="16" customWidth="1"/>
    <col min="4" max="4" width="15" style="16" customWidth="1"/>
    <col min="5" max="16" width="5.6640625" style="16" customWidth="1"/>
    <col min="17" max="17" width="9.83203125" style="16" customWidth="1"/>
    <col min="18" max="18" width="157" style="16" bestFit="1" customWidth="1"/>
    <col min="19" max="16384" width="8.83203125" style="16"/>
  </cols>
  <sheetData>
    <row r="1" spans="1:18" s="12" customFormat="1" ht="34.5" customHeight="1" x14ac:dyDescent="0.2">
      <c r="A1" s="100" t="s">
        <v>1691</v>
      </c>
      <c r="B1" s="100"/>
      <c r="C1" s="100"/>
      <c r="D1" s="100"/>
      <c r="E1" s="100"/>
      <c r="F1" s="100"/>
      <c r="G1" s="100"/>
      <c r="H1" s="100"/>
      <c r="I1" s="100"/>
      <c r="J1" s="100"/>
      <c r="K1" s="100"/>
      <c r="L1" s="100"/>
      <c r="M1" s="100"/>
      <c r="N1" s="100"/>
      <c r="O1" s="100"/>
      <c r="P1" s="100"/>
      <c r="Q1" s="100"/>
      <c r="R1" s="100"/>
    </row>
    <row r="2" spans="1:18" x14ac:dyDescent="0.15">
      <c r="A2" s="16" t="s">
        <v>207</v>
      </c>
      <c r="B2" s="16" t="s">
        <v>1692</v>
      </c>
      <c r="C2" s="16" t="s">
        <v>1691</v>
      </c>
      <c r="D2" s="16" t="s">
        <v>1693</v>
      </c>
      <c r="E2" s="16" t="s">
        <v>1694</v>
      </c>
      <c r="F2" s="16" t="s">
        <v>1695</v>
      </c>
      <c r="G2" s="16" t="s">
        <v>1696</v>
      </c>
      <c r="H2" s="16" t="s">
        <v>1697</v>
      </c>
      <c r="I2" s="16" t="s">
        <v>1698</v>
      </c>
      <c r="J2" s="16" t="s">
        <v>1699</v>
      </c>
      <c r="K2" s="16" t="s">
        <v>1700</v>
      </c>
      <c r="L2" s="16" t="s">
        <v>1701</v>
      </c>
      <c r="M2" s="16" t="s">
        <v>1702</v>
      </c>
      <c r="N2" s="16" t="s">
        <v>1703</v>
      </c>
      <c r="O2" s="16" t="s">
        <v>1704</v>
      </c>
      <c r="P2" s="16" t="s">
        <v>1705</v>
      </c>
      <c r="Q2" s="59" t="s">
        <v>191</v>
      </c>
      <c r="R2" s="16" t="s">
        <v>1706</v>
      </c>
    </row>
    <row r="3" spans="1:18" x14ac:dyDescent="0.15">
      <c r="A3" s="15">
        <v>1</v>
      </c>
      <c r="B3" s="15" t="s">
        <v>1707</v>
      </c>
      <c r="C3" s="15" t="s">
        <v>1708</v>
      </c>
      <c r="D3" s="29" t="s">
        <v>1709</v>
      </c>
      <c r="E3" s="30">
        <v>2016</v>
      </c>
      <c r="F3" s="30">
        <v>2019</v>
      </c>
      <c r="G3" s="30" t="s">
        <v>1710</v>
      </c>
      <c r="H3" s="30" t="s">
        <v>1711</v>
      </c>
      <c r="I3" s="30">
        <v>7</v>
      </c>
      <c r="J3" s="30" t="s">
        <v>233</v>
      </c>
      <c r="K3" s="30" t="s">
        <v>217</v>
      </c>
      <c r="L3" s="30" t="s">
        <v>1712</v>
      </c>
      <c r="M3" s="30" t="s">
        <v>1713</v>
      </c>
      <c r="N3" s="31" t="s">
        <v>1714</v>
      </c>
      <c r="O3" s="30" t="s">
        <v>1070</v>
      </c>
      <c r="P3" s="31" t="s">
        <v>1715</v>
      </c>
      <c r="Q3" s="31" t="str">
        <f>tblSource[[#This Row],[org]]&amp;":"&amp;tblSource[[#This Row],[source]]</f>
        <v>NHS Digital:Adult Social Care Activity and Finance Report</v>
      </c>
      <c r="R3" s="30" t="s">
        <v>1716</v>
      </c>
    </row>
    <row r="4" spans="1:18" x14ac:dyDescent="0.15">
      <c r="A4" s="15">
        <v>2</v>
      </c>
      <c r="B4" s="15" t="s">
        <v>1707</v>
      </c>
      <c r="C4" s="15" t="s">
        <v>1309</v>
      </c>
      <c r="D4" s="29" t="s">
        <v>1717</v>
      </c>
      <c r="E4" s="30">
        <v>2012</v>
      </c>
      <c r="F4" s="30">
        <v>2019</v>
      </c>
      <c r="G4" s="30" t="s">
        <v>1718</v>
      </c>
      <c r="H4" s="30" t="s">
        <v>1711</v>
      </c>
      <c r="I4" s="30">
        <v>7</v>
      </c>
      <c r="J4" s="30" t="s">
        <v>233</v>
      </c>
      <c r="K4" s="30" t="s">
        <v>1719</v>
      </c>
      <c r="L4" s="30" t="s">
        <v>1720</v>
      </c>
      <c r="M4" s="30" t="s">
        <v>1721</v>
      </c>
      <c r="N4" s="29" t="s">
        <v>1722</v>
      </c>
      <c r="O4" s="30" t="s">
        <v>1070</v>
      </c>
      <c r="P4" s="29" t="s">
        <v>1722</v>
      </c>
      <c r="Q4" s="31" t="str">
        <f>tblSource[[#This Row],[org]]&amp;":"&amp;tblSource[[#This Row],[source]]</f>
        <v>NHS Digital:ASCOF</v>
      </c>
      <c r="R4" s="30" t="s">
        <v>1723</v>
      </c>
    </row>
    <row r="5" spans="1:18" x14ac:dyDescent="0.15">
      <c r="A5" s="15">
        <v>3</v>
      </c>
      <c r="B5" s="15" t="s">
        <v>1707</v>
      </c>
      <c r="C5" s="15" t="s">
        <v>224</v>
      </c>
      <c r="D5" s="29" t="s">
        <v>1724</v>
      </c>
      <c r="E5" s="30">
        <v>2016</v>
      </c>
      <c r="F5" s="30">
        <v>2019</v>
      </c>
      <c r="G5" s="30" t="s">
        <v>1725</v>
      </c>
      <c r="H5" s="30" t="s">
        <v>1711</v>
      </c>
      <c r="I5" s="30" t="s">
        <v>1070</v>
      </c>
      <c r="J5" s="30" t="s">
        <v>233</v>
      </c>
      <c r="K5" s="30" t="s">
        <v>217</v>
      </c>
      <c r="L5" s="30" t="s">
        <v>1710</v>
      </c>
      <c r="M5" s="30" t="s">
        <v>1070</v>
      </c>
      <c r="N5" s="30" t="s">
        <v>1070</v>
      </c>
      <c r="O5" s="30" t="s">
        <v>1070</v>
      </c>
      <c r="P5" s="29" t="s">
        <v>1722</v>
      </c>
      <c r="Q5" s="31" t="str">
        <f>tblSource[[#This Row],[org]]&amp;":"&amp;tblSource[[#This Row],[source]]</f>
        <v>NHS Digital:SALT</v>
      </c>
      <c r="R5" s="30" t="s">
        <v>1726</v>
      </c>
    </row>
    <row r="6" spans="1:18" x14ac:dyDescent="0.15">
      <c r="A6" s="15">
        <v>4</v>
      </c>
      <c r="B6" s="15" t="s">
        <v>1707</v>
      </c>
      <c r="C6" s="15" t="s">
        <v>1727</v>
      </c>
      <c r="D6" s="29" t="s">
        <v>1728</v>
      </c>
      <c r="E6" s="30">
        <v>2015</v>
      </c>
      <c r="F6" s="30">
        <v>2019</v>
      </c>
      <c r="G6" s="30"/>
      <c r="H6" s="30" t="s">
        <v>1711</v>
      </c>
      <c r="I6" s="30" t="s">
        <v>1070</v>
      </c>
      <c r="J6" s="30" t="s">
        <v>233</v>
      </c>
      <c r="K6" s="30" t="s">
        <v>217</v>
      </c>
      <c r="L6" s="30" t="s">
        <v>1710</v>
      </c>
      <c r="M6" s="30" t="s">
        <v>1070</v>
      </c>
      <c r="N6" s="29" t="s">
        <v>1729</v>
      </c>
      <c r="O6" s="30" t="s">
        <v>1070</v>
      </c>
      <c r="P6" s="29" t="s">
        <v>1730</v>
      </c>
      <c r="Q6" s="31" t="str">
        <f>tblSource[[#This Row],[org]]&amp;":"&amp;tblSource[[#This Row],[source]]</f>
        <v>NHS Digital:ASC-FR</v>
      </c>
      <c r="R6" s="30" t="s">
        <v>1726</v>
      </c>
    </row>
    <row r="7" spans="1:18" x14ac:dyDescent="0.15">
      <c r="A7" s="15">
        <v>5</v>
      </c>
      <c r="B7" s="15" t="s">
        <v>1707</v>
      </c>
      <c r="C7" s="15" t="s">
        <v>1731</v>
      </c>
      <c r="D7" s="29" t="s">
        <v>1732</v>
      </c>
      <c r="E7" s="30">
        <v>2010</v>
      </c>
      <c r="F7" s="30">
        <v>2019</v>
      </c>
      <c r="G7" s="30">
        <v>2017</v>
      </c>
      <c r="H7" s="30" t="s">
        <v>1711</v>
      </c>
      <c r="I7" s="30">
        <v>3</v>
      </c>
      <c r="J7" s="30" t="s">
        <v>233</v>
      </c>
      <c r="K7" s="30" t="s">
        <v>217</v>
      </c>
      <c r="L7" s="30" t="s">
        <v>1710</v>
      </c>
      <c r="M7" s="30" t="s">
        <v>1721</v>
      </c>
      <c r="N7" s="29" t="s">
        <v>1733</v>
      </c>
      <c r="O7" s="30" t="s">
        <v>1070</v>
      </c>
      <c r="P7" s="30" t="s">
        <v>1070</v>
      </c>
      <c r="Q7" s="31" t="str">
        <f>tblSource[[#This Row],[org]]&amp;":"&amp;tblSource[[#This Row],[source]]</f>
        <v>NHS Digital:Deprivation of Liberty Safeguards</v>
      </c>
      <c r="R7" s="30"/>
    </row>
    <row r="8" spans="1:18" x14ac:dyDescent="0.15">
      <c r="A8" s="15">
        <v>6</v>
      </c>
      <c r="B8" s="15" t="s">
        <v>1707</v>
      </c>
      <c r="C8" s="15" t="s">
        <v>1734</v>
      </c>
      <c r="D8" s="29" t="s">
        <v>1735</v>
      </c>
      <c r="E8" s="30">
        <v>2005</v>
      </c>
      <c r="F8" s="30">
        <v>2018</v>
      </c>
      <c r="G8" s="30" t="s">
        <v>1736</v>
      </c>
      <c r="H8" s="30" t="s">
        <v>1737</v>
      </c>
      <c r="I8" s="30">
        <v>4</v>
      </c>
      <c r="J8" s="30" t="s">
        <v>233</v>
      </c>
      <c r="K8" s="30" t="s">
        <v>217</v>
      </c>
      <c r="L8" s="30" t="s">
        <v>1710</v>
      </c>
      <c r="M8" s="30" t="s">
        <v>1738</v>
      </c>
      <c r="N8" s="29" t="s">
        <v>1739</v>
      </c>
      <c r="O8" s="30" t="s">
        <v>1070</v>
      </c>
      <c r="P8" s="29" t="s">
        <v>1739</v>
      </c>
      <c r="Q8" s="31" t="str">
        <f>tblSource[[#This Row],[org]]&amp;":"&amp;tblSource[[#This Row],[source]]</f>
        <v>NHS Digital:Guardianship under the Mental Health Act</v>
      </c>
      <c r="R8" s="30"/>
    </row>
    <row r="9" spans="1:18" x14ac:dyDescent="0.15">
      <c r="A9" s="15">
        <v>7</v>
      </c>
      <c r="B9" s="15" t="s">
        <v>1707</v>
      </c>
      <c r="C9" s="15" t="s">
        <v>1740</v>
      </c>
      <c r="D9" s="29" t="s">
        <v>1741</v>
      </c>
      <c r="E9" s="30">
        <v>2015</v>
      </c>
      <c r="F9" s="30">
        <v>2020</v>
      </c>
      <c r="G9" s="30" t="s">
        <v>1070</v>
      </c>
      <c r="H9" s="30" t="s">
        <v>1742</v>
      </c>
      <c r="I9" s="30">
        <v>1</v>
      </c>
      <c r="J9" s="30" t="s">
        <v>233</v>
      </c>
      <c r="K9" s="30" t="s">
        <v>667</v>
      </c>
      <c r="L9" s="30" t="s">
        <v>1743</v>
      </c>
      <c r="M9" s="30" t="s">
        <v>1744</v>
      </c>
      <c r="N9" s="29" t="s">
        <v>1745</v>
      </c>
      <c r="O9" s="30" t="s">
        <v>1070</v>
      </c>
      <c r="P9" s="29" t="s">
        <v>1745</v>
      </c>
      <c r="Q9" s="31" t="str">
        <f>tblSource[[#This Row],[org]]&amp;":"&amp;tblSource[[#This Row],[source]]</f>
        <v>NHS Digital:Learning Disability Services Statistics</v>
      </c>
      <c r="R9" s="30" t="s">
        <v>1746</v>
      </c>
    </row>
    <row r="10" spans="1:18" x14ac:dyDescent="0.15">
      <c r="A10" s="15">
        <v>8</v>
      </c>
      <c r="B10" s="15" t="s">
        <v>1707</v>
      </c>
      <c r="C10" s="15" t="s">
        <v>1747</v>
      </c>
      <c r="D10" s="29" t="s">
        <v>1748</v>
      </c>
      <c r="E10" s="30">
        <v>2010</v>
      </c>
      <c r="F10" s="30">
        <v>2019</v>
      </c>
      <c r="G10" s="30"/>
      <c r="H10" s="30" t="s">
        <v>1737</v>
      </c>
      <c r="I10" s="30">
        <v>3</v>
      </c>
      <c r="J10" s="30" t="s">
        <v>233</v>
      </c>
      <c r="K10" s="30" t="s">
        <v>217</v>
      </c>
      <c r="L10" s="30" t="s">
        <v>1710</v>
      </c>
      <c r="M10" s="30" t="s">
        <v>1721</v>
      </c>
      <c r="N10" s="29" t="s">
        <v>1749</v>
      </c>
      <c r="O10" s="30" t="s">
        <v>1070</v>
      </c>
      <c r="P10" s="29" t="s">
        <v>1750</v>
      </c>
      <c r="Q10" s="31" t="str">
        <f>tblSource[[#This Row],[org]]&amp;":"&amp;tblSource[[#This Row],[source]]</f>
        <v>NHS Digital:Personal Social Services (SACE) Survey of Adult Carers in England</v>
      </c>
      <c r="R10" s="30"/>
    </row>
    <row r="11" spans="1:18" x14ac:dyDescent="0.15">
      <c r="A11" s="15">
        <v>9</v>
      </c>
      <c r="B11" s="15" t="s">
        <v>1707</v>
      </c>
      <c r="C11" s="15" t="s">
        <v>1751</v>
      </c>
      <c r="D11" s="29" t="s">
        <v>1752</v>
      </c>
      <c r="E11" s="30">
        <v>2011</v>
      </c>
      <c r="F11" s="30">
        <v>2019</v>
      </c>
      <c r="G11" s="28"/>
      <c r="H11" s="30" t="s">
        <v>1737</v>
      </c>
      <c r="I11" s="30">
        <v>7</v>
      </c>
      <c r="J11" s="30" t="s">
        <v>233</v>
      </c>
      <c r="K11" s="30" t="s">
        <v>217</v>
      </c>
      <c r="L11" s="30" t="s">
        <v>1710</v>
      </c>
      <c r="M11" s="30" t="s">
        <v>1721</v>
      </c>
      <c r="N11" s="29" t="s">
        <v>1753</v>
      </c>
      <c r="O11" s="30" t="s">
        <v>1070</v>
      </c>
      <c r="P11" s="29" t="s">
        <v>1754</v>
      </c>
      <c r="Q11" s="31" t="str">
        <f>tblSource[[#This Row],[org]]&amp;":"&amp;tblSource[[#This Row],[source]]</f>
        <v xml:space="preserve">NHS Digital:Personal Social Services: (ASCS) Adult Social Care Survey, England </v>
      </c>
      <c r="R11" s="33"/>
    </row>
    <row r="12" spans="1:18" x14ac:dyDescent="0.15">
      <c r="A12" s="15">
        <v>10</v>
      </c>
      <c r="B12" s="15" t="s">
        <v>1707</v>
      </c>
      <c r="C12" s="15" t="s">
        <v>1755</v>
      </c>
      <c r="D12" s="29" t="s">
        <v>1756</v>
      </c>
      <c r="E12" s="30">
        <v>2005</v>
      </c>
      <c r="F12" s="30">
        <v>2016</v>
      </c>
      <c r="G12" s="30">
        <v>2015</v>
      </c>
      <c r="H12" s="30" t="s">
        <v>1711</v>
      </c>
      <c r="I12" s="30">
        <v>7</v>
      </c>
      <c r="J12" s="30" t="s">
        <v>233</v>
      </c>
      <c r="K12" s="30" t="s">
        <v>217</v>
      </c>
      <c r="L12" s="30" t="s">
        <v>1710</v>
      </c>
      <c r="M12" s="30" t="s">
        <v>1738</v>
      </c>
      <c r="N12" s="29" t="s">
        <v>1757</v>
      </c>
      <c r="O12" s="30" t="s">
        <v>1070</v>
      </c>
      <c r="P12" s="29" t="s">
        <v>1757</v>
      </c>
      <c r="Q12" s="31" t="str">
        <f>tblSource[[#This Row],[org]]&amp;":"&amp;tblSource[[#This Row],[source]]</f>
        <v>NHS Digital:Personal Social Services: Expenditure and Unit Costs</v>
      </c>
      <c r="R12" s="30" t="s">
        <v>1758</v>
      </c>
    </row>
    <row r="13" spans="1:18" x14ac:dyDescent="0.15">
      <c r="A13" s="15">
        <v>11</v>
      </c>
      <c r="B13" s="15" t="s">
        <v>1707</v>
      </c>
      <c r="C13" s="15" t="s">
        <v>1759</v>
      </c>
      <c r="D13" s="29" t="s">
        <v>1760</v>
      </c>
      <c r="E13" s="30">
        <v>2005</v>
      </c>
      <c r="F13" s="30">
        <v>2019</v>
      </c>
      <c r="G13" s="30">
        <v>2011</v>
      </c>
      <c r="H13" s="30" t="s">
        <v>1711</v>
      </c>
      <c r="I13" s="30">
        <v>5</v>
      </c>
      <c r="J13" s="30" t="s">
        <v>233</v>
      </c>
      <c r="K13" s="30" t="s">
        <v>1761</v>
      </c>
      <c r="L13" s="30" t="s">
        <v>807</v>
      </c>
      <c r="M13" s="30" t="s">
        <v>1738</v>
      </c>
      <c r="N13" s="29" t="s">
        <v>1762</v>
      </c>
      <c r="O13" s="30" t="s">
        <v>1070</v>
      </c>
      <c r="P13" s="29" t="s">
        <v>1762</v>
      </c>
      <c r="Q13" s="31" t="str">
        <f>tblSource[[#This Row],[org]]&amp;":"&amp;tblSource[[#This Row],[source]]</f>
        <v>NHS Digital:Personal Social Services: Staff of Social Services Departments</v>
      </c>
      <c r="R13" s="28"/>
    </row>
    <row r="14" spans="1:18" x14ac:dyDescent="0.15">
      <c r="A14" s="15">
        <v>12</v>
      </c>
      <c r="B14" s="15" t="s">
        <v>1707</v>
      </c>
      <c r="C14" s="15" t="s">
        <v>1763</v>
      </c>
      <c r="D14" s="29" t="s">
        <v>1764</v>
      </c>
      <c r="E14" s="30">
        <v>2010</v>
      </c>
      <c r="F14" s="30">
        <v>2019</v>
      </c>
      <c r="G14" s="30">
        <v>2016</v>
      </c>
      <c r="H14" s="30" t="s">
        <v>1711</v>
      </c>
      <c r="I14" s="30">
        <v>3</v>
      </c>
      <c r="J14" s="30" t="s">
        <v>233</v>
      </c>
      <c r="K14" s="30" t="s">
        <v>217</v>
      </c>
      <c r="L14" s="30" t="s">
        <v>1710</v>
      </c>
      <c r="M14" s="30" t="s">
        <v>1744</v>
      </c>
      <c r="N14" s="29" t="s">
        <v>1765</v>
      </c>
      <c r="O14" s="30" t="s">
        <v>1070</v>
      </c>
      <c r="P14" s="29" t="s">
        <v>1765</v>
      </c>
      <c r="Q14" s="31" t="str">
        <f>tblSource[[#This Row],[org]]&amp;":"&amp;tblSource[[#This Row],[source]]</f>
        <v>NHS Digital:Safeguarding Adults</v>
      </c>
      <c r="R14" s="28"/>
    </row>
    <row r="15" spans="1:18" x14ac:dyDescent="0.15">
      <c r="A15" s="15">
        <v>13</v>
      </c>
      <c r="B15" s="15" t="s">
        <v>1766</v>
      </c>
      <c r="C15" s="15" t="s">
        <v>1767</v>
      </c>
      <c r="D15" s="29" t="s">
        <v>1768</v>
      </c>
      <c r="E15" s="30">
        <v>2010</v>
      </c>
      <c r="F15" s="30">
        <v>2020</v>
      </c>
      <c r="G15" s="28"/>
      <c r="H15" s="30" t="s">
        <v>1742</v>
      </c>
      <c r="I15" s="30">
        <v>2</v>
      </c>
      <c r="J15" s="30" t="s">
        <v>233</v>
      </c>
      <c r="K15" s="30" t="s">
        <v>667</v>
      </c>
      <c r="L15" s="30" t="s">
        <v>1710</v>
      </c>
      <c r="M15" s="30" t="s">
        <v>1721</v>
      </c>
      <c r="N15" s="29" t="s">
        <v>1769</v>
      </c>
      <c r="O15" s="30" t="s">
        <v>1070</v>
      </c>
      <c r="P15" s="30" t="s">
        <v>1070</v>
      </c>
      <c r="Q15" s="31" t="str">
        <f>tblSource[[#This Row],[org]]&amp;":"&amp;tblSource[[#This Row],[source]]</f>
        <v>NHS England:Delayed Transfers of Care</v>
      </c>
      <c r="R15" s="30"/>
    </row>
    <row r="16" spans="1:18" x14ac:dyDescent="0.15">
      <c r="A16" s="15">
        <v>14</v>
      </c>
      <c r="B16" s="15" t="s">
        <v>1766</v>
      </c>
      <c r="C16" s="15" t="s">
        <v>1770</v>
      </c>
      <c r="D16" s="29" t="s">
        <v>1771</v>
      </c>
      <c r="E16" s="30">
        <v>2017</v>
      </c>
      <c r="F16" s="30">
        <v>2020</v>
      </c>
      <c r="G16" s="28"/>
      <c r="H16" s="30" t="s">
        <v>1772</v>
      </c>
      <c r="I16" s="30" t="s">
        <v>1070</v>
      </c>
      <c r="J16" s="30" t="s">
        <v>233</v>
      </c>
      <c r="K16" s="30" t="s">
        <v>667</v>
      </c>
      <c r="L16" s="30" t="s">
        <v>1710</v>
      </c>
      <c r="M16" s="30" t="s">
        <v>1721</v>
      </c>
      <c r="N16" s="29" t="s">
        <v>1773</v>
      </c>
      <c r="O16" s="30" t="s">
        <v>1070</v>
      </c>
      <c r="P16" s="29" t="s">
        <v>1774</v>
      </c>
      <c r="Q16" s="31" t="str">
        <f>tblSource[[#This Row],[org]]&amp;":"&amp;tblSource[[#This Row],[source]]</f>
        <v>NHS England:NHS Continuing Healthcare and NHS-funded Nursing Care</v>
      </c>
      <c r="R16" s="30"/>
    </row>
    <row r="17" spans="1:18" x14ac:dyDescent="0.15">
      <c r="A17" s="15">
        <v>15</v>
      </c>
      <c r="B17" s="15" t="s">
        <v>1775</v>
      </c>
      <c r="C17" s="15" t="s">
        <v>1776</v>
      </c>
      <c r="D17" s="29" t="s">
        <v>1777</v>
      </c>
      <c r="E17" s="30">
        <v>1997</v>
      </c>
      <c r="F17" s="30">
        <v>2019</v>
      </c>
      <c r="G17" s="30">
        <v>2015</v>
      </c>
      <c r="H17" s="30" t="s">
        <v>1711</v>
      </c>
      <c r="I17" s="30">
        <v>8</v>
      </c>
      <c r="J17" s="30" t="s">
        <v>233</v>
      </c>
      <c r="K17" s="30" t="s">
        <v>1778</v>
      </c>
      <c r="L17" s="30" t="s">
        <v>1779</v>
      </c>
      <c r="M17" s="30" t="s">
        <v>1721</v>
      </c>
      <c r="N17" s="29" t="s">
        <v>1780</v>
      </c>
      <c r="O17" s="30" t="s">
        <v>1070</v>
      </c>
      <c r="P17" s="29" t="s">
        <v>1780</v>
      </c>
      <c r="Q17" s="31" t="str">
        <f>tblSource[[#This Row],[org]]&amp;":"&amp;tblSource[[#This Row],[source]]</f>
        <v>ONS:Public service productivity, adult social care, England</v>
      </c>
      <c r="R17" s="30"/>
    </row>
    <row r="18" spans="1:18" x14ac:dyDescent="0.15">
      <c r="A18" s="15">
        <v>16</v>
      </c>
      <c r="B18" s="15" t="s">
        <v>1781</v>
      </c>
      <c r="C18" s="15" t="s">
        <v>1782</v>
      </c>
      <c r="D18" s="29" t="s">
        <v>1783</v>
      </c>
      <c r="E18" s="30">
        <v>2012</v>
      </c>
      <c r="F18" s="30">
        <v>2018</v>
      </c>
      <c r="G18" s="30"/>
      <c r="H18" s="30" t="s">
        <v>1711</v>
      </c>
      <c r="I18" s="30" t="s">
        <v>1070</v>
      </c>
      <c r="J18" s="30" t="s">
        <v>233</v>
      </c>
      <c r="K18" s="30" t="s">
        <v>1784</v>
      </c>
      <c r="L18" s="30" t="s">
        <v>1710</v>
      </c>
      <c r="M18" s="30" t="s">
        <v>1070</v>
      </c>
      <c r="N18" s="29" t="s">
        <v>1785</v>
      </c>
      <c r="O18" s="30" t="s">
        <v>1070</v>
      </c>
      <c r="P18" s="29" t="s">
        <v>1785</v>
      </c>
      <c r="Q18" s="31" t="str">
        <f>tblSource[[#This Row],[org]]&amp;":"&amp;tblSource[[#This Row],[source]]</f>
        <v>PHE:Palliative and End of Life Care Profiles - Care Homes and Community</v>
      </c>
      <c r="R18" s="30"/>
    </row>
    <row r="19" spans="1:18" x14ac:dyDescent="0.15">
      <c r="A19" s="15">
        <v>17</v>
      </c>
      <c r="B19" s="15" t="s">
        <v>1786</v>
      </c>
      <c r="C19" s="15" t="s">
        <v>1787</v>
      </c>
      <c r="D19" s="29" t="s">
        <v>1788</v>
      </c>
      <c r="E19" s="30">
        <v>2012</v>
      </c>
      <c r="F19" s="30">
        <v>2019</v>
      </c>
      <c r="G19" s="30"/>
      <c r="H19" s="30" t="s">
        <v>1711</v>
      </c>
      <c r="I19" s="30" t="s">
        <v>1070</v>
      </c>
      <c r="J19" s="30" t="s">
        <v>233</v>
      </c>
      <c r="K19" s="30" t="s">
        <v>1789</v>
      </c>
      <c r="L19" s="30" t="s">
        <v>1790</v>
      </c>
      <c r="M19" s="30" t="s">
        <v>1070</v>
      </c>
      <c r="N19" s="29" t="s">
        <v>1791</v>
      </c>
      <c r="O19" s="30" t="s">
        <v>1070</v>
      </c>
      <c r="P19" s="29" t="s">
        <v>932</v>
      </c>
      <c r="Q19" s="31" t="str">
        <f>tblSource[[#This Row],[org]]&amp;":"&amp;tblSource[[#This Row],[source]]</f>
        <v>Skills for Care:State of the ASC sector and workforce</v>
      </c>
      <c r="R19" s="30"/>
    </row>
    <row r="20" spans="1:18" x14ac:dyDescent="0.15">
      <c r="A20" s="15">
        <v>18</v>
      </c>
      <c r="B20" s="15" t="s">
        <v>1707</v>
      </c>
      <c r="C20" s="15" t="s">
        <v>1792</v>
      </c>
      <c r="D20" s="29" t="s">
        <v>1793</v>
      </c>
      <c r="E20" s="30">
        <v>2010</v>
      </c>
      <c r="F20" s="30">
        <v>2020</v>
      </c>
      <c r="G20" s="30"/>
      <c r="H20" s="30" t="s">
        <v>1794</v>
      </c>
      <c r="I20" s="30">
        <v>0</v>
      </c>
      <c r="J20" s="30" t="s">
        <v>233</v>
      </c>
      <c r="K20" s="30" t="s">
        <v>1795</v>
      </c>
      <c r="L20" s="30" t="s">
        <v>1710</v>
      </c>
      <c r="M20" s="30" t="s">
        <v>1064</v>
      </c>
      <c r="N20" s="29" t="s">
        <v>1796</v>
      </c>
      <c r="O20" s="30" t="s">
        <v>1070</v>
      </c>
      <c r="P20" s="30" t="s">
        <v>1070</v>
      </c>
      <c r="Q20" s="31" t="str">
        <f>tblSource[[#This Row],[org]]&amp;":"&amp;tblSource[[#This Row],[source]]</f>
        <v>NHS Digital:Winter Daily SitRep</v>
      </c>
      <c r="R20" s="58" t="s">
        <v>1797</v>
      </c>
    </row>
    <row r="21" spans="1:18" x14ac:dyDescent="0.15">
      <c r="A21" s="15">
        <v>19</v>
      </c>
      <c r="B21" s="15" t="s">
        <v>1798</v>
      </c>
      <c r="C21" s="15" t="s">
        <v>1799</v>
      </c>
      <c r="D21" s="29" t="s">
        <v>1800</v>
      </c>
      <c r="E21" s="30">
        <v>2010</v>
      </c>
      <c r="F21" s="30">
        <v>2020</v>
      </c>
      <c r="G21" s="30"/>
      <c r="H21" s="30" t="s">
        <v>1742</v>
      </c>
      <c r="I21" s="30" t="s">
        <v>1070</v>
      </c>
      <c r="J21" s="30" t="s">
        <v>233</v>
      </c>
      <c r="K21" s="30" t="s">
        <v>1798</v>
      </c>
      <c r="L21" s="30" t="s">
        <v>1710</v>
      </c>
      <c r="M21" s="30" t="s">
        <v>1064</v>
      </c>
      <c r="N21" s="29" t="s">
        <v>1800</v>
      </c>
      <c r="O21" s="30" t="s">
        <v>1070</v>
      </c>
      <c r="P21" s="30" t="s">
        <v>1070</v>
      </c>
      <c r="Q21" s="31" t="str">
        <f>tblSource[[#This Row],[org]]&amp;":"&amp;tblSource[[#This Row],[source]]</f>
        <v>CQC:State of Care Ratings Data</v>
      </c>
      <c r="R21" s="30"/>
    </row>
    <row r="22" spans="1:18" x14ac:dyDescent="0.15">
      <c r="A22" s="15">
        <v>20</v>
      </c>
      <c r="B22" s="15" t="s">
        <v>1801</v>
      </c>
      <c r="C22" s="15" t="s">
        <v>1802</v>
      </c>
      <c r="D22" s="29" t="s">
        <v>1803</v>
      </c>
      <c r="E22" s="30">
        <v>1994</v>
      </c>
      <c r="F22" s="30">
        <v>2019</v>
      </c>
      <c r="G22" s="28"/>
      <c r="H22" s="30" t="s">
        <v>1711</v>
      </c>
      <c r="I22" s="30" t="s">
        <v>1070</v>
      </c>
      <c r="J22" s="30" t="s">
        <v>1076</v>
      </c>
      <c r="K22" s="30" t="s">
        <v>1801</v>
      </c>
      <c r="L22" s="30" t="s">
        <v>1710</v>
      </c>
      <c r="M22" s="30" t="s">
        <v>1738</v>
      </c>
      <c r="N22" s="29" t="s">
        <v>1804</v>
      </c>
      <c r="O22" s="30" t="s">
        <v>1064</v>
      </c>
      <c r="P22" s="30" t="s">
        <v>1070</v>
      </c>
      <c r="Q22" s="31" t="str">
        <f>tblSource[[#This Row],[org]]&amp;":"&amp;tblSource[[#This Row],[source]]</f>
        <v>DWP:Family Resources Survey</v>
      </c>
      <c r="R22" s="30" t="s">
        <v>1805</v>
      </c>
    </row>
    <row r="23" spans="1:18" x14ac:dyDescent="0.15">
      <c r="A23" s="15">
        <v>21</v>
      </c>
      <c r="B23" s="15" t="s">
        <v>1801</v>
      </c>
      <c r="C23" s="15" t="s">
        <v>1806</v>
      </c>
      <c r="D23" s="29" t="s">
        <v>1807</v>
      </c>
      <c r="E23" s="30">
        <v>2002</v>
      </c>
      <c r="F23" s="30">
        <v>2019</v>
      </c>
      <c r="G23" s="28"/>
      <c r="H23" s="30" t="s">
        <v>1772</v>
      </c>
      <c r="I23" s="30" t="s">
        <v>1070</v>
      </c>
      <c r="J23" s="58" t="s">
        <v>1218</v>
      </c>
      <c r="K23" s="30" t="s">
        <v>1801</v>
      </c>
      <c r="L23" s="30" t="s">
        <v>1710</v>
      </c>
      <c r="M23" s="30" t="s">
        <v>1070</v>
      </c>
      <c r="N23" s="30" t="s">
        <v>1070</v>
      </c>
      <c r="O23" s="30" t="s">
        <v>1070</v>
      </c>
      <c r="P23" s="30" t="s">
        <v>1070</v>
      </c>
      <c r="Q23" s="31" t="str">
        <f>tblSource[[#This Row],[org]]&amp;":"&amp;tblSource[[#This Row],[source]]</f>
        <v>DWP:Stat-Xplore</v>
      </c>
      <c r="R23" s="30"/>
    </row>
    <row r="24" spans="1:18" x14ac:dyDescent="0.15">
      <c r="A24" s="15">
        <v>22</v>
      </c>
      <c r="B24" s="15" t="s">
        <v>1808</v>
      </c>
      <c r="C24" s="15" t="s">
        <v>1809</v>
      </c>
      <c r="D24" s="29" t="s">
        <v>1810</v>
      </c>
      <c r="E24" s="30">
        <v>2005</v>
      </c>
      <c r="F24" s="30">
        <v>2019</v>
      </c>
      <c r="G24" s="30"/>
      <c r="H24" s="30" t="s">
        <v>1711</v>
      </c>
      <c r="I24" s="30" t="s">
        <v>1070</v>
      </c>
      <c r="J24" s="30" t="s">
        <v>1811</v>
      </c>
      <c r="K24" s="30" t="s">
        <v>1812</v>
      </c>
      <c r="L24" s="30" t="s">
        <v>1710</v>
      </c>
      <c r="M24" s="30" t="s">
        <v>1070</v>
      </c>
      <c r="N24" s="30" t="s">
        <v>1070</v>
      </c>
      <c r="O24" s="30" t="s">
        <v>1070</v>
      </c>
      <c r="P24" s="30" t="s">
        <v>1070</v>
      </c>
      <c r="Q24" s="31" t="str">
        <f>tblSource[[#This Row],[org]]&amp;":"&amp;tblSource[[#This Row],[source]]</f>
        <v>GP Contract:Quality and Outcomes Framework (QOF) database</v>
      </c>
      <c r="R24" s="30" t="s">
        <v>1813</v>
      </c>
    </row>
    <row r="25" spans="1:18" x14ac:dyDescent="0.15">
      <c r="A25" s="15">
        <v>23</v>
      </c>
      <c r="B25" s="15" t="s">
        <v>1814</v>
      </c>
      <c r="C25" s="15" t="s">
        <v>1815</v>
      </c>
      <c r="D25" s="29" t="s">
        <v>1816</v>
      </c>
      <c r="E25" s="30">
        <v>2018</v>
      </c>
      <c r="F25" s="30">
        <v>2018</v>
      </c>
      <c r="G25" s="30"/>
      <c r="H25" s="30" t="s">
        <v>1817</v>
      </c>
      <c r="I25" s="30" t="s">
        <v>215</v>
      </c>
      <c r="J25" s="30" t="s">
        <v>233</v>
      </c>
      <c r="K25" s="30" t="s">
        <v>1818</v>
      </c>
      <c r="L25" s="30" t="s">
        <v>1710</v>
      </c>
      <c r="M25" s="30" t="s">
        <v>1070</v>
      </c>
      <c r="N25" s="30" t="s">
        <v>1070</v>
      </c>
      <c r="O25" s="30" t="s">
        <v>1070</v>
      </c>
      <c r="P25" s="30" t="s">
        <v>1070</v>
      </c>
      <c r="Q25" s="31" t="str">
        <f>tblSource[[#This Row],[org]]&amp;":"&amp;tblSource[[#This Row],[source]]</f>
        <v>Ministry of Housing, Communities &amp; Local Government:Disabled Facilities Grant and other adaptations: external review</v>
      </c>
      <c r="R25" s="30" t="s">
        <v>1819</v>
      </c>
    </row>
    <row r="26" spans="1:18" x14ac:dyDescent="0.15">
      <c r="A26" s="15">
        <v>24</v>
      </c>
      <c r="B26" s="15" t="s">
        <v>1814</v>
      </c>
      <c r="C26" s="15" t="s">
        <v>1210</v>
      </c>
      <c r="D26" s="29" t="s">
        <v>1820</v>
      </c>
      <c r="E26" s="30">
        <v>2015</v>
      </c>
      <c r="F26" s="30">
        <v>2020</v>
      </c>
      <c r="G26" s="28"/>
      <c r="H26" s="30" t="s">
        <v>1772</v>
      </c>
      <c r="I26" s="30" t="s">
        <v>1070</v>
      </c>
      <c r="J26" s="30" t="s">
        <v>233</v>
      </c>
      <c r="K26" s="30" t="s">
        <v>1814</v>
      </c>
      <c r="L26" s="30" t="s">
        <v>1710</v>
      </c>
      <c r="M26" s="30" t="s">
        <v>1821</v>
      </c>
      <c r="N26" s="29" t="s">
        <v>1822</v>
      </c>
      <c r="O26" s="30" t="s">
        <v>1070</v>
      </c>
      <c r="P26" s="29" t="s">
        <v>1822</v>
      </c>
      <c r="Q26" s="31" t="str">
        <f>tblSource[[#This Row],[org]]&amp;":"&amp;tblSource[[#This Row],[source]]</f>
        <v>Ministry of Housing, Communities &amp; Local Government:Improved Better Care Fund</v>
      </c>
      <c r="R26" s="30"/>
    </row>
    <row r="27" spans="1:18" x14ac:dyDescent="0.15">
      <c r="A27" s="15">
        <v>25</v>
      </c>
      <c r="B27" s="15" t="s">
        <v>1814</v>
      </c>
      <c r="C27" s="15" t="s">
        <v>1823</v>
      </c>
      <c r="D27" s="29" t="s">
        <v>1824</v>
      </c>
      <c r="E27" s="30">
        <v>2008</v>
      </c>
      <c r="F27" s="30">
        <v>2019</v>
      </c>
      <c r="G27" s="28"/>
      <c r="H27" s="30" t="s">
        <v>1711</v>
      </c>
      <c r="I27" s="30" t="s">
        <v>1070</v>
      </c>
      <c r="J27" s="30" t="s">
        <v>233</v>
      </c>
      <c r="K27" s="30" t="s">
        <v>1814</v>
      </c>
      <c r="L27" s="30" t="s">
        <v>1710</v>
      </c>
      <c r="M27" s="30" t="s">
        <v>1738</v>
      </c>
      <c r="N27" s="29" t="s">
        <v>1825</v>
      </c>
      <c r="O27" s="30" t="s">
        <v>1070</v>
      </c>
      <c r="P27" s="29" t="s">
        <v>1825</v>
      </c>
      <c r="Q27" s="31" t="str">
        <f>tblSource[[#This Row],[org]]&amp;":"&amp;tblSource[[#This Row],[source]]</f>
        <v>Ministry of Housing, Communities &amp; Local Government:LA revenue expenditure and financing</v>
      </c>
      <c r="R27" s="30" t="s">
        <v>1826</v>
      </c>
    </row>
    <row r="28" spans="1:18" x14ac:dyDescent="0.15">
      <c r="A28" s="15">
        <v>26</v>
      </c>
      <c r="B28" s="15" t="s">
        <v>1827</v>
      </c>
      <c r="C28" s="15" t="s">
        <v>1828</v>
      </c>
      <c r="D28" s="29" t="s">
        <v>1829</v>
      </c>
      <c r="E28" s="30">
        <v>2005</v>
      </c>
      <c r="F28" s="30">
        <v>2018</v>
      </c>
      <c r="G28" s="30" t="s">
        <v>1830</v>
      </c>
      <c r="H28" s="30" t="s">
        <v>1711</v>
      </c>
      <c r="I28" s="30" t="s">
        <v>1070</v>
      </c>
      <c r="J28" s="30" t="s">
        <v>1831</v>
      </c>
      <c r="K28" s="30" t="s">
        <v>1827</v>
      </c>
      <c r="L28" s="30" t="s">
        <v>1710</v>
      </c>
      <c r="M28" s="30" t="s">
        <v>1070</v>
      </c>
      <c r="N28" s="29" t="s">
        <v>1832</v>
      </c>
      <c r="O28" s="30" t="s">
        <v>1070</v>
      </c>
      <c r="P28" s="29" t="s">
        <v>1833</v>
      </c>
      <c r="Q28" s="31" t="str">
        <f>tblSource[[#This Row],[org]]&amp;":"&amp;tblSource[[#This Row],[source]]</f>
        <v>NatCen Social Research:British Social Attitudes (BSA) survey</v>
      </c>
      <c r="R28" s="30"/>
    </row>
    <row r="29" spans="1:18" x14ac:dyDescent="0.15">
      <c r="A29" s="15">
        <v>27</v>
      </c>
      <c r="B29" s="15" t="s">
        <v>1834</v>
      </c>
      <c r="C29" s="15" t="s">
        <v>1835</v>
      </c>
      <c r="D29" s="29" t="s">
        <v>1836</v>
      </c>
      <c r="E29" s="30">
        <v>2014</v>
      </c>
      <c r="F29" s="30">
        <v>2019</v>
      </c>
      <c r="G29" s="28"/>
      <c r="H29" s="30" t="s">
        <v>1737</v>
      </c>
      <c r="I29" s="30" t="s">
        <v>1070</v>
      </c>
      <c r="J29" s="30" t="s">
        <v>233</v>
      </c>
      <c r="K29" s="30" t="s">
        <v>1837</v>
      </c>
      <c r="L29" s="30" t="s">
        <v>1710</v>
      </c>
      <c r="M29" s="30" t="s">
        <v>1070</v>
      </c>
      <c r="N29" s="29" t="s">
        <v>1838</v>
      </c>
      <c r="O29" s="30" t="s">
        <v>1070</v>
      </c>
      <c r="P29" s="58" t="s">
        <v>1070</v>
      </c>
      <c r="Q29" s="31" t="str">
        <f>tblSource[[#This Row],[org]]&amp;":"&amp;tblSource[[#This Row],[source]]</f>
        <v>Neurological Alliance:Patient experience survey</v>
      </c>
      <c r="R29" s="58" t="s">
        <v>1839</v>
      </c>
    </row>
    <row r="30" spans="1:18" x14ac:dyDescent="0.15">
      <c r="A30" s="25">
        <v>28</v>
      </c>
      <c r="B30" s="25" t="s">
        <v>1707</v>
      </c>
      <c r="C30" s="25" t="s">
        <v>1840</v>
      </c>
      <c r="D30" s="37" t="s">
        <v>1841</v>
      </c>
      <c r="E30" s="32">
        <v>2004</v>
      </c>
      <c r="F30" s="32">
        <v>2018</v>
      </c>
      <c r="G30" s="30">
        <v>2009</v>
      </c>
      <c r="H30" s="32" t="s">
        <v>1711</v>
      </c>
      <c r="I30" s="30">
        <v>12</v>
      </c>
      <c r="J30" s="30" t="s">
        <v>233</v>
      </c>
      <c r="K30" s="32" t="s">
        <v>1842</v>
      </c>
      <c r="L30" s="30" t="s">
        <v>1710</v>
      </c>
      <c r="M30" s="30" t="s">
        <v>1738</v>
      </c>
      <c r="N30" s="37" t="s">
        <v>1843</v>
      </c>
      <c r="O30" s="30" t="s">
        <v>1070</v>
      </c>
      <c r="P30" s="37" t="s">
        <v>1844</v>
      </c>
      <c r="Q30" s="31" t="str">
        <f>tblSource[[#This Row],[org]]&amp;":"&amp;tblSource[[#This Row],[source]]</f>
        <v>NHS Digital:Health Survey for England</v>
      </c>
      <c r="R30" s="33"/>
    </row>
    <row r="31" spans="1:18" x14ac:dyDescent="0.15">
      <c r="A31" s="25">
        <v>29</v>
      </c>
      <c r="B31" s="25" t="s">
        <v>1766</v>
      </c>
      <c r="C31" s="25" t="s">
        <v>1845</v>
      </c>
      <c r="D31" s="13" t="s">
        <v>1846</v>
      </c>
      <c r="E31" s="32">
        <v>2015</v>
      </c>
      <c r="F31" s="32">
        <v>2018</v>
      </c>
      <c r="G31" s="30"/>
      <c r="H31" s="32" t="s">
        <v>1772</v>
      </c>
      <c r="I31" s="30">
        <v>7</v>
      </c>
      <c r="J31" s="30" t="s">
        <v>233</v>
      </c>
      <c r="K31" s="32" t="s">
        <v>1847</v>
      </c>
      <c r="L31" s="30" t="s">
        <v>1710</v>
      </c>
      <c r="M31" s="30" t="s">
        <v>1821</v>
      </c>
      <c r="N31" s="32" t="s">
        <v>1070</v>
      </c>
      <c r="O31" s="30" t="s">
        <v>1070</v>
      </c>
      <c r="P31" s="30" t="s">
        <v>1070</v>
      </c>
      <c r="Q31" s="31" t="str">
        <f>tblSource[[#This Row],[org]]&amp;":"&amp;tblSource[[#This Row],[source]]</f>
        <v>NHS England:Better Care Fund: Data Collection and Performance Report</v>
      </c>
      <c r="R31" s="32"/>
    </row>
    <row r="32" spans="1:18" x14ac:dyDescent="0.15">
      <c r="A32" s="25">
        <v>30</v>
      </c>
      <c r="B32" s="25" t="s">
        <v>1814</v>
      </c>
      <c r="C32" s="25" t="s">
        <v>1848</v>
      </c>
      <c r="D32" s="13" t="s">
        <v>1820</v>
      </c>
      <c r="E32" s="30">
        <v>2015</v>
      </c>
      <c r="F32" s="30">
        <v>2018</v>
      </c>
      <c r="G32" s="28"/>
      <c r="H32" s="30" t="s">
        <v>1711</v>
      </c>
      <c r="I32" s="30" t="s">
        <v>1070</v>
      </c>
      <c r="J32" s="30" t="s">
        <v>233</v>
      </c>
      <c r="K32" s="30" t="s">
        <v>1814</v>
      </c>
      <c r="L32" s="30" t="s">
        <v>1710</v>
      </c>
      <c r="M32" s="30" t="s">
        <v>1821</v>
      </c>
      <c r="N32" s="30" t="s">
        <v>1070</v>
      </c>
      <c r="O32" s="30" t="s">
        <v>1070</v>
      </c>
      <c r="P32" s="30" t="s">
        <v>1070</v>
      </c>
      <c r="Q32" s="31" t="str">
        <f>tblSource[[#This Row],[org]]&amp;":"&amp;tblSource[[#This Row],[source]]</f>
        <v>Ministry of Housing, Communities &amp; Local Government:Improved Better Care Fund (iBCF): Quarterly and year-end reporting</v>
      </c>
      <c r="R32" s="33"/>
    </row>
    <row r="33" spans="1:18" x14ac:dyDescent="0.15">
      <c r="A33" s="25">
        <v>31</v>
      </c>
      <c r="B33" s="25" t="s">
        <v>1707</v>
      </c>
      <c r="C33" s="25" t="s">
        <v>1340</v>
      </c>
      <c r="D33" s="29" t="s">
        <v>1849</v>
      </c>
      <c r="E33" s="32">
        <v>2018</v>
      </c>
      <c r="F33" s="32">
        <v>2019</v>
      </c>
      <c r="G33" s="30"/>
      <c r="H33" s="32" t="s">
        <v>1711</v>
      </c>
      <c r="I33" s="30">
        <v>8</v>
      </c>
      <c r="J33" s="30" t="s">
        <v>233</v>
      </c>
      <c r="K33" s="32" t="s">
        <v>217</v>
      </c>
      <c r="L33" s="30" t="s">
        <v>1710</v>
      </c>
      <c r="M33" s="30" t="s">
        <v>1744</v>
      </c>
      <c r="N33" s="29" t="s">
        <v>1850</v>
      </c>
      <c r="O33" s="30" t="s">
        <v>1070</v>
      </c>
      <c r="P33" s="29" t="s">
        <v>1851</v>
      </c>
      <c r="Q33" s="31" t="str">
        <f>tblSource[[#This Row],[org]]&amp;":"&amp;tblSource[[#This Row],[source]]</f>
        <v>NHS Digital:Deferred Payment Agreements</v>
      </c>
      <c r="R33" s="32"/>
    </row>
    <row r="34" spans="1:18" x14ac:dyDescent="0.15">
      <c r="A34" s="25">
        <v>32</v>
      </c>
      <c r="B34" s="25" t="s">
        <v>1852</v>
      </c>
      <c r="C34" s="25" t="s">
        <v>1853</v>
      </c>
      <c r="D34" s="13" t="s">
        <v>1359</v>
      </c>
      <c r="E34" s="32">
        <v>2002</v>
      </c>
      <c r="F34" s="32">
        <v>2018</v>
      </c>
      <c r="G34" s="30"/>
      <c r="H34" s="32" t="s">
        <v>1737</v>
      </c>
      <c r="I34" s="30">
        <v>10</v>
      </c>
      <c r="J34" s="30" t="s">
        <v>233</v>
      </c>
      <c r="K34" s="32" t="s">
        <v>1854</v>
      </c>
      <c r="L34" s="30" t="s">
        <v>1710</v>
      </c>
      <c r="M34" s="30" t="s">
        <v>1070</v>
      </c>
      <c r="N34" s="13" t="s">
        <v>1359</v>
      </c>
      <c r="O34" s="30" t="s">
        <v>1070</v>
      </c>
      <c r="P34" s="30" t="s">
        <v>1070</v>
      </c>
      <c r="Q34" s="31" t="str">
        <f>tblSource[[#This Row],[org]]&amp;":"&amp;tblSource[[#This Row],[source]]</f>
        <v>NIH National Institute of Ageing :English Longitudinal Study of Ageing</v>
      </c>
      <c r="R34" s="32"/>
    </row>
    <row r="36" spans="1:18" x14ac:dyDescent="0.15">
      <c r="B36" s="57"/>
    </row>
  </sheetData>
  <mergeCells count="1">
    <mergeCell ref="A1:R1"/>
  </mergeCells>
  <dataValidations count="1">
    <dataValidation allowBlank="1" showInputMessage="1" showErrorMessage="1" sqref="M31 J33 O34 E32:M32 Q3:Q34 R12:R29 R3:R10 D3:P29" xr:uid="{78893557-EA58-419F-9770-573AA2CF6982}"/>
  </dataValidations>
  <hyperlinks>
    <hyperlink ref="N3" r:id="rId1" xr:uid="{74253309-D57E-43C3-870A-B86D26B9AC72}"/>
    <hyperlink ref="P3" r:id="rId2" location="accuracy-and-reliability" xr:uid="{629CAB19-3E8C-45E6-895B-A41B54F111F9}"/>
    <hyperlink ref="D3" r:id="rId3" display="https://digital.nhs.uk/data-and-information/publications/statistical/adult-social-care-activity-and-finance-report" xr:uid="{417FF820-9E25-4B77-9576-310A3926B4E5}"/>
    <hyperlink ref="D4" r:id="rId4" xr:uid="{6E9507E2-428C-4290-814C-D9C2CF64765C}"/>
    <hyperlink ref="N4" r:id="rId5" xr:uid="{678A1BCD-5688-4A12-BADC-88BA5AE8157D}"/>
    <hyperlink ref="D5" r:id="rId6" location="short-and-long-term-support-salt-" xr:uid="{CD45CB66-241C-4A5B-8FD1-8EE0242E617E}"/>
    <hyperlink ref="P4" r:id="rId7" xr:uid="{14B968C5-2FB4-4F7D-8302-FBE7B1562E50}"/>
    <hyperlink ref="P5" r:id="rId8" xr:uid="{E997211D-2266-4EFC-A8E6-6BF865F5649D}"/>
    <hyperlink ref="D6" r:id="rId9" location="adult-social-care-finance-return-asc-fr-" xr:uid="{030C7AA2-D6F7-47B2-A283-AE5A1ADF8756}"/>
    <hyperlink ref="N6" r:id="rId10" xr:uid="{D34A9B7A-652E-489C-8DCB-44A4F275462E}"/>
    <hyperlink ref="P6" r:id="rId11" xr:uid="{9BEAF3A6-FC4D-44D3-A420-F703F7100909}"/>
    <hyperlink ref="D7" r:id="rId12" xr:uid="{39D019F8-6A75-4E17-9179-B74E6CFF8163}"/>
    <hyperlink ref="N7" r:id="rId13" xr:uid="{1462FFF4-ABD5-4587-B1DA-D0EA5C33ECC0}"/>
    <hyperlink ref="D8" r:id="rId14" xr:uid="{CEB2DFC7-B150-4D84-984D-EF8B1B22E20E}"/>
    <hyperlink ref="N8" r:id="rId15" xr:uid="{2D7B8087-C50F-4664-9DA8-2CF8D312CAF8}"/>
    <hyperlink ref="D9" r:id="rId16" xr:uid="{68A579BE-1A62-4AF8-A9CA-5FA8571C7A38}"/>
    <hyperlink ref="P9" r:id="rId17" xr:uid="{BF7BD0B2-7B4A-4553-B34C-26DD003ECC50}"/>
    <hyperlink ref="N9" r:id="rId18" xr:uid="{F2242796-017D-4779-BC96-4ED512BE52D1}"/>
    <hyperlink ref="D10" r:id="rId19" xr:uid="{C1042436-13C2-4487-8D31-AD11201EF016}"/>
    <hyperlink ref="N10" r:id="rId20" xr:uid="{7B58D498-106D-4FDF-A811-7BC94C8611E7}"/>
    <hyperlink ref="P10" r:id="rId21" xr:uid="{4DD917F7-3B26-4796-A498-8BD09A7EE4DF}"/>
    <hyperlink ref="D11" r:id="rId22" xr:uid="{6886B932-B2EA-4653-A87A-EA7336BBE9F1}"/>
    <hyperlink ref="N11" r:id="rId23" xr:uid="{89F423D5-305C-42FE-9107-ED370E0C4668}"/>
    <hyperlink ref="P11" r:id="rId24" xr:uid="{641EE7DF-0961-4DEA-9D57-271511F7EC04}"/>
    <hyperlink ref="D12" r:id="rId25" xr:uid="{C57B3AC0-AEB9-49D2-97ED-DC49E69F61ED}"/>
    <hyperlink ref="N12" r:id="rId26" xr:uid="{E4653686-0EAD-486A-8820-4F751EC6F13F}"/>
    <hyperlink ref="P12" r:id="rId27" xr:uid="{7C12305F-A2EB-4F7A-BD8A-54E7E427BA0F}"/>
    <hyperlink ref="D13" r:id="rId28" xr:uid="{31DA0206-A9EB-4095-9370-D06BAF3308DD}"/>
    <hyperlink ref="N13" r:id="rId29" xr:uid="{07A0D7F6-25F5-4845-ACC1-F8E9FDAC9728}"/>
    <hyperlink ref="P13" r:id="rId30" xr:uid="{226D2EC6-7B29-48DB-B89D-1E28A822C0E1}"/>
    <hyperlink ref="D14" r:id="rId31" xr:uid="{F8FF1365-7E14-40C8-8C09-E6261D5DE8D6}"/>
    <hyperlink ref="N14" r:id="rId32" xr:uid="{8F2019C8-4404-4636-9304-04D04BD0C2C3}"/>
    <hyperlink ref="P14" r:id="rId33" xr:uid="{F9310010-A60D-436C-B641-CAF9533586C0}"/>
    <hyperlink ref="D15" r:id="rId34" xr:uid="{7692E921-A915-453F-B42A-40F923C46288}"/>
    <hyperlink ref="D16" r:id="rId35" xr:uid="{0378FD6C-0D31-4946-9D66-3ABA30FB08A1}"/>
    <hyperlink ref="N15" r:id="rId36" xr:uid="{9F697BB5-5746-4362-BE4F-16C2C3B8AB8E}"/>
    <hyperlink ref="N16" r:id="rId37" xr:uid="{FC7F5CDB-5E57-4FEC-8E78-B03CE128D066}"/>
    <hyperlink ref="P16" r:id="rId38" xr:uid="{3132703A-1605-4F71-824C-2110B4710902}"/>
    <hyperlink ref="D17" r:id="rId39" xr:uid="{65FC4B47-EC18-458D-BF1E-FEA74D67F8AC}"/>
    <hyperlink ref="N17" r:id="rId40" location="quality-and-methodology" xr:uid="{B6CDA70C-D8D0-4C69-94B9-3196A0229F47}"/>
    <hyperlink ref="P17" r:id="rId41" location="quality-and-methodology" xr:uid="{824E8AD7-8E21-4763-BC1B-7289C60BC8A6}"/>
    <hyperlink ref="D18" r:id="rId42" location="page/4/gid/1938133060/pat/6/par/E12000004/ati/102/are/E06000015/iid/92490/age/162/sex/4" xr:uid="{CCBBBB53-BB1E-44E6-BD2C-C3D92AE7839E}"/>
    <hyperlink ref="N18" r:id="rId43" location="page/6/gid/1938133060/pat/6/par/E12000007/ati/202/are/E09000002/iid/1194/age/27/sex/4" xr:uid="{6E677F10-6533-4D9F-ABA6-006172420A1B}"/>
    <hyperlink ref="P18" r:id="rId44" location="page/6/gid/1938133060/pat/6/par/E12000007/ati/202/are/E09000002/iid/1194/age/27/sex/4" xr:uid="{AC54F168-E272-4A88-B597-AEA5DF6BD2A9}"/>
    <hyperlink ref="D19" r:id="rId45" xr:uid="{27EBBDBD-CC6D-4293-BE35-D317B9EA5095}"/>
    <hyperlink ref="N19" r:id="rId46" xr:uid="{ABDE5A38-3FF7-4667-88A6-1AC256B1CFC8}"/>
    <hyperlink ref="P19" r:id="rId47" xr:uid="{4165C555-2001-4483-940A-3AA1F9A0D62D}"/>
    <hyperlink ref="D20" r:id="rId48" xr:uid="{CE8B7AFA-C18B-423D-B415-0EDB827F9D1E}"/>
    <hyperlink ref="N20" r:id="rId49" xr:uid="{4D548B9E-37BA-4A4D-A431-6D2E2AC634C2}"/>
    <hyperlink ref="D21" r:id="rId50" xr:uid="{04CE0786-61B6-4A2C-B1E2-35CE630D81A3}"/>
    <hyperlink ref="N21" r:id="rId51" xr:uid="{95AFAEB7-79E1-4665-AFEF-3D323804815B}"/>
    <hyperlink ref="D22" r:id="rId52" xr:uid="{3B943E75-9E99-4265-BD90-1D40722EC2CD}"/>
    <hyperlink ref="N22" r:id="rId53" xr:uid="{1039B5C7-DB23-4EBF-87E2-9EE4805310AE}"/>
    <hyperlink ref="D23" r:id="rId54" xr:uid="{E2694D8F-D3EB-4D9C-AB6A-BB3D3ECB35F7}"/>
    <hyperlink ref="D24" r:id="rId55" xr:uid="{36F8BC10-CD10-4B91-A635-7962D09B4503}"/>
    <hyperlink ref="D25" r:id="rId56" xr:uid="{BB1A7BE0-00AC-4E86-AC10-D65761A99E45}"/>
    <hyperlink ref="D26" r:id="rId57" xr:uid="{0A9F497F-CFEE-4D70-9CA0-3D984A275A00}"/>
    <hyperlink ref="N26" r:id="rId58" xr:uid="{DFCD0EC1-B3A5-45A7-9EBD-37CB63A92B7E}"/>
    <hyperlink ref="P26" r:id="rId59" xr:uid="{7FDCA9B3-E335-41F1-96F5-476E5D4A5BE9}"/>
    <hyperlink ref="D27" r:id="rId60" xr:uid="{2C2EB7C6-6D04-4A8E-9CB0-030BC5295DC5}"/>
    <hyperlink ref="N27" r:id="rId61" xr:uid="{24F29843-466A-4AC0-8E46-FC501BE7F2A6}"/>
    <hyperlink ref="P27" r:id="rId62" xr:uid="{8A30A74D-22A4-4DC5-94DB-145479EED5C2}"/>
    <hyperlink ref="N28" r:id="rId63" xr:uid="{1A828E2C-E2F1-4AE9-A5BD-10AD8F0225AF}"/>
    <hyperlink ref="P28" r:id="rId64" xr:uid="{44D4AA1C-2916-42E3-90F9-4B174B2B597A}"/>
    <hyperlink ref="D29" r:id="rId65" xr:uid="{4D847817-7F89-463C-BB1E-B86896F0B452}"/>
    <hyperlink ref="N29" r:id="rId66" xr:uid="{D62555A2-8F52-4AFA-8A58-BF15E6FA9410}"/>
    <hyperlink ref="D30" r:id="rId67" xr:uid="{E6B75773-3856-4CBD-A3B2-043B3A7A1580}"/>
    <hyperlink ref="N30" r:id="rId68" xr:uid="{43E38BCD-3AAB-48AD-A096-4D76E66C25F5}"/>
    <hyperlink ref="P30" r:id="rId69" xr:uid="{8A7AED8A-D7B6-49E4-BF3C-7E49F631CB02}"/>
    <hyperlink ref="D31" r:id="rId70" xr:uid="{8EBB4DE3-3E19-42A8-A3BB-371829E60F73}"/>
    <hyperlink ref="D32" r:id="rId71" xr:uid="{47F7CB0A-4587-4327-9371-F7732548D2E3}"/>
    <hyperlink ref="D33" r:id="rId72" xr:uid="{245C7116-478D-43A6-9E5A-34620E6ACA0B}"/>
    <hyperlink ref="P33" r:id="rId73" xr:uid="{27CCE212-DDF1-4FA8-B9A9-0908D28081D5}"/>
    <hyperlink ref="N33" r:id="rId74" xr:uid="{21ECCF0D-22DB-4227-8A28-8995342542FC}"/>
    <hyperlink ref="N34" r:id="rId75" xr:uid="{848EB975-3F10-42CE-8C14-FBF1767216F1}"/>
    <hyperlink ref="D34" r:id="rId76" xr:uid="{E999C5CD-1B5F-4948-A422-88C70FB4C5B5}"/>
    <hyperlink ref="D28" r:id="rId77" xr:uid="{E30C2A92-0CC2-4E21-8810-8FFFB964C688}"/>
    <hyperlink ref="P8" r:id="rId78" xr:uid="{FA59F015-C174-4EB0-83F7-2A8D42928A49}"/>
  </hyperlinks>
  <pageMargins left="0.7" right="0.7" top="0.75" bottom="0.75" header="0.3" footer="0.3"/>
  <pageSetup paperSize="9" orientation="portrait" r:id="rId79"/>
  <tableParts count="1">
    <tablePart r:id="rId8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808B4-C8AB-48D1-A1B3-52865F99C4EB}">
  <sheetPr>
    <tabColor theme="9" tint="0.39997558519241921"/>
  </sheetPr>
  <dimension ref="A1:E58"/>
  <sheetViews>
    <sheetView workbookViewId="0">
      <pane ySplit="2" topLeftCell="A3" activePane="bottomLeft" state="frozen"/>
      <selection pane="bottomLeft" activeCell="A3" sqref="A3"/>
    </sheetView>
  </sheetViews>
  <sheetFormatPr baseColWidth="10" defaultColWidth="8.83203125" defaultRowHeight="12" x14ac:dyDescent="0.15"/>
  <cols>
    <col min="1" max="1" width="24.33203125" style="1" customWidth="1"/>
    <col min="2" max="2" width="40.1640625" style="1" customWidth="1"/>
    <col min="3" max="4" width="49.6640625" style="1" customWidth="1"/>
    <col min="5" max="5" width="15.6640625" style="1" customWidth="1"/>
    <col min="6" max="16384" width="8.83203125" style="1"/>
  </cols>
  <sheetData>
    <row r="1" spans="1:5" s="12" customFormat="1" ht="44.25" customHeight="1" x14ac:dyDescent="0.2">
      <c r="A1" s="97" t="s">
        <v>1855</v>
      </c>
      <c r="B1" s="98"/>
      <c r="C1" s="98"/>
      <c r="D1" s="98"/>
      <c r="E1" s="98"/>
    </row>
    <row r="2" spans="1:5" x14ac:dyDescent="0.15">
      <c r="A2" s="17" t="s">
        <v>188</v>
      </c>
      <c r="B2" s="17" t="s">
        <v>191</v>
      </c>
      <c r="C2" s="17" t="s">
        <v>1856</v>
      </c>
      <c r="D2" s="23" t="s">
        <v>1857</v>
      </c>
      <c r="E2" s="1" t="s">
        <v>1858</v>
      </c>
    </row>
    <row r="3" spans="1:5" x14ac:dyDescent="0.15">
      <c r="A3" s="16"/>
      <c r="B3" s="16" t="s">
        <v>1859</v>
      </c>
      <c r="C3" s="16" t="s">
        <v>1860</v>
      </c>
      <c r="D3" s="16" t="s">
        <v>1861</v>
      </c>
      <c r="E3" s="16"/>
    </row>
    <row r="4" spans="1:5" x14ac:dyDescent="0.15">
      <c r="A4" s="16"/>
      <c r="B4" s="16" t="s">
        <v>1862</v>
      </c>
      <c r="C4" s="16" t="s">
        <v>1860</v>
      </c>
      <c r="D4" s="16" t="s">
        <v>1861</v>
      </c>
      <c r="E4" s="16"/>
    </row>
    <row r="5" spans="1:5" x14ac:dyDescent="0.15">
      <c r="A5" s="16"/>
      <c r="B5" s="16" t="s">
        <v>1863</v>
      </c>
      <c r="C5" s="16" t="s">
        <v>1860</v>
      </c>
      <c r="D5" s="16" t="s">
        <v>1861</v>
      </c>
      <c r="E5" s="16" t="s">
        <v>1864</v>
      </c>
    </row>
    <row r="6" spans="1:5" x14ac:dyDescent="0.15">
      <c r="A6" s="16"/>
      <c r="B6" s="16" t="s">
        <v>1865</v>
      </c>
      <c r="C6" s="16" t="s">
        <v>1860</v>
      </c>
      <c r="D6" s="16" t="s">
        <v>1866</v>
      </c>
      <c r="E6" s="16"/>
    </row>
    <row r="7" spans="1:5" x14ac:dyDescent="0.15">
      <c r="A7" s="16"/>
      <c r="B7" s="16" t="s">
        <v>1867</v>
      </c>
      <c r="C7" s="16" t="s">
        <v>1860</v>
      </c>
      <c r="D7" s="16" t="s">
        <v>1868</v>
      </c>
      <c r="E7" s="16"/>
    </row>
    <row r="8" spans="1:5" x14ac:dyDescent="0.15">
      <c r="A8" s="16"/>
      <c r="B8" s="16" t="s">
        <v>1869</v>
      </c>
      <c r="C8" s="16" t="s">
        <v>1860</v>
      </c>
      <c r="D8" s="16" t="s">
        <v>1870</v>
      </c>
      <c r="E8" s="16"/>
    </row>
    <row r="9" spans="1:5" x14ac:dyDescent="0.15">
      <c r="A9" s="16"/>
      <c r="B9" s="16" t="s">
        <v>1871</v>
      </c>
      <c r="C9" s="16" t="s">
        <v>1860</v>
      </c>
      <c r="D9" s="16" t="s">
        <v>1872</v>
      </c>
      <c r="E9" s="16"/>
    </row>
    <row r="10" spans="1:5" x14ac:dyDescent="0.15">
      <c r="A10" s="16"/>
      <c r="B10" s="16" t="s">
        <v>1873</v>
      </c>
      <c r="C10" s="16" t="s">
        <v>1860</v>
      </c>
      <c r="D10" s="16" t="s">
        <v>1874</v>
      </c>
      <c r="E10" s="16"/>
    </row>
    <row r="11" spans="1:5" x14ac:dyDescent="0.15">
      <c r="A11" s="16"/>
      <c r="B11" s="16" t="s">
        <v>1875</v>
      </c>
      <c r="C11" s="16" t="s">
        <v>1860</v>
      </c>
      <c r="D11" s="16" t="s">
        <v>1876</v>
      </c>
      <c r="E11" s="16"/>
    </row>
    <row r="12" spans="1:5" x14ac:dyDescent="0.15">
      <c r="A12" s="16"/>
      <c r="B12" s="16" t="s">
        <v>1877</v>
      </c>
      <c r="C12" s="16" t="s">
        <v>1860</v>
      </c>
      <c r="D12" s="16" t="s">
        <v>1878</v>
      </c>
      <c r="E12" s="16"/>
    </row>
    <row r="13" spans="1:5" x14ac:dyDescent="0.15">
      <c r="A13" s="16"/>
      <c r="B13" s="16" t="s">
        <v>1879</v>
      </c>
      <c r="C13" s="16" t="s">
        <v>1860</v>
      </c>
      <c r="D13" s="16" t="s">
        <v>1880</v>
      </c>
      <c r="E13" s="16"/>
    </row>
    <row r="14" spans="1:5" x14ac:dyDescent="0.15">
      <c r="A14" s="16"/>
      <c r="B14" s="16" t="s">
        <v>1881</v>
      </c>
      <c r="C14" s="16" t="s">
        <v>1860</v>
      </c>
      <c r="D14" s="16" t="s">
        <v>1882</v>
      </c>
      <c r="E14" s="16"/>
    </row>
    <row r="15" spans="1:5" x14ac:dyDescent="0.15">
      <c r="A15" s="16" t="s">
        <v>1883</v>
      </c>
      <c r="B15" s="16" t="s">
        <v>1859</v>
      </c>
      <c r="C15" s="16" t="s">
        <v>1884</v>
      </c>
      <c r="D15" s="16"/>
      <c r="E15" s="16"/>
    </row>
    <row r="16" spans="1:5" x14ac:dyDescent="0.15">
      <c r="A16" s="16" t="s">
        <v>1885</v>
      </c>
      <c r="B16" s="16" t="s">
        <v>1859</v>
      </c>
      <c r="C16" s="16" t="s">
        <v>1884</v>
      </c>
      <c r="D16" s="16"/>
      <c r="E16" s="16"/>
    </row>
    <row r="17" spans="1:5" x14ac:dyDescent="0.15">
      <c r="A17" s="16" t="s">
        <v>1886</v>
      </c>
      <c r="B17" s="16" t="s">
        <v>1875</v>
      </c>
      <c r="C17" s="16" t="s">
        <v>1884</v>
      </c>
      <c r="D17" s="16"/>
      <c r="E17" s="16"/>
    </row>
    <row r="18" spans="1:5" x14ac:dyDescent="0.15">
      <c r="A18" s="16" t="s">
        <v>1887</v>
      </c>
      <c r="B18" s="16" t="s">
        <v>1888</v>
      </c>
      <c r="C18" s="16" t="s">
        <v>1884</v>
      </c>
      <c r="D18" s="16"/>
      <c r="E18" s="16"/>
    </row>
    <row r="19" spans="1:5" x14ac:dyDescent="0.15">
      <c r="A19" s="16" t="s">
        <v>1889</v>
      </c>
      <c r="B19" s="16" t="s">
        <v>1859</v>
      </c>
      <c r="C19" s="16" t="s">
        <v>1884</v>
      </c>
      <c r="D19" s="16"/>
      <c r="E19" s="16"/>
    </row>
    <row r="20" spans="1:5" x14ac:dyDescent="0.15">
      <c r="A20" s="16" t="s">
        <v>1890</v>
      </c>
      <c r="B20" s="16" t="s">
        <v>1859</v>
      </c>
      <c r="C20" s="16" t="s">
        <v>1884</v>
      </c>
      <c r="D20" s="16"/>
      <c r="E20" s="16"/>
    </row>
    <row r="21" spans="1:5" x14ac:dyDescent="0.15">
      <c r="A21" s="16" t="s">
        <v>1891</v>
      </c>
      <c r="B21" s="16" t="s">
        <v>1859</v>
      </c>
      <c r="C21" s="16" t="s">
        <v>1884</v>
      </c>
      <c r="D21" s="16"/>
      <c r="E21" s="16"/>
    </row>
    <row r="22" spans="1:5" x14ac:dyDescent="0.15">
      <c r="A22" s="16" t="s">
        <v>1892</v>
      </c>
      <c r="B22" s="16" t="s">
        <v>1859</v>
      </c>
      <c r="C22" s="16" t="s">
        <v>1884</v>
      </c>
      <c r="D22" s="16"/>
      <c r="E22" s="16"/>
    </row>
    <row r="23" spans="1:5" x14ac:dyDescent="0.15">
      <c r="A23" s="16" t="s">
        <v>1893</v>
      </c>
      <c r="B23" s="16" t="s">
        <v>1894</v>
      </c>
      <c r="C23" s="16" t="s">
        <v>1884</v>
      </c>
      <c r="D23" s="16"/>
      <c r="E23" s="16"/>
    </row>
    <row r="24" spans="1:5" x14ac:dyDescent="0.15">
      <c r="A24" s="16" t="s">
        <v>1895</v>
      </c>
      <c r="B24" s="16" t="s">
        <v>1873</v>
      </c>
      <c r="C24" s="16" t="s">
        <v>1884</v>
      </c>
      <c r="D24" s="16"/>
      <c r="E24" s="16"/>
    </row>
    <row r="25" spans="1:5" x14ac:dyDescent="0.15">
      <c r="A25" s="16" t="s">
        <v>1896</v>
      </c>
      <c r="B25" s="16" t="s">
        <v>1873</v>
      </c>
      <c r="C25" s="16" t="s">
        <v>1884</v>
      </c>
      <c r="D25" s="16"/>
      <c r="E25" s="16"/>
    </row>
    <row r="26" spans="1:5" x14ac:dyDescent="0.15">
      <c r="A26" s="16" t="s">
        <v>1897</v>
      </c>
      <c r="B26" s="16" t="s">
        <v>1859</v>
      </c>
      <c r="C26" s="16" t="s">
        <v>1884</v>
      </c>
      <c r="D26" s="16"/>
      <c r="E26" s="16"/>
    </row>
    <row r="27" spans="1:5" x14ac:dyDescent="0.15">
      <c r="A27" s="16" t="s">
        <v>1898</v>
      </c>
      <c r="B27" s="16" t="s">
        <v>1888</v>
      </c>
      <c r="C27" s="16" t="s">
        <v>1884</v>
      </c>
      <c r="D27" s="16"/>
      <c r="E27" s="16"/>
    </row>
    <row r="28" spans="1:5" x14ac:dyDescent="0.15">
      <c r="A28" s="16" t="s">
        <v>1899</v>
      </c>
      <c r="B28" s="16" t="s">
        <v>1900</v>
      </c>
      <c r="C28" s="16" t="s">
        <v>1884</v>
      </c>
      <c r="D28" s="16"/>
      <c r="E28" s="16"/>
    </row>
    <row r="29" spans="1:5" x14ac:dyDescent="0.15">
      <c r="A29" s="16" t="s">
        <v>1901</v>
      </c>
      <c r="B29" s="16" t="s">
        <v>1879</v>
      </c>
      <c r="C29" s="16" t="s">
        <v>1884</v>
      </c>
      <c r="D29" s="16"/>
      <c r="E29" s="16"/>
    </row>
    <row r="30" spans="1:5" x14ac:dyDescent="0.15">
      <c r="A30" s="16" t="s">
        <v>1902</v>
      </c>
      <c r="B30" s="16" t="s">
        <v>1903</v>
      </c>
      <c r="C30" s="16" t="s">
        <v>1884</v>
      </c>
      <c r="D30" s="16"/>
      <c r="E30" s="16"/>
    </row>
    <row r="31" spans="1:5" x14ac:dyDescent="0.15">
      <c r="A31" s="16" t="s">
        <v>1904</v>
      </c>
      <c r="B31" s="16" t="s">
        <v>1869</v>
      </c>
      <c r="C31" s="16" t="s">
        <v>1884</v>
      </c>
      <c r="D31" s="16"/>
      <c r="E31" s="16"/>
    </row>
    <row r="32" spans="1:5" x14ac:dyDescent="0.15">
      <c r="A32" s="16" t="s">
        <v>1905</v>
      </c>
      <c r="B32" s="16" t="s">
        <v>1869</v>
      </c>
      <c r="C32" s="16" t="s">
        <v>1884</v>
      </c>
      <c r="D32" s="16"/>
      <c r="E32" s="16"/>
    </row>
    <row r="33" spans="1:5" x14ac:dyDescent="0.15">
      <c r="A33" s="16" t="s">
        <v>1906</v>
      </c>
      <c r="B33" s="16" t="s">
        <v>1907</v>
      </c>
      <c r="C33" s="16" t="s">
        <v>1884</v>
      </c>
      <c r="D33" s="16"/>
      <c r="E33" s="16"/>
    </row>
    <row r="34" spans="1:5" x14ac:dyDescent="0.15">
      <c r="A34" s="16" t="s">
        <v>1908</v>
      </c>
      <c r="B34" s="16" t="s">
        <v>1869</v>
      </c>
      <c r="C34" s="16" t="s">
        <v>1884</v>
      </c>
      <c r="D34" s="16"/>
      <c r="E34" s="16"/>
    </row>
    <row r="35" spans="1:5" x14ac:dyDescent="0.15">
      <c r="A35" s="16" t="s">
        <v>1909</v>
      </c>
      <c r="B35" s="16" t="s">
        <v>1910</v>
      </c>
      <c r="C35" s="16" t="s">
        <v>1884</v>
      </c>
      <c r="D35" s="16"/>
      <c r="E35" s="16"/>
    </row>
    <row r="36" spans="1:5" x14ac:dyDescent="0.15">
      <c r="A36" s="16" t="s">
        <v>1911</v>
      </c>
      <c r="B36" s="16" t="s">
        <v>1912</v>
      </c>
      <c r="C36" s="16" t="s">
        <v>1884</v>
      </c>
      <c r="D36" s="16"/>
      <c r="E36" s="16"/>
    </row>
    <row r="37" spans="1:5" x14ac:dyDescent="0.15">
      <c r="A37" s="16" t="s">
        <v>1913</v>
      </c>
      <c r="B37" s="16" t="s">
        <v>1912</v>
      </c>
      <c r="C37" s="16" t="s">
        <v>1884</v>
      </c>
      <c r="D37" s="16"/>
      <c r="E37" s="16"/>
    </row>
    <row r="38" spans="1:5" x14ac:dyDescent="0.15">
      <c r="A38" s="16"/>
      <c r="B38" s="16" t="s">
        <v>1865</v>
      </c>
      <c r="C38" s="16" t="s">
        <v>1914</v>
      </c>
      <c r="D38" s="16"/>
      <c r="E38" s="16"/>
    </row>
    <row r="39" spans="1:5" x14ac:dyDescent="0.15">
      <c r="A39" s="16"/>
      <c r="B39" s="16" t="s">
        <v>1915</v>
      </c>
      <c r="C39" s="16" t="s">
        <v>1914</v>
      </c>
      <c r="D39" s="16"/>
      <c r="E39" s="16"/>
    </row>
    <row r="40" spans="1:5" x14ac:dyDescent="0.15">
      <c r="A40" s="16"/>
      <c r="B40" s="16" t="s">
        <v>1859</v>
      </c>
      <c r="C40" s="16" t="s">
        <v>1914</v>
      </c>
      <c r="D40" s="16"/>
      <c r="E40" s="16"/>
    </row>
    <row r="41" spans="1:5" x14ac:dyDescent="0.15">
      <c r="A41" s="16"/>
      <c r="B41" s="16" t="s">
        <v>1916</v>
      </c>
      <c r="C41" s="16" t="s">
        <v>1914</v>
      </c>
      <c r="D41" s="16"/>
      <c r="E41" s="16"/>
    </row>
    <row r="42" spans="1:5" x14ac:dyDescent="0.15">
      <c r="A42" s="16"/>
      <c r="B42" s="16" t="s">
        <v>1879</v>
      </c>
      <c r="C42" s="16" t="s">
        <v>1914</v>
      </c>
      <c r="D42" s="16"/>
      <c r="E42" s="16"/>
    </row>
    <row r="43" spans="1:5" x14ac:dyDescent="0.15">
      <c r="A43" s="16"/>
      <c r="B43" s="16" t="s">
        <v>1871</v>
      </c>
      <c r="C43" s="16" t="s">
        <v>1914</v>
      </c>
      <c r="D43" s="16"/>
      <c r="E43" s="16"/>
    </row>
    <row r="44" spans="1:5" x14ac:dyDescent="0.15">
      <c r="A44" s="16"/>
      <c r="B44" s="16" t="s">
        <v>1869</v>
      </c>
      <c r="C44" s="16" t="s">
        <v>1914</v>
      </c>
      <c r="D44" s="16"/>
      <c r="E44" s="16"/>
    </row>
    <row r="45" spans="1:5" x14ac:dyDescent="0.15">
      <c r="A45" s="16"/>
      <c r="B45" s="16" t="s">
        <v>1917</v>
      </c>
      <c r="C45" s="16" t="s">
        <v>1914</v>
      </c>
      <c r="D45" s="16"/>
      <c r="E45" s="16"/>
    </row>
    <row r="46" spans="1:5" x14ac:dyDescent="0.15">
      <c r="A46" s="16"/>
      <c r="B46" s="16" t="s">
        <v>1918</v>
      </c>
      <c r="C46" s="16" t="s">
        <v>1914</v>
      </c>
      <c r="D46" s="16"/>
      <c r="E46" s="16"/>
    </row>
    <row r="47" spans="1:5" x14ac:dyDescent="0.15">
      <c r="A47" s="16"/>
      <c r="B47" s="16" t="s">
        <v>1919</v>
      </c>
      <c r="C47" s="16" t="s">
        <v>1914</v>
      </c>
      <c r="D47" s="16"/>
      <c r="E47" s="16"/>
    </row>
    <row r="48" spans="1:5" x14ac:dyDescent="0.15">
      <c r="A48" s="16"/>
      <c r="B48" s="16" t="s">
        <v>1907</v>
      </c>
      <c r="C48" s="16" t="s">
        <v>1914</v>
      </c>
      <c r="D48" s="16"/>
      <c r="E48" s="16"/>
    </row>
    <row r="49" spans="1:5" x14ac:dyDescent="0.15">
      <c r="A49" s="16"/>
      <c r="B49" s="16" t="s">
        <v>1920</v>
      </c>
      <c r="C49" s="16" t="s">
        <v>1914</v>
      </c>
      <c r="D49" s="16"/>
      <c r="E49" s="16"/>
    </row>
    <row r="50" spans="1:5" x14ac:dyDescent="0.15">
      <c r="A50" s="16"/>
      <c r="B50" s="16" t="s">
        <v>1873</v>
      </c>
      <c r="C50" s="16" t="s">
        <v>1914</v>
      </c>
      <c r="D50" s="16"/>
      <c r="E50" s="16"/>
    </row>
    <row r="51" spans="1:5" x14ac:dyDescent="0.15">
      <c r="A51" s="16"/>
      <c r="B51" s="16" t="s">
        <v>1879</v>
      </c>
      <c r="C51" s="16" t="s">
        <v>1921</v>
      </c>
      <c r="D51" s="16"/>
      <c r="E51" s="16"/>
    </row>
    <row r="52" spans="1:5" x14ac:dyDescent="0.15">
      <c r="A52" s="16"/>
      <c r="B52" s="16" t="s">
        <v>1922</v>
      </c>
      <c r="C52" s="16" t="s">
        <v>1921</v>
      </c>
      <c r="D52" s="16"/>
      <c r="E52" s="16"/>
    </row>
    <row r="53" spans="1:5" x14ac:dyDescent="0.15">
      <c r="A53" s="16"/>
      <c r="B53" s="16" t="s">
        <v>1869</v>
      </c>
      <c r="C53" s="16" t="s">
        <v>1921</v>
      </c>
      <c r="D53" s="16"/>
      <c r="E53" s="16"/>
    </row>
    <row r="54" spans="1:5" x14ac:dyDescent="0.15">
      <c r="A54" s="16"/>
      <c r="B54" s="16" t="s">
        <v>1873</v>
      </c>
      <c r="C54" s="16" t="s">
        <v>1923</v>
      </c>
      <c r="D54" s="16"/>
      <c r="E54" s="16"/>
    </row>
    <row r="55" spans="1:5" x14ac:dyDescent="0.15">
      <c r="A55" s="16"/>
      <c r="B55" s="16" t="s">
        <v>1900</v>
      </c>
      <c r="C55" s="16" t="s">
        <v>1923</v>
      </c>
      <c r="D55" s="16"/>
      <c r="E55" s="16"/>
    </row>
    <row r="56" spans="1:5" x14ac:dyDescent="0.15">
      <c r="A56" s="16"/>
      <c r="B56" s="16" t="s">
        <v>1867</v>
      </c>
      <c r="C56" s="16" t="s">
        <v>1923</v>
      </c>
      <c r="D56" s="16"/>
      <c r="E56" s="16"/>
    </row>
    <row r="57" spans="1:5" x14ac:dyDescent="0.15">
      <c r="A57" s="16"/>
      <c r="B57" s="16" t="s">
        <v>1924</v>
      </c>
      <c r="C57" s="16" t="s">
        <v>1923</v>
      </c>
      <c r="D57" s="16"/>
      <c r="E57" s="16"/>
    </row>
    <row r="58" spans="1:5" x14ac:dyDescent="0.15">
      <c r="A58" s="16"/>
      <c r="B58" s="16" t="s">
        <v>1907</v>
      </c>
      <c r="C58" s="16" t="s">
        <v>1923</v>
      </c>
      <c r="D58" s="16"/>
      <c r="E58" s="16"/>
    </row>
  </sheetData>
  <mergeCells count="1">
    <mergeCell ref="A1:E1"/>
  </mergeCells>
  <pageMargins left="0.7" right="0.7" top="0.75" bottom="0.75" header="0.3" footer="0.3"/>
  <legacy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81A9-9907-4117-B911-39153569D51E}">
  <sheetPr>
    <tabColor theme="9" tint="-0.499984740745262"/>
  </sheetPr>
  <dimension ref="A1:F7"/>
  <sheetViews>
    <sheetView workbookViewId="0">
      <pane ySplit="2" topLeftCell="A3" activePane="bottomLeft" state="frozen"/>
      <selection pane="bottomLeft" activeCell="D31" sqref="D31"/>
    </sheetView>
  </sheetViews>
  <sheetFormatPr baseColWidth="10" defaultColWidth="8.83203125" defaultRowHeight="12" x14ac:dyDescent="0.15"/>
  <cols>
    <col min="1" max="3" width="22.6640625" style="1" customWidth="1"/>
    <col min="4" max="4" width="12.6640625" style="1" customWidth="1"/>
    <col min="5" max="5" width="10.83203125" style="1" customWidth="1"/>
    <col min="6" max="6" width="72.83203125" style="1" customWidth="1"/>
    <col min="7" max="16384" width="8.83203125" style="1"/>
  </cols>
  <sheetData>
    <row r="1" spans="1:6" s="12" customFormat="1" ht="33.75" customHeight="1" x14ac:dyDescent="0.2">
      <c r="A1" s="97" t="s">
        <v>1925</v>
      </c>
      <c r="B1" s="98"/>
      <c r="C1" s="98"/>
      <c r="D1" s="98"/>
      <c r="E1" s="98"/>
      <c r="F1" s="98"/>
    </row>
    <row r="2" spans="1:6" x14ac:dyDescent="0.15">
      <c r="A2" s="5" t="s">
        <v>1692</v>
      </c>
      <c r="B2" s="5" t="s">
        <v>1926</v>
      </c>
      <c r="C2" s="5" t="s">
        <v>1856</v>
      </c>
      <c r="D2" s="5" t="s">
        <v>1927</v>
      </c>
      <c r="E2" s="5" t="s">
        <v>1928</v>
      </c>
      <c r="F2" s="52" t="s">
        <v>1858</v>
      </c>
    </row>
    <row r="3" spans="1:6" x14ac:dyDescent="0.15">
      <c r="A3" s="1" t="s">
        <v>1929</v>
      </c>
      <c r="B3" s="1" t="s">
        <v>1930</v>
      </c>
      <c r="C3" s="1" t="str">
        <f>A3&amp;":"&amp;B3</f>
        <v>The Kings Fund:Social care 360</v>
      </c>
      <c r="D3" s="14">
        <v>43556</v>
      </c>
      <c r="E3" s="13" t="s">
        <v>1931</v>
      </c>
      <c r="F3" s="1" t="s">
        <v>3</v>
      </c>
    </row>
    <row r="4" spans="1:6" x14ac:dyDescent="0.15">
      <c r="A4" s="1" t="s">
        <v>1932</v>
      </c>
      <c r="B4" s="1" t="s">
        <v>1933</v>
      </c>
      <c r="C4" s="1" t="s">
        <v>1860</v>
      </c>
      <c r="D4" s="14"/>
      <c r="E4" s="1" t="s">
        <v>1934</v>
      </c>
    </row>
    <row r="5" spans="1:6" x14ac:dyDescent="0.15">
      <c r="A5" s="1" t="s">
        <v>1935</v>
      </c>
      <c r="B5" s="1" t="s">
        <v>1936</v>
      </c>
      <c r="C5" s="1" t="s">
        <v>1914</v>
      </c>
      <c r="D5" s="14">
        <v>43850</v>
      </c>
      <c r="E5" s="1" t="s">
        <v>1934</v>
      </c>
      <c r="F5" s="1" t="s">
        <v>1937</v>
      </c>
    </row>
    <row r="6" spans="1:6" x14ac:dyDescent="0.15">
      <c r="A6" s="1" t="s">
        <v>1938</v>
      </c>
      <c r="B6" s="1" t="s">
        <v>1939</v>
      </c>
      <c r="C6" s="1" t="s">
        <v>1921</v>
      </c>
      <c r="D6" s="14">
        <v>44031</v>
      </c>
      <c r="E6" s="13" t="s">
        <v>1940</v>
      </c>
      <c r="F6" s="1" t="s">
        <v>1941</v>
      </c>
    </row>
    <row r="7" spans="1:6" x14ac:dyDescent="0.15">
      <c r="A7" s="1" t="s">
        <v>1798</v>
      </c>
      <c r="B7" s="1" t="s">
        <v>1942</v>
      </c>
      <c r="C7" s="1" t="s">
        <v>1923</v>
      </c>
      <c r="D7" s="14">
        <v>44123</v>
      </c>
      <c r="E7" s="13" t="s">
        <v>1800</v>
      </c>
      <c r="F7" s="1" t="s">
        <v>1943</v>
      </c>
    </row>
  </sheetData>
  <mergeCells count="1">
    <mergeCell ref="A1:F1"/>
  </mergeCells>
  <hyperlinks>
    <hyperlink ref="E3" r:id="rId1" xr:uid="{DCA324C0-C547-4CC6-8939-DEE59A41CA33}"/>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C83B02-B312-4963-96A5-A5E60EC363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Overview</vt:lpstr>
      <vt:lpstr>Schedule</vt:lpstr>
      <vt:lpstr>Change Log</vt:lpstr>
      <vt:lpstr>domain</vt:lpstr>
      <vt:lpstr>data_requirement</vt:lpstr>
      <vt:lpstr>requirement_measure_map</vt:lpstr>
      <vt:lpstr>measure</vt:lpstr>
      <vt:lpstr>measure_strength_model</vt:lpstr>
      <vt:lpstr>source</vt:lpstr>
      <vt:lpstr>measure_source_report_map</vt:lpstr>
      <vt:lpstr>report</vt:lpstr>
      <vt:lpstr>str_weights</vt:lpstr>
      <vt:lpstr>str_weights_total</vt:lpstr>
      <vt:lpstr>strlu_msr_min_geo_resolution</vt:lpstr>
      <vt:lpstr>strlu_msr_population_or_survey</vt:lpstr>
      <vt:lpstr>strlu_src_pub_frequency</vt:lpstr>
      <vt:lpstr>strlu_src_pub_lag_months</vt:lpstr>
      <vt:lpstr>strlu_src_statistic_class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toby rubenstein</dc:creator>
  <cp:keywords/>
  <dc:description/>
  <cp:lastModifiedBy>toby rubenstein</cp:lastModifiedBy>
  <cp:revision/>
  <dcterms:created xsi:type="dcterms:W3CDTF">2015-06-05T18:17:20Z</dcterms:created>
  <dcterms:modified xsi:type="dcterms:W3CDTF">2020-04-29T10:27:44Z</dcterms:modified>
  <cp:category/>
  <cp:contentStatus/>
</cp:coreProperties>
</file>